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drawings/drawing4.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5.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5.xml" ContentType="application/vnd.openxmlformats-officedocument.spreadsheetml.comments+xml"/>
  <Override PartName="/xl/threadedComments/threadedComment5.xml" ContentType="application/vnd.ms-excel.threadedcomments+xml"/>
  <Override PartName="/xl/comments6.xml" ContentType="application/vnd.openxmlformats-officedocument.spreadsheetml.comments+xml"/>
  <Override PartName="/xl/threadedComments/threadedComment6.xml" ContentType="application/vnd.ms-excel.threadedcomments+xml"/>
  <Override PartName="/xl/comments7.xml" ContentType="application/vnd.openxmlformats-officedocument.spreadsheetml.comments+xml"/>
  <Override PartName="/xl/threadedComments/threadedComment7.xml" ContentType="application/vnd.ms-excel.threadedcomments+xml"/>
  <Override PartName="/xl/comments8.xml" ContentType="application/vnd.openxmlformats-officedocument.spreadsheetml.comments+xml"/>
  <Override PartName="/xl/threadedComments/threadedComment8.xml" ContentType="application/vnd.ms-excel.threaded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9.xml" ContentType="application/vnd.openxmlformats-officedocument.spreadsheetml.comments+xml"/>
  <Override PartName="/xl/threadedComments/threadedComment9.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vlaamseoverheid-my.sharepoint.com/personal/christophe_cousaert_vlaanderen_be/Documents/Back-up privaat/"/>
    </mc:Choice>
  </mc:AlternateContent>
  <xr:revisionPtr revIDLastSave="0" documentId="8_{DAC8A02C-BFF1-44EE-AF70-BFD336170FC2}" xr6:coauthVersionLast="47" xr6:coauthVersionMax="47" xr10:uidLastSave="{00000000-0000-0000-0000-000000000000}"/>
  <workbookProtection workbookAlgorithmName="SHA-512" workbookHashValue="X9eupAh8leNTH/wRbr+c42KtMdkS8uMTgaTlLe7+/RTAvNn3Cs9HQ1Pa2efq6xQ/7PIGawjRdrQ3LZCKDn7CZg==" workbookSaltValue="gKoS3ZuQB5P9pVds2PBXUw==" workbookSpinCount="100000" lockStructure="1"/>
  <bookViews>
    <workbookView xWindow="28680" yWindow="-1785" windowWidth="29040" windowHeight="15720" tabRatio="862" xr2:uid="{00000000-000D-0000-FFFF-FFFF00000000}"/>
  </bookViews>
  <sheets>
    <sheet name="Overzicht project" sheetId="32" r:id="rId1"/>
    <sheet name="Overzicht project_gewijzigd" sheetId="45" state="hidden" r:id="rId2"/>
    <sheet name="Overzicht BTA" sheetId="24" state="hidden" r:id="rId3"/>
    <sheet name="Oppervlakte" sheetId="37" r:id="rId4"/>
    <sheet name="Oppervlakte_gewijzigd" sheetId="42" state="hidden" r:id="rId5"/>
    <sheet name="uitgebreide raming" sheetId="16" state="hidden" r:id="rId6"/>
    <sheet name="uitgebreide raming_gewijzigd" sheetId="36" state="hidden" r:id="rId7"/>
    <sheet name="kunst" sheetId="23" r:id="rId8"/>
    <sheet name="BJB" sheetId="26" state="hidden" r:id="rId9"/>
    <sheet name="CAW" sheetId="34" state="hidden" r:id="rId10"/>
    <sheet name="Woonzorg" sheetId="58" state="hidden" r:id="rId11"/>
    <sheet name="Gezinnen met kinderen" sheetId="27" state="hidden" r:id="rId12"/>
    <sheet name="PH" sheetId="44" state="hidden" r:id="rId13"/>
    <sheet name="Preventieve en ambulante" sheetId="43" state="hidden" r:id="rId14"/>
    <sheet name="Revalidatieovereenkomst" sheetId="54" state="hidden" r:id="rId15"/>
    <sheet name="NB 21%" sheetId="1" state="hidden" r:id="rId16"/>
    <sheet name="NB 6-12-21%" sheetId="10" state="hidden" r:id="rId17"/>
    <sheet name="NB 21% light" sheetId="19" state="hidden" r:id="rId18"/>
    <sheet name="NB 6-12-21% light" sheetId="20" state="hidden" r:id="rId19"/>
    <sheet name="UITB" sheetId="9" state="hidden" r:id="rId20"/>
    <sheet name="VERB" sheetId="11" state="hidden" r:id="rId21"/>
    <sheet name="samen" sheetId="22" state="hidden" r:id="rId22"/>
    <sheet name="AK+VERB" sheetId="12" state="hidden" r:id="rId23"/>
    <sheet name="AKzondVERB" sheetId="18" state="hidden" r:id="rId24"/>
    <sheet name="analyse bij belofte" sheetId="39" state="hidden" r:id="rId25"/>
    <sheet name="analyse bij belofte 1" sheetId="7" state="hidden" r:id="rId26"/>
    <sheet name="analyse bij belofte 2" sheetId="30" state="hidden" r:id="rId27"/>
    <sheet name="analyse bij belofte 3" sheetId="31" state="hidden" r:id="rId28"/>
    <sheet name="Bouwkost UITB" sheetId="40" state="hidden" r:id="rId29"/>
    <sheet name="Bouwkost VERB" sheetId="41" state="hidden" r:id="rId30"/>
    <sheet name="Bouwkost NB" sheetId="49" r:id="rId31"/>
    <sheet name="Bouwkost IER" sheetId="46" state="hidden" r:id="rId32"/>
    <sheet name="Bouwkost VOLT" sheetId="33" state="hidden" r:id="rId33"/>
    <sheet name="Bouwkost AK+VERB" sheetId="51" state="hidden" r:id="rId34"/>
    <sheet name="Raming_ kost_zorg" sheetId="55" state="hidden" r:id="rId35"/>
    <sheet name="eindafrekening_ kost_zorg" sheetId="48" state="hidden" r:id="rId36"/>
    <sheet name="Centrumsteden" sheetId="29" state="hidden" r:id="rId37"/>
    <sheet name="Capaciteiten &amp; forfaits" sheetId="28" state="hidden" r:id="rId38"/>
    <sheet name="Bouwindex_ABEX" sheetId="56" state="hidden" r:id="rId39"/>
    <sheet name="Bron" sheetId="21" state="hidden" r:id="rId40"/>
    <sheet name="Upload AXI - CONF" sheetId="47" state="hidden" r:id="rId41"/>
    <sheet name="Upload AXI" sheetId="52" state="hidden" r:id="rId42"/>
  </sheets>
  <externalReferences>
    <externalReference r:id="rId43"/>
  </externalReferences>
  <definedNames>
    <definedName name="_xleta.NA" hidden="1" xlm="1">#NAME?</definedName>
    <definedName name="_xleta.T" hidden="1" xlm="1">#NAME?</definedName>
    <definedName name="A_nieuwbouw__BTW_21" localSheetId="17">'NB 21% light'!#REF!</definedName>
    <definedName name="A_nieuwbouw__BTW_21">'NB 21%'!$A$2:$D$31</definedName>
    <definedName name="aanloopadressen">'Capaciteiten &amp; forfaits'!$B$60:$B$61</definedName>
    <definedName name="_xlnm.Print_Area" localSheetId="31">'Bouwkost IER'!$A$1:$W$122</definedName>
    <definedName name="_xlnm.Print_Area" localSheetId="30">'Bouwkost NB'!$A$1:$W$125</definedName>
    <definedName name="B_nieuwbouw__BTW_verschillend" localSheetId="18">'NB 6-12-21% light'!$A$1:$E$32</definedName>
    <definedName name="B_nieuwbouw__BTW_verschillend">'NB 6-12-21%'!$A$2:$E$42</definedName>
    <definedName name="C_Uitbreiding">UITB!$A$2:$E$42</definedName>
    <definedName name="D_Verbouwing">VERB!$A$2:$E$46</definedName>
    <definedName name="E_Aankoop_met_verbouwing">'AK+VERB'!$A$2:$E$55</definedName>
    <definedName name="ExternalData_2" localSheetId="38" hidden="1">Bouwindex_ABEX!$G$1:$I$114</definedName>
    <definedName name="ExternalData_3" localSheetId="38" hidden="1">Bouwindex_ABEX!$K$1:$O$33</definedName>
    <definedName name="F_Aankoop_znd_verbouwing">AKzondVERB!$A$2:$E$36</definedName>
    <definedName name="kinderzorg">'Capaciteiten &amp; forfaits'!$B$29:$B$33</definedName>
    <definedName name="raming_synthese">#REF!</definedName>
    <definedName name="RamingvoorSubsidiebeslissing" localSheetId="5">'uitgebreide raming'!#REF!</definedName>
    <definedName name="RamingvoorSubsidiebeslissing" localSheetId="6">'uitgebreide raming_gewijzigd'!#REF!</definedName>
    <definedName name="RamingvoorSubsidiebeslissing">#REF!</definedName>
    <definedName name="wijkgezondheid">'Capaciteiten &amp; forfaits'!$B$53:$B$58</definedName>
    <definedName name="Z_9278FC9D_ACFF_4E64_8130_C6E47B2C0776_.wvu.Rows" localSheetId="33" hidden="1">'Bouwkost AK+VERB'!$21:$26,'Bouwkost AK+VERB'!$28:$34,'Bouwkost AK+VERB'!$36:$43,'Bouwkost AK+VERB'!$58:$70</definedName>
    <definedName name="Z_9278FC9D_ACFF_4E64_8130_C6E47B2C0776_.wvu.Rows" localSheetId="31" hidden="1">'Bouwkost IER'!$20:$25,'Bouwkost IER'!$27:$33,'Bouwkost IER'!$35:$42,'Bouwkost IER'!$57:$69</definedName>
    <definedName name="Z_9278FC9D_ACFF_4E64_8130_C6E47B2C0776_.wvu.Rows" localSheetId="30" hidden="1">'Bouwkost NB'!$26:$31,'Bouwkost NB'!$33:$39,'Bouwkost NB'!$41:$48,'Bouwkost NB'!$69:$80</definedName>
    <definedName name="Z_9278FC9D_ACFF_4E64_8130_C6E47B2C0776_.wvu.Rows" localSheetId="28" hidden="1">'Bouwkost UITB'!$20:$25,'Bouwkost UITB'!$27:$33,'Bouwkost UITB'!$35:$42,'Bouwkost UITB'!$55:$69</definedName>
    <definedName name="Z_9278FC9D_ACFF_4E64_8130_C6E47B2C0776_.wvu.Rows" localSheetId="29" hidden="1">'Bouwkost VERB'!$21:$26,'Bouwkost VERB'!$28:$34,'Bouwkost VERB'!$36:$43,'Bouwkost VERB'!$58:$70</definedName>
    <definedName name="Z_9278FC9D_ACFF_4E64_8130_C6E47B2C0776_.wvu.Rows" localSheetId="32" hidden="1">'Bouwkost VOLT'!$21:$26,'Bouwkost VOLT'!$28:$34,'Bouwkost VOLT'!$36:$43,'Bouwkost VOLT'!$58:$70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1" i="47" l="1"/>
  <c r="C40" i="47"/>
  <c r="C39" i="47"/>
  <c r="C38" i="47"/>
  <c r="C37" i="47"/>
  <c r="C36" i="47"/>
  <c r="C35" i="47"/>
  <c r="C34" i="47"/>
  <c r="C33" i="47"/>
  <c r="C32" i="47"/>
  <c r="C31" i="47"/>
  <c r="C30" i="47"/>
  <c r="D6" i="23"/>
  <c r="D9" i="23"/>
  <c r="D8" i="23"/>
  <c r="D7" i="23" l="1"/>
  <c r="N37" i="24"/>
  <c r="N38" i="24"/>
  <c r="H37" i="24"/>
  <c r="H38" i="24"/>
  <c r="N36" i="24"/>
  <c r="J6" i="34" l="1"/>
  <c r="J5" i="34"/>
  <c r="K5" i="34" s="1"/>
  <c r="D4" i="37"/>
  <c r="C4" i="37"/>
  <c r="AR5" i="40"/>
  <c r="D5" i="43"/>
  <c r="G5" i="43" s="1"/>
  <c r="D6" i="43"/>
  <c r="G6" i="43" s="1"/>
  <c r="D7" i="43"/>
  <c r="G7" i="43" s="1"/>
  <c r="D8" i="43"/>
  <c r="G8" i="43" s="1"/>
  <c r="D9" i="43"/>
  <c r="G9" i="43" s="1"/>
  <c r="D4" i="43"/>
  <c r="G4" i="43" s="1"/>
  <c r="C19" i="58"/>
  <c r="J18" i="58"/>
  <c r="J19" i="58" s="1"/>
  <c r="H18" i="58"/>
  <c r="H19" i="58" s="1"/>
  <c r="C15" i="58"/>
  <c r="J14" i="58"/>
  <c r="K14" i="58" s="1"/>
  <c r="K15" i="58" s="1"/>
  <c r="H14" i="58"/>
  <c r="H15" i="58" s="1"/>
  <c r="C11" i="58"/>
  <c r="J10" i="58"/>
  <c r="J11" i="58" s="1"/>
  <c r="H10" i="58"/>
  <c r="H11" i="58" s="1"/>
  <c r="H2" i="58"/>
  <c r="H3" i="58" s="1"/>
  <c r="C7" i="58"/>
  <c r="J6" i="58"/>
  <c r="J7" i="58" s="1"/>
  <c r="H6" i="58"/>
  <c r="H7" i="58" s="1"/>
  <c r="C3" i="58"/>
  <c r="J2" i="58"/>
  <c r="J3" i="58" s="1"/>
  <c r="C846" i="47"/>
  <c r="C845" i="47"/>
  <c r="C767" i="47"/>
  <c r="C768" i="47"/>
  <c r="C769" i="47"/>
  <c r="C770" i="47"/>
  <c r="C771" i="47"/>
  <c r="C772" i="47"/>
  <c r="C773" i="47"/>
  <c r="C774" i="47"/>
  <c r="C775" i="47"/>
  <c r="C776" i="47"/>
  <c r="C777" i="47"/>
  <c r="C778" i="47"/>
  <c r="C779" i="47"/>
  <c r="C780" i="47"/>
  <c r="C781" i="47"/>
  <c r="C782" i="47"/>
  <c r="C783" i="47"/>
  <c r="C784" i="47"/>
  <c r="C785" i="47"/>
  <c r="C786" i="47"/>
  <c r="C787" i="47"/>
  <c r="C788" i="47"/>
  <c r="C789" i="47"/>
  <c r="C790" i="47"/>
  <c r="C791" i="47"/>
  <c r="C792" i="47"/>
  <c r="C793" i="47"/>
  <c r="C794" i="47"/>
  <c r="C795" i="47"/>
  <c r="C796" i="47"/>
  <c r="C797" i="47"/>
  <c r="C798" i="47"/>
  <c r="C799" i="47"/>
  <c r="C800" i="47"/>
  <c r="C801" i="47"/>
  <c r="C802" i="47"/>
  <c r="C766" i="47"/>
  <c r="C758" i="47"/>
  <c r="C754" i="47"/>
  <c r="C757" i="47"/>
  <c r="C756" i="47"/>
  <c r="C755" i="47"/>
  <c r="C753" i="47"/>
  <c r="C752" i="47"/>
  <c r="C761" i="47"/>
  <c r="C762" i="47"/>
  <c r="C760" i="47"/>
  <c r="C699" i="47"/>
  <c r="C700" i="47"/>
  <c r="C701" i="47"/>
  <c r="C702" i="47"/>
  <c r="C703" i="47"/>
  <c r="C704" i="47"/>
  <c r="C705" i="47"/>
  <c r="C706" i="47"/>
  <c r="C707" i="47"/>
  <c r="C708" i="47"/>
  <c r="C709" i="47"/>
  <c r="C710" i="47"/>
  <c r="C711" i="47"/>
  <c r="C712" i="47"/>
  <c r="C713" i="47"/>
  <c r="C714" i="47"/>
  <c r="C715" i="47"/>
  <c r="C716" i="47"/>
  <c r="C717" i="47"/>
  <c r="C718" i="47"/>
  <c r="C719" i="47"/>
  <c r="C720" i="47"/>
  <c r="C721" i="47"/>
  <c r="C722" i="47"/>
  <c r="C723" i="47"/>
  <c r="C724" i="47"/>
  <c r="C725" i="47"/>
  <c r="C726" i="47"/>
  <c r="C727" i="47"/>
  <c r="C728" i="47"/>
  <c r="C729" i="47"/>
  <c r="C730" i="47"/>
  <c r="C731" i="47"/>
  <c r="C732" i="47"/>
  <c r="C733" i="47"/>
  <c r="C734" i="47"/>
  <c r="C735" i="47"/>
  <c r="C736" i="47"/>
  <c r="C737" i="47"/>
  <c r="C738" i="47"/>
  <c r="C739" i="47"/>
  <c r="C740" i="47"/>
  <c r="C741" i="47"/>
  <c r="C742" i="47"/>
  <c r="C743" i="47"/>
  <c r="C744" i="47"/>
  <c r="C745" i="47"/>
  <c r="C746" i="47"/>
  <c r="C747" i="47"/>
  <c r="C748" i="47"/>
  <c r="C749" i="47"/>
  <c r="C750" i="47"/>
  <c r="C698" i="47"/>
  <c r="C647" i="47"/>
  <c r="C648" i="47"/>
  <c r="C649" i="47"/>
  <c r="C650" i="47"/>
  <c r="C651" i="47"/>
  <c r="C652" i="47"/>
  <c r="C653" i="47"/>
  <c r="C654" i="47"/>
  <c r="C655" i="47"/>
  <c r="C656" i="47"/>
  <c r="C657" i="47"/>
  <c r="C658" i="47"/>
  <c r="C659" i="47"/>
  <c r="C660" i="47"/>
  <c r="C661" i="47"/>
  <c r="C662" i="47"/>
  <c r="C663" i="47"/>
  <c r="C664" i="47"/>
  <c r="C665" i="47"/>
  <c r="C666" i="47"/>
  <c r="C667" i="47"/>
  <c r="C668" i="47"/>
  <c r="C669" i="47"/>
  <c r="C670" i="47"/>
  <c r="C671" i="47"/>
  <c r="C672" i="47"/>
  <c r="C673" i="47"/>
  <c r="C674" i="47"/>
  <c r="C675" i="47"/>
  <c r="C676" i="47"/>
  <c r="C677" i="47"/>
  <c r="C678" i="47"/>
  <c r="C679" i="47"/>
  <c r="C680" i="47"/>
  <c r="C681" i="47"/>
  <c r="C682" i="47"/>
  <c r="C683" i="47"/>
  <c r="C684" i="47"/>
  <c r="C685" i="47"/>
  <c r="C686" i="47"/>
  <c r="C687" i="47"/>
  <c r="C688" i="47"/>
  <c r="C689" i="47"/>
  <c r="C690" i="47"/>
  <c r="C691" i="47"/>
  <c r="C692" i="47"/>
  <c r="C693" i="47"/>
  <c r="C694" i="47"/>
  <c r="C695" i="47"/>
  <c r="C696" i="47"/>
  <c r="C697" i="47"/>
  <c r="C646" i="47"/>
  <c r="C238" i="47"/>
  <c r="C239" i="47"/>
  <c r="C240" i="47"/>
  <c r="C241" i="47"/>
  <c r="C242" i="47"/>
  <c r="C243" i="47"/>
  <c r="C244" i="47"/>
  <c r="C245" i="47"/>
  <c r="C246" i="47"/>
  <c r="C247" i="47"/>
  <c r="C248" i="47"/>
  <c r="C249" i="47"/>
  <c r="C250" i="47"/>
  <c r="C251" i="47"/>
  <c r="C252" i="47"/>
  <c r="C253" i="47"/>
  <c r="C254" i="47"/>
  <c r="C255" i="47"/>
  <c r="C256" i="47"/>
  <c r="C257" i="47"/>
  <c r="C258" i="47"/>
  <c r="C259" i="47"/>
  <c r="C260" i="47"/>
  <c r="C261" i="47"/>
  <c r="C262" i="47"/>
  <c r="C263" i="47"/>
  <c r="C264" i="47"/>
  <c r="C265" i="47"/>
  <c r="C266" i="47"/>
  <c r="C267" i="47"/>
  <c r="C268" i="47"/>
  <c r="C269" i="47"/>
  <c r="C270" i="47"/>
  <c r="C271" i="47"/>
  <c r="C272" i="47"/>
  <c r="C273" i="47"/>
  <c r="C274" i="47"/>
  <c r="C275" i="47"/>
  <c r="C276" i="47"/>
  <c r="C277" i="47"/>
  <c r="C278" i="47"/>
  <c r="C279" i="47"/>
  <c r="C280" i="47"/>
  <c r="C281" i="47"/>
  <c r="C282" i="47"/>
  <c r="C283" i="47"/>
  <c r="C284" i="47"/>
  <c r="C285" i="47"/>
  <c r="C286" i="47"/>
  <c r="C287" i="47"/>
  <c r="C288" i="47"/>
  <c r="C289" i="47"/>
  <c r="C290" i="47"/>
  <c r="C291" i="47"/>
  <c r="C292" i="47"/>
  <c r="C293" i="47"/>
  <c r="C294" i="47"/>
  <c r="C295" i="47"/>
  <c r="C296" i="47"/>
  <c r="C297" i="47"/>
  <c r="C298" i="47"/>
  <c r="C299" i="47"/>
  <c r="C300" i="47"/>
  <c r="C301" i="47"/>
  <c r="C302" i="47"/>
  <c r="C303" i="47"/>
  <c r="C304" i="47"/>
  <c r="C305" i="47"/>
  <c r="C306" i="47"/>
  <c r="C307" i="47"/>
  <c r="C308" i="47"/>
  <c r="C309" i="47"/>
  <c r="C310" i="47"/>
  <c r="C311" i="47"/>
  <c r="C312" i="47"/>
  <c r="C313" i="47"/>
  <c r="C314" i="47"/>
  <c r="C315" i="47"/>
  <c r="C316" i="47"/>
  <c r="C317" i="47"/>
  <c r="C318" i="47"/>
  <c r="C319" i="47"/>
  <c r="C320" i="47"/>
  <c r="C321" i="47"/>
  <c r="C322" i="47"/>
  <c r="C323" i="47"/>
  <c r="C324" i="47"/>
  <c r="C325" i="47"/>
  <c r="C326" i="47"/>
  <c r="C327" i="47"/>
  <c r="C328" i="47"/>
  <c r="C329" i="47"/>
  <c r="C330" i="47"/>
  <c r="C331" i="47"/>
  <c r="C332" i="47"/>
  <c r="C333" i="47"/>
  <c r="C334" i="47"/>
  <c r="C335" i="47"/>
  <c r="C336" i="47"/>
  <c r="C337" i="47"/>
  <c r="C338" i="47"/>
  <c r="C339" i="47"/>
  <c r="C340" i="47"/>
  <c r="C341" i="47"/>
  <c r="C342" i="47"/>
  <c r="C343" i="47"/>
  <c r="C344" i="47"/>
  <c r="C345" i="47"/>
  <c r="C346" i="47"/>
  <c r="C347" i="47"/>
  <c r="C348" i="47"/>
  <c r="C349" i="47"/>
  <c r="C350" i="47"/>
  <c r="C351" i="47"/>
  <c r="C352" i="47"/>
  <c r="C353" i="47"/>
  <c r="C354" i="47"/>
  <c r="C355" i="47"/>
  <c r="C356" i="47"/>
  <c r="C357" i="47"/>
  <c r="C358" i="47"/>
  <c r="C359" i="47"/>
  <c r="C360" i="47"/>
  <c r="C361" i="47"/>
  <c r="C362" i="47"/>
  <c r="C363" i="47"/>
  <c r="C364" i="47"/>
  <c r="C365" i="47"/>
  <c r="C366" i="47"/>
  <c r="C367" i="47"/>
  <c r="C368" i="47"/>
  <c r="C369" i="47"/>
  <c r="C370" i="47"/>
  <c r="C371" i="47"/>
  <c r="C372" i="47"/>
  <c r="C373" i="47"/>
  <c r="C374" i="47"/>
  <c r="C375" i="47"/>
  <c r="C376" i="47"/>
  <c r="C377" i="47"/>
  <c r="C378" i="47"/>
  <c r="C379" i="47"/>
  <c r="C380" i="47"/>
  <c r="C381" i="47"/>
  <c r="C382" i="47"/>
  <c r="C383" i="47"/>
  <c r="C384" i="47"/>
  <c r="C385" i="47"/>
  <c r="C386" i="47"/>
  <c r="C387" i="47"/>
  <c r="C388" i="47"/>
  <c r="C389" i="47"/>
  <c r="C390" i="47"/>
  <c r="C391" i="47"/>
  <c r="C392" i="47"/>
  <c r="C393" i="47"/>
  <c r="C394" i="47"/>
  <c r="C395" i="47"/>
  <c r="C396" i="47"/>
  <c r="C397" i="47"/>
  <c r="C398" i="47"/>
  <c r="C399" i="47"/>
  <c r="C400" i="47"/>
  <c r="C401" i="47"/>
  <c r="C402" i="47"/>
  <c r="C403" i="47"/>
  <c r="C404" i="47"/>
  <c r="C405" i="47"/>
  <c r="C406" i="47"/>
  <c r="C407" i="47"/>
  <c r="C408" i="47"/>
  <c r="C409" i="47"/>
  <c r="C410" i="47"/>
  <c r="C411" i="47"/>
  <c r="C412" i="47"/>
  <c r="C413" i="47"/>
  <c r="C414" i="47"/>
  <c r="C415" i="47"/>
  <c r="C416" i="47"/>
  <c r="C417" i="47"/>
  <c r="C418" i="47"/>
  <c r="C419" i="47"/>
  <c r="C420" i="47"/>
  <c r="C421" i="47"/>
  <c r="C422" i="47"/>
  <c r="C423" i="47"/>
  <c r="C424" i="47"/>
  <c r="C425" i="47"/>
  <c r="C426" i="47"/>
  <c r="C427" i="47"/>
  <c r="C428" i="47"/>
  <c r="C237" i="47"/>
  <c r="C45" i="47"/>
  <c r="C46" i="47"/>
  <c r="C47" i="47"/>
  <c r="C48" i="47"/>
  <c r="C49" i="47"/>
  <c r="C50" i="47"/>
  <c r="C51" i="47"/>
  <c r="C52" i="47"/>
  <c r="C53" i="47"/>
  <c r="C54" i="47"/>
  <c r="C55" i="47"/>
  <c r="C56" i="47"/>
  <c r="C57" i="47"/>
  <c r="C58" i="47"/>
  <c r="C59" i="47"/>
  <c r="C60" i="47"/>
  <c r="C61" i="47"/>
  <c r="C62" i="47"/>
  <c r="C63" i="47"/>
  <c r="C64" i="47"/>
  <c r="C65" i="47"/>
  <c r="C66" i="47"/>
  <c r="C67" i="47"/>
  <c r="C68" i="47"/>
  <c r="C69" i="47"/>
  <c r="C70" i="47"/>
  <c r="C71" i="47"/>
  <c r="C72" i="47"/>
  <c r="C73" i="47"/>
  <c r="C74" i="47"/>
  <c r="C75" i="47"/>
  <c r="C76" i="47"/>
  <c r="C77" i="47"/>
  <c r="C78" i="47"/>
  <c r="C79" i="47"/>
  <c r="C80" i="47"/>
  <c r="C81" i="47"/>
  <c r="C82" i="47"/>
  <c r="C83" i="47"/>
  <c r="C84" i="47"/>
  <c r="C85" i="47"/>
  <c r="C86" i="47"/>
  <c r="C87" i="47"/>
  <c r="C88" i="47"/>
  <c r="C89" i="47"/>
  <c r="C90" i="47"/>
  <c r="C91" i="47"/>
  <c r="C92" i="47"/>
  <c r="C93" i="47"/>
  <c r="C94" i="47"/>
  <c r="C95" i="47"/>
  <c r="C96" i="47"/>
  <c r="C97" i="47"/>
  <c r="C98" i="47"/>
  <c r="C99" i="47"/>
  <c r="C100" i="47"/>
  <c r="C101" i="47"/>
  <c r="C102" i="47"/>
  <c r="C103" i="47"/>
  <c r="C104" i="47"/>
  <c r="C105" i="47"/>
  <c r="C106" i="47"/>
  <c r="C107" i="47"/>
  <c r="C108" i="47"/>
  <c r="C109" i="47"/>
  <c r="C110" i="47"/>
  <c r="C111" i="47"/>
  <c r="C112" i="47"/>
  <c r="C113" i="47"/>
  <c r="C114" i="47"/>
  <c r="C115" i="47"/>
  <c r="C116" i="47"/>
  <c r="C117" i="47"/>
  <c r="C118" i="47"/>
  <c r="C119" i="47"/>
  <c r="C120" i="47"/>
  <c r="C121" i="47"/>
  <c r="C122" i="47"/>
  <c r="C123" i="47"/>
  <c r="C124" i="47"/>
  <c r="C125" i="47"/>
  <c r="C126" i="47"/>
  <c r="C127" i="47"/>
  <c r="C128" i="47"/>
  <c r="C129" i="47"/>
  <c r="C130" i="47"/>
  <c r="C131" i="47"/>
  <c r="C132" i="47"/>
  <c r="C133" i="47"/>
  <c r="C134" i="47"/>
  <c r="C135" i="47"/>
  <c r="C136" i="47"/>
  <c r="C137" i="47"/>
  <c r="C138" i="47"/>
  <c r="C139" i="47"/>
  <c r="C140" i="47"/>
  <c r="C141" i="47"/>
  <c r="C142" i="47"/>
  <c r="C143" i="47"/>
  <c r="C144" i="47"/>
  <c r="C145" i="47"/>
  <c r="C146" i="47"/>
  <c r="C147" i="47"/>
  <c r="C148" i="47"/>
  <c r="C149" i="47"/>
  <c r="C150" i="47"/>
  <c r="C151" i="47"/>
  <c r="C152" i="47"/>
  <c r="C153" i="47"/>
  <c r="C154" i="47"/>
  <c r="C155" i="47"/>
  <c r="C156" i="47"/>
  <c r="C157" i="47"/>
  <c r="C158" i="47"/>
  <c r="C159" i="47"/>
  <c r="C160" i="47"/>
  <c r="C161" i="47"/>
  <c r="C162" i="47"/>
  <c r="C163" i="47"/>
  <c r="C164" i="47"/>
  <c r="C165" i="47"/>
  <c r="C166" i="47"/>
  <c r="C167" i="47"/>
  <c r="C168" i="47"/>
  <c r="C169" i="47"/>
  <c r="C170" i="47"/>
  <c r="C171" i="47"/>
  <c r="C172" i="47"/>
  <c r="C173" i="47"/>
  <c r="C174" i="47"/>
  <c r="C175" i="47"/>
  <c r="C176" i="47"/>
  <c r="C177" i="47"/>
  <c r="C178" i="47"/>
  <c r="C179" i="47"/>
  <c r="C180" i="47"/>
  <c r="C181" i="47"/>
  <c r="C182" i="47"/>
  <c r="C183" i="47"/>
  <c r="C184" i="47"/>
  <c r="C185" i="47"/>
  <c r="C186" i="47"/>
  <c r="C187" i="47"/>
  <c r="C188" i="47"/>
  <c r="C189" i="47"/>
  <c r="C190" i="47"/>
  <c r="C191" i="47"/>
  <c r="C192" i="47"/>
  <c r="C193" i="47"/>
  <c r="C194" i="47"/>
  <c r="C195" i="47"/>
  <c r="C196" i="47"/>
  <c r="C197" i="47"/>
  <c r="C198" i="47"/>
  <c r="C199" i="47"/>
  <c r="C200" i="47"/>
  <c r="C201" i="47"/>
  <c r="C202" i="47"/>
  <c r="C203" i="47"/>
  <c r="C204" i="47"/>
  <c r="C205" i="47"/>
  <c r="C206" i="47"/>
  <c r="C207" i="47"/>
  <c r="C208" i="47"/>
  <c r="C209" i="47"/>
  <c r="C210" i="47"/>
  <c r="C211" i="47"/>
  <c r="C212" i="47"/>
  <c r="C213" i="47"/>
  <c r="C214" i="47"/>
  <c r="C215" i="47"/>
  <c r="C216" i="47"/>
  <c r="C217" i="47"/>
  <c r="C218" i="47"/>
  <c r="C219" i="47"/>
  <c r="C220" i="47"/>
  <c r="C221" i="47"/>
  <c r="C222" i="47"/>
  <c r="C223" i="47"/>
  <c r="C224" i="47"/>
  <c r="C225" i="47"/>
  <c r="C226" i="47"/>
  <c r="C227" i="47"/>
  <c r="C228" i="47"/>
  <c r="C229" i="47"/>
  <c r="C230" i="47"/>
  <c r="C231" i="47"/>
  <c r="C232" i="47"/>
  <c r="C233" i="47"/>
  <c r="C234" i="47"/>
  <c r="C235" i="47"/>
  <c r="C236" i="47"/>
  <c r="C29" i="47"/>
  <c r="C42" i="47"/>
  <c r="C43" i="47"/>
  <c r="C44" i="47"/>
  <c r="C7" i="47"/>
  <c r="C8" i="47"/>
  <c r="C9" i="47"/>
  <c r="C10" i="47"/>
  <c r="C11" i="47"/>
  <c r="C12" i="47"/>
  <c r="C13" i="47"/>
  <c r="C14" i="47"/>
  <c r="C15" i="47"/>
  <c r="C16" i="47"/>
  <c r="C17" i="47"/>
  <c r="C18" i="47"/>
  <c r="C19" i="47"/>
  <c r="C20" i="47"/>
  <c r="C21" i="47"/>
  <c r="C22" i="47"/>
  <c r="C23" i="47"/>
  <c r="C24" i="47"/>
  <c r="C25" i="47"/>
  <c r="C26" i="47"/>
  <c r="C27" i="47"/>
  <c r="C28" i="47"/>
  <c r="C6" i="47"/>
  <c r="T9" i="24"/>
  <c r="C5" i="47"/>
  <c r="C4" i="47"/>
  <c r="C3" i="47"/>
  <c r="C764" i="47"/>
  <c r="C839" i="47"/>
  <c r="C840" i="47"/>
  <c r="C804" i="47"/>
  <c r="C805" i="47"/>
  <c r="C806" i="47"/>
  <c r="C807" i="47"/>
  <c r="C808" i="47"/>
  <c r="C809" i="47"/>
  <c r="C810" i="47"/>
  <c r="C811" i="47"/>
  <c r="C812" i="47"/>
  <c r="C813" i="47"/>
  <c r="C814" i="47"/>
  <c r="C815" i="47"/>
  <c r="C816" i="47"/>
  <c r="C817" i="47"/>
  <c r="C818" i="47"/>
  <c r="C819" i="47"/>
  <c r="C820" i="47"/>
  <c r="C821" i="47"/>
  <c r="C822" i="47"/>
  <c r="C823" i="47"/>
  <c r="C824" i="47"/>
  <c r="C825" i="47"/>
  <c r="C826" i="47"/>
  <c r="C827" i="47"/>
  <c r="C828" i="47"/>
  <c r="C829" i="47"/>
  <c r="C830" i="47"/>
  <c r="C831" i="47"/>
  <c r="C832" i="47"/>
  <c r="C833" i="47"/>
  <c r="C834" i="47"/>
  <c r="C835" i="47"/>
  <c r="C836" i="47"/>
  <c r="C837" i="47"/>
  <c r="C838" i="47"/>
  <c r="C803" i="47"/>
  <c r="C765" i="47"/>
  <c r="C763" i="47"/>
  <c r="C759" i="47"/>
  <c r="C751" i="47"/>
  <c r="C431" i="47"/>
  <c r="C432" i="47"/>
  <c r="C433" i="47"/>
  <c r="C434" i="47"/>
  <c r="C435" i="47"/>
  <c r="C436" i="47"/>
  <c r="C437" i="47"/>
  <c r="C438" i="47"/>
  <c r="C439" i="47"/>
  <c r="C440" i="47"/>
  <c r="C441" i="47"/>
  <c r="C442" i="47"/>
  <c r="C443" i="47"/>
  <c r="C444" i="47"/>
  <c r="C445" i="47"/>
  <c r="C446" i="47"/>
  <c r="C447" i="47"/>
  <c r="C448" i="47"/>
  <c r="C449" i="47"/>
  <c r="C450" i="47"/>
  <c r="C451" i="47"/>
  <c r="C452" i="47"/>
  <c r="C453" i="47"/>
  <c r="C454" i="47"/>
  <c r="C455" i="47"/>
  <c r="C456" i="47"/>
  <c r="C457" i="47"/>
  <c r="C458" i="47"/>
  <c r="C459" i="47"/>
  <c r="C460" i="47"/>
  <c r="C461" i="47"/>
  <c r="C462" i="47"/>
  <c r="C463" i="47"/>
  <c r="C464" i="47"/>
  <c r="C465" i="47"/>
  <c r="C466" i="47"/>
  <c r="C467" i="47"/>
  <c r="C468" i="47"/>
  <c r="C469" i="47"/>
  <c r="C470" i="47"/>
  <c r="C471" i="47"/>
  <c r="C472" i="47"/>
  <c r="C473" i="47"/>
  <c r="C474" i="47"/>
  <c r="C475" i="47"/>
  <c r="C476" i="47"/>
  <c r="C477" i="47"/>
  <c r="C478" i="47"/>
  <c r="C479" i="47"/>
  <c r="C480" i="47"/>
  <c r="C481" i="47"/>
  <c r="C482" i="47"/>
  <c r="C483" i="47"/>
  <c r="C484" i="47"/>
  <c r="C485" i="47"/>
  <c r="C486" i="47"/>
  <c r="C487" i="47"/>
  <c r="C488" i="47"/>
  <c r="C489" i="47"/>
  <c r="C490" i="47"/>
  <c r="C491" i="47"/>
  <c r="C492" i="47"/>
  <c r="C493" i="47"/>
  <c r="C494" i="47"/>
  <c r="C495" i="47"/>
  <c r="C496" i="47"/>
  <c r="C497" i="47"/>
  <c r="C498" i="47"/>
  <c r="C499" i="47"/>
  <c r="C500" i="47"/>
  <c r="C501" i="47"/>
  <c r="C502" i="47"/>
  <c r="C503" i="47"/>
  <c r="C504" i="47"/>
  <c r="C505" i="47"/>
  <c r="C506" i="47"/>
  <c r="C507" i="47"/>
  <c r="C508" i="47"/>
  <c r="C509" i="47"/>
  <c r="C510" i="47"/>
  <c r="C511" i="47"/>
  <c r="C512" i="47"/>
  <c r="C513" i="47"/>
  <c r="C514" i="47"/>
  <c r="C515" i="47"/>
  <c r="C516" i="47"/>
  <c r="C517" i="47"/>
  <c r="C518" i="47"/>
  <c r="C519" i="47"/>
  <c r="C520" i="47"/>
  <c r="C521" i="47"/>
  <c r="C522" i="47"/>
  <c r="C523" i="47"/>
  <c r="C524" i="47"/>
  <c r="C525" i="47"/>
  <c r="C526" i="47"/>
  <c r="C527" i="47"/>
  <c r="C528" i="47"/>
  <c r="C529" i="47"/>
  <c r="C530" i="47"/>
  <c r="C531" i="47"/>
  <c r="C532" i="47"/>
  <c r="C533" i="47"/>
  <c r="C534" i="47"/>
  <c r="C535" i="47"/>
  <c r="C536" i="47"/>
  <c r="C537" i="47"/>
  <c r="C538" i="47"/>
  <c r="C539" i="47"/>
  <c r="C540" i="47"/>
  <c r="C541" i="47"/>
  <c r="C542" i="47"/>
  <c r="C543" i="47"/>
  <c r="C544" i="47"/>
  <c r="C545" i="47"/>
  <c r="C546" i="47"/>
  <c r="C547" i="47"/>
  <c r="C548" i="47"/>
  <c r="C549" i="47"/>
  <c r="C550" i="47"/>
  <c r="C551" i="47"/>
  <c r="C552" i="47"/>
  <c r="C553" i="47"/>
  <c r="C554" i="47"/>
  <c r="C555" i="47"/>
  <c r="C556" i="47"/>
  <c r="C557" i="47"/>
  <c r="C558" i="47"/>
  <c r="C559" i="47"/>
  <c r="C560" i="47"/>
  <c r="C561" i="47"/>
  <c r="C562" i="47"/>
  <c r="C563" i="47"/>
  <c r="C564" i="47"/>
  <c r="C565" i="47"/>
  <c r="C566" i="47"/>
  <c r="C567" i="47"/>
  <c r="C568" i="47"/>
  <c r="C569" i="47"/>
  <c r="C570" i="47"/>
  <c r="C571" i="47"/>
  <c r="C572" i="47"/>
  <c r="C573" i="47"/>
  <c r="C574" i="47"/>
  <c r="C575" i="47"/>
  <c r="C576" i="47"/>
  <c r="C577" i="47"/>
  <c r="C578" i="47"/>
  <c r="C579" i="47"/>
  <c r="C580" i="47"/>
  <c r="C581" i="47"/>
  <c r="C582" i="47"/>
  <c r="C583" i="47"/>
  <c r="C584" i="47"/>
  <c r="C585" i="47"/>
  <c r="C586" i="47"/>
  <c r="C587" i="47"/>
  <c r="C588" i="47"/>
  <c r="C589" i="47"/>
  <c r="C590" i="47"/>
  <c r="C591" i="47"/>
  <c r="C592" i="47"/>
  <c r="C593" i="47"/>
  <c r="C594" i="47"/>
  <c r="C595" i="47"/>
  <c r="C596" i="47"/>
  <c r="C597" i="47"/>
  <c r="C598" i="47"/>
  <c r="C599" i="47"/>
  <c r="C600" i="47"/>
  <c r="C601" i="47"/>
  <c r="C602" i="47"/>
  <c r="C603" i="47"/>
  <c r="C604" i="47"/>
  <c r="C605" i="47"/>
  <c r="C606" i="47"/>
  <c r="C607" i="47"/>
  <c r="C608" i="47"/>
  <c r="C609" i="47"/>
  <c r="C610" i="47"/>
  <c r="C611" i="47"/>
  <c r="C612" i="47"/>
  <c r="C613" i="47"/>
  <c r="C614" i="47"/>
  <c r="C615" i="47"/>
  <c r="C616" i="47"/>
  <c r="C617" i="47"/>
  <c r="C618" i="47"/>
  <c r="C619" i="47"/>
  <c r="C620" i="47"/>
  <c r="C621" i="47"/>
  <c r="C622" i="47"/>
  <c r="C623" i="47"/>
  <c r="C624" i="47"/>
  <c r="C625" i="47"/>
  <c r="C626" i="47"/>
  <c r="C627" i="47"/>
  <c r="C628" i="47"/>
  <c r="C629" i="47"/>
  <c r="C630" i="47"/>
  <c r="C631" i="47"/>
  <c r="C632" i="47"/>
  <c r="C633" i="47"/>
  <c r="C634" i="47"/>
  <c r="C635" i="47"/>
  <c r="C636" i="47"/>
  <c r="C637" i="47"/>
  <c r="C638" i="47"/>
  <c r="C639" i="47"/>
  <c r="C640" i="47"/>
  <c r="C641" i="47"/>
  <c r="C642" i="47"/>
  <c r="C643" i="47"/>
  <c r="C644" i="47"/>
  <c r="C645" i="47"/>
  <c r="C430" i="47"/>
  <c r="J15" i="58" l="1"/>
  <c r="K18" i="58"/>
  <c r="K19" i="58" s="1"/>
  <c r="K10" i="58"/>
  <c r="K11" i="58" s="1"/>
  <c r="K6" i="58"/>
  <c r="K7" i="58" s="1"/>
  <c r="K2" i="58"/>
  <c r="K3" i="58" s="1"/>
  <c r="P116" i="10"/>
  <c r="J116" i="10"/>
  <c r="D116" i="10"/>
  <c r="P115" i="10"/>
  <c r="O115" i="10"/>
  <c r="J115" i="10"/>
  <c r="I115" i="10"/>
  <c r="D115" i="10"/>
  <c r="C115" i="10"/>
  <c r="P72" i="10"/>
  <c r="J72" i="10"/>
  <c r="D72" i="10"/>
  <c r="P71" i="10"/>
  <c r="O71" i="10"/>
  <c r="J71" i="10"/>
  <c r="I71" i="10"/>
  <c r="D71" i="10"/>
  <c r="C71" i="10"/>
  <c r="P28" i="10"/>
  <c r="J28" i="10"/>
  <c r="D28" i="10"/>
  <c r="P27" i="10"/>
  <c r="O27" i="10"/>
  <c r="J27" i="10"/>
  <c r="I27" i="10"/>
  <c r="D27" i="10"/>
  <c r="C27" i="10"/>
  <c r="C26" i="20"/>
  <c r="C10" i="45"/>
  <c r="D30" i="47" s="1"/>
  <c r="C51" i="40"/>
  <c r="O145" i="12" l="1"/>
  <c r="I145" i="12"/>
  <c r="C145" i="12"/>
  <c r="O89" i="12"/>
  <c r="I89" i="12"/>
  <c r="C89" i="12"/>
  <c r="O33" i="12"/>
  <c r="I33" i="12"/>
  <c r="C33" i="12"/>
  <c r="O137" i="22"/>
  <c r="I137" i="22"/>
  <c r="C137" i="22"/>
  <c r="O89" i="22"/>
  <c r="I89" i="22"/>
  <c r="C89" i="22"/>
  <c r="O40" i="22"/>
  <c r="I40" i="22"/>
  <c r="C40" i="22"/>
  <c r="O127" i="11" l="1"/>
  <c r="I127" i="11"/>
  <c r="C127" i="11"/>
  <c r="O79" i="11"/>
  <c r="I79" i="11"/>
  <c r="C79" i="11"/>
  <c r="O31" i="11"/>
  <c r="I31" i="11"/>
  <c r="C31" i="11"/>
  <c r="P115" i="20"/>
  <c r="J115" i="20"/>
  <c r="D115" i="20"/>
  <c r="P114" i="20"/>
  <c r="O114" i="20"/>
  <c r="J114" i="20"/>
  <c r="I114" i="20"/>
  <c r="D114" i="20"/>
  <c r="C114" i="20"/>
  <c r="P71" i="20"/>
  <c r="J71" i="20"/>
  <c r="D71" i="20"/>
  <c r="P70" i="20"/>
  <c r="O70" i="20"/>
  <c r="J70" i="20"/>
  <c r="I70" i="20"/>
  <c r="D70" i="20"/>
  <c r="C70" i="20"/>
  <c r="P27" i="20"/>
  <c r="J27" i="20"/>
  <c r="D27" i="20"/>
  <c r="P26" i="20"/>
  <c r="O26" i="20"/>
  <c r="J26" i="20"/>
  <c r="I26" i="20"/>
  <c r="D26" i="20"/>
  <c r="AG94" i="51"/>
  <c r="AE94" i="51"/>
  <c r="AC94" i="51"/>
  <c r="AA92" i="51"/>
  <c r="AA94" i="51" s="1"/>
  <c r="Y92" i="51"/>
  <c r="Y94" i="51" s="1"/>
  <c r="V94" i="51"/>
  <c r="T94" i="51"/>
  <c r="R94" i="51"/>
  <c r="P92" i="51"/>
  <c r="P94" i="51" s="1"/>
  <c r="N92" i="51"/>
  <c r="N94" i="51" s="1"/>
  <c r="K94" i="51"/>
  <c r="I94" i="51"/>
  <c r="G94" i="51"/>
  <c r="E92" i="51"/>
  <c r="E94" i="51" s="1"/>
  <c r="C92" i="51"/>
  <c r="C94" i="51" s="1"/>
  <c r="AG94" i="33"/>
  <c r="AE94" i="33"/>
  <c r="AC94" i="33"/>
  <c r="AA92" i="33"/>
  <c r="AA94" i="33" s="1"/>
  <c r="Y92" i="33"/>
  <c r="Y94" i="33" s="1"/>
  <c r="V94" i="33"/>
  <c r="T94" i="33"/>
  <c r="R94" i="33"/>
  <c r="P92" i="33"/>
  <c r="P94" i="33" s="1"/>
  <c r="N92" i="33"/>
  <c r="N94" i="33" s="1"/>
  <c r="K94" i="33"/>
  <c r="I94" i="33"/>
  <c r="G94" i="33"/>
  <c r="E92" i="33"/>
  <c r="E94" i="33" s="1"/>
  <c r="C92" i="33"/>
  <c r="C94" i="33" s="1"/>
  <c r="AG93" i="46"/>
  <c r="AE93" i="46"/>
  <c r="AC93" i="46"/>
  <c r="AA91" i="46"/>
  <c r="AA93" i="46" s="1"/>
  <c r="Y91" i="46"/>
  <c r="Y93" i="46" s="1"/>
  <c r="V93" i="46"/>
  <c r="T93" i="46"/>
  <c r="R93" i="46"/>
  <c r="P91" i="46"/>
  <c r="P93" i="46" s="1"/>
  <c r="N91" i="46"/>
  <c r="N93" i="46" s="1"/>
  <c r="K93" i="46"/>
  <c r="I93" i="46"/>
  <c r="G93" i="46"/>
  <c r="E91" i="46"/>
  <c r="E93" i="46" s="1"/>
  <c r="C91" i="46"/>
  <c r="C93" i="46" s="1"/>
  <c r="AG95" i="49"/>
  <c r="AE95" i="49"/>
  <c r="AC95" i="49"/>
  <c r="AA93" i="49"/>
  <c r="AA95" i="49" s="1"/>
  <c r="Y93" i="49"/>
  <c r="Y95" i="49" s="1"/>
  <c r="V95" i="49"/>
  <c r="T95" i="49"/>
  <c r="R95" i="49"/>
  <c r="P93" i="49"/>
  <c r="P95" i="49" s="1"/>
  <c r="N93" i="49"/>
  <c r="N95" i="49" s="1"/>
  <c r="K95" i="49"/>
  <c r="I95" i="49"/>
  <c r="G95" i="49"/>
  <c r="E93" i="49"/>
  <c r="E95" i="49" s="1"/>
  <c r="C93" i="49"/>
  <c r="C95" i="49" s="1"/>
  <c r="AG94" i="41"/>
  <c r="AE94" i="41"/>
  <c r="AC94" i="41"/>
  <c r="AA92" i="41"/>
  <c r="AA94" i="41" s="1"/>
  <c r="Y92" i="41"/>
  <c r="Y94" i="41" s="1"/>
  <c r="V94" i="41"/>
  <c r="T94" i="41"/>
  <c r="R94" i="41"/>
  <c r="P92" i="41"/>
  <c r="P94" i="41" s="1"/>
  <c r="N92" i="41"/>
  <c r="N94" i="41" s="1"/>
  <c r="K94" i="41"/>
  <c r="I94" i="41"/>
  <c r="G94" i="41"/>
  <c r="E92" i="41"/>
  <c r="E94" i="41" s="1"/>
  <c r="C92" i="41"/>
  <c r="C94" i="41" s="1"/>
  <c r="AG94" i="40"/>
  <c r="AE94" i="40"/>
  <c r="AC94" i="40"/>
  <c r="AA92" i="40"/>
  <c r="AA94" i="40" s="1"/>
  <c r="Y92" i="40"/>
  <c r="Y94" i="40" s="1"/>
  <c r="V94" i="40"/>
  <c r="T94" i="40"/>
  <c r="R94" i="40"/>
  <c r="P92" i="40"/>
  <c r="P94" i="40" s="1"/>
  <c r="N92" i="40"/>
  <c r="N94" i="40" s="1"/>
  <c r="E92" i="40"/>
  <c r="E94" i="40" s="1"/>
  <c r="C92" i="40"/>
  <c r="C94" i="40" s="1"/>
  <c r="K94" i="40"/>
  <c r="I94" i="40"/>
  <c r="G94" i="40"/>
  <c r="D37" i="24"/>
  <c r="D38" i="24"/>
  <c r="D36" i="24"/>
  <c r="C429" i="47"/>
  <c r="C841" i="47"/>
  <c r="C842" i="47"/>
  <c r="C843" i="47"/>
  <c r="C844" i="47"/>
  <c r="C847" i="47"/>
  <c r="C848" i="47"/>
  <c r="C849" i="47"/>
  <c r="C850" i="47"/>
  <c r="C851" i="47"/>
  <c r="C852" i="47"/>
  <c r="C853" i="47"/>
  <c r="C854" i="47"/>
  <c r="C855" i="47"/>
  <c r="C856" i="47"/>
  <c r="C857" i="47"/>
  <c r="C858" i="47"/>
  <c r="C859" i="47"/>
  <c r="C860" i="47"/>
  <c r="C861" i="47"/>
  <c r="C862" i="47"/>
  <c r="C863" i="47"/>
  <c r="C864" i="47"/>
  <c r="C865" i="47"/>
  <c r="C866" i="47"/>
  <c r="C867" i="47"/>
  <c r="C868" i="47"/>
  <c r="C869" i="47"/>
  <c r="C870" i="47"/>
  <c r="C871" i="47"/>
  <c r="C872" i="47"/>
  <c r="C873" i="47"/>
  <c r="C874" i="47"/>
  <c r="C875" i="47"/>
  <c r="C876" i="47"/>
  <c r="C877" i="47"/>
  <c r="C878" i="47"/>
  <c r="C879" i="47"/>
  <c r="C880" i="47"/>
  <c r="C881" i="47"/>
  <c r="C882" i="47"/>
  <c r="C883" i="47"/>
  <c r="C884" i="47"/>
  <c r="C885" i="47"/>
  <c r="C886" i="47"/>
  <c r="C887" i="47"/>
  <c r="C888" i="47"/>
  <c r="C889" i="47"/>
  <c r="C890" i="47"/>
  <c r="C891" i="47"/>
  <c r="C892" i="47"/>
  <c r="C893" i="47"/>
  <c r="C894" i="47"/>
  <c r="C895" i="47"/>
  <c r="C896" i="47"/>
  <c r="C897" i="47"/>
  <c r="C898" i="47"/>
  <c r="C899" i="47"/>
  <c r="C900" i="47"/>
  <c r="C901" i="47"/>
  <c r="C902" i="47"/>
  <c r="U94" i="41" l="1"/>
  <c r="AD93" i="46"/>
  <c r="AF94" i="33"/>
  <c r="J94" i="51"/>
  <c r="S95" i="49"/>
  <c r="U94" i="33"/>
  <c r="S94" i="40"/>
  <c r="S94" i="41"/>
  <c r="U95" i="49"/>
  <c r="H94" i="33"/>
  <c r="U94" i="40"/>
  <c r="H95" i="49"/>
  <c r="J94" i="33"/>
  <c r="H94" i="41"/>
  <c r="AF94" i="41"/>
  <c r="AF95" i="49"/>
  <c r="AF93" i="46"/>
  <c r="AF94" i="51"/>
  <c r="AD94" i="51"/>
  <c r="S94" i="51"/>
  <c r="U94" i="51"/>
  <c r="H94" i="51"/>
  <c r="AD94" i="33"/>
  <c r="S94" i="33"/>
  <c r="S93" i="46"/>
  <c r="U93" i="46"/>
  <c r="H93" i="46"/>
  <c r="J93" i="46"/>
  <c r="AD95" i="49"/>
  <c r="J95" i="49"/>
  <c r="AD94" i="41"/>
  <c r="J94" i="41"/>
  <c r="AD94" i="40"/>
  <c r="AF94" i="40"/>
  <c r="O55" i="40"/>
  <c r="O56" i="40"/>
  <c r="O57" i="40"/>
  <c r="Q55" i="40"/>
  <c r="Q56" i="40"/>
  <c r="Q57" i="40"/>
  <c r="S55" i="40"/>
  <c r="S56" i="40"/>
  <c r="S57" i="40"/>
  <c r="U55" i="40"/>
  <c r="U56" i="40"/>
  <c r="U57" i="40"/>
  <c r="W55" i="40"/>
  <c r="W56" i="40"/>
  <c r="W57" i="40"/>
  <c r="Z55" i="40"/>
  <c r="Z56" i="40"/>
  <c r="Z57" i="40"/>
  <c r="AB55" i="40"/>
  <c r="AB56" i="40"/>
  <c r="AB57" i="40"/>
  <c r="AD55" i="40"/>
  <c r="AD56" i="40"/>
  <c r="L56" i="40"/>
  <c r="L55" i="40"/>
  <c r="J56" i="40"/>
  <c r="J55" i="40"/>
  <c r="H56" i="40"/>
  <c r="H55" i="40"/>
  <c r="F56" i="40"/>
  <c r="F55" i="40"/>
  <c r="J28" i="26"/>
  <c r="K28" i="26" s="1"/>
  <c r="H28" i="26"/>
  <c r="J27" i="26"/>
  <c r="K27" i="26" s="1"/>
  <c r="H27" i="26"/>
  <c r="AA105" i="33"/>
  <c r="V105" i="33"/>
  <c r="N105" i="33"/>
  <c r="T101" i="33"/>
  <c r="R101" i="33"/>
  <c r="K105" i="33"/>
  <c r="I105" i="33"/>
  <c r="G105" i="33"/>
  <c r="D28" i="31"/>
  <c r="D5" i="12"/>
  <c r="D61" i="12" s="1"/>
  <c r="D117" i="12" s="1"/>
  <c r="N3" i="24"/>
  <c r="P25" i="24" s="1"/>
  <c r="H3" i="24"/>
  <c r="H1" i="22" s="1"/>
  <c r="H5" i="22" s="1"/>
  <c r="C3" i="24"/>
  <c r="D26" i="24" s="1"/>
  <c r="E7" i="39" s="1"/>
  <c r="E66" i="32"/>
  <c r="F47" i="26"/>
  <c r="J47" i="26"/>
  <c r="F43" i="26"/>
  <c r="H43" i="26" s="1"/>
  <c r="H44" i="26" s="1"/>
  <c r="J43" i="26"/>
  <c r="J36" i="26"/>
  <c r="K36" i="26" s="1"/>
  <c r="J37" i="26"/>
  <c r="K37" i="26" s="1"/>
  <c r="J38" i="26"/>
  <c r="K38" i="26" s="1"/>
  <c r="J31" i="26"/>
  <c r="K31" i="26" s="1"/>
  <c r="J32" i="26"/>
  <c r="K32" i="26" s="1"/>
  <c r="J33" i="26"/>
  <c r="K33" i="26" s="1"/>
  <c r="J11" i="26"/>
  <c r="K11" i="26" s="1"/>
  <c r="J12" i="26"/>
  <c r="K12" i="26" s="1"/>
  <c r="J13" i="26"/>
  <c r="K13" i="26" s="1"/>
  <c r="J14" i="26"/>
  <c r="K14" i="26" s="1"/>
  <c r="J15" i="26"/>
  <c r="K15" i="26" s="1"/>
  <c r="J16" i="26"/>
  <c r="K16" i="26" s="1"/>
  <c r="J17" i="26"/>
  <c r="K17" i="26" s="1"/>
  <c r="J18" i="26"/>
  <c r="K18" i="26" s="1"/>
  <c r="J19" i="26"/>
  <c r="K19" i="26" s="1"/>
  <c r="J20" i="26"/>
  <c r="K20" i="26" s="1"/>
  <c r="J21" i="26"/>
  <c r="K21" i="26" s="1"/>
  <c r="J22" i="26"/>
  <c r="K22" i="26" s="1"/>
  <c r="J23" i="26"/>
  <c r="K23" i="26" s="1"/>
  <c r="J3" i="26"/>
  <c r="K3" i="26" s="1"/>
  <c r="J4" i="26"/>
  <c r="K4" i="26" s="1"/>
  <c r="J5" i="26"/>
  <c r="K5" i="26" s="1"/>
  <c r="J8" i="26"/>
  <c r="K8" i="26" s="1"/>
  <c r="J9" i="26"/>
  <c r="K9" i="26" s="1"/>
  <c r="K77" i="26"/>
  <c r="K78" i="26" s="1"/>
  <c r="K57" i="26"/>
  <c r="K58" i="26"/>
  <c r="K59" i="26"/>
  <c r="K61" i="26"/>
  <c r="K62" i="26"/>
  <c r="K63" i="26"/>
  <c r="K64" i="26"/>
  <c r="K66" i="26"/>
  <c r="K68" i="26"/>
  <c r="K70" i="26"/>
  <c r="K71" i="26"/>
  <c r="K72" i="26"/>
  <c r="F51" i="26"/>
  <c r="G51" i="26" s="1"/>
  <c r="J51" i="26"/>
  <c r="H36" i="26"/>
  <c r="H37" i="26"/>
  <c r="H38" i="26"/>
  <c r="H31" i="26"/>
  <c r="H32" i="26"/>
  <c r="H33" i="26"/>
  <c r="H11" i="26"/>
  <c r="H12" i="26"/>
  <c r="H13" i="26"/>
  <c r="H14" i="26"/>
  <c r="H15" i="26"/>
  <c r="H16" i="26"/>
  <c r="H17" i="26"/>
  <c r="H18" i="26"/>
  <c r="H19" i="26"/>
  <c r="H20" i="26"/>
  <c r="H21" i="26"/>
  <c r="H22" i="26"/>
  <c r="H23" i="26"/>
  <c r="H3" i="26"/>
  <c r="H4" i="26"/>
  <c r="H5" i="26"/>
  <c r="H6" i="26"/>
  <c r="H7" i="26"/>
  <c r="H8" i="26"/>
  <c r="H9" i="26"/>
  <c r="H57" i="26"/>
  <c r="H58" i="26"/>
  <c r="H59" i="26"/>
  <c r="H61" i="26"/>
  <c r="H62" i="26"/>
  <c r="H63" i="26"/>
  <c r="H64" i="26"/>
  <c r="H68" i="26"/>
  <c r="H70" i="26"/>
  <c r="H71" i="26"/>
  <c r="H72" i="26"/>
  <c r="H77" i="26"/>
  <c r="H78" i="26" s="1"/>
  <c r="D73" i="26"/>
  <c r="D78" i="26"/>
  <c r="P5" i="12"/>
  <c r="P61" i="12" s="1"/>
  <c r="P117" i="12" s="1"/>
  <c r="J5" i="12"/>
  <c r="J61" i="12" s="1"/>
  <c r="J117" i="12" s="1"/>
  <c r="T3" i="19"/>
  <c r="N103" i="19"/>
  <c r="P103" i="19" s="1"/>
  <c r="H103" i="19"/>
  <c r="J103" i="19" s="1"/>
  <c r="B103" i="19"/>
  <c r="D103" i="19" s="1"/>
  <c r="M102" i="19"/>
  <c r="G102" i="19"/>
  <c r="A102" i="19"/>
  <c r="M58" i="19"/>
  <c r="G58" i="19"/>
  <c r="A58" i="19"/>
  <c r="F10" i="40"/>
  <c r="U60" i="40" s="1"/>
  <c r="L55" i="46"/>
  <c r="L54" i="46"/>
  <c r="J55" i="46"/>
  <c r="J54" i="46"/>
  <c r="H55" i="46"/>
  <c r="H54" i="46"/>
  <c r="BA54" i="46" s="1"/>
  <c r="F55" i="46"/>
  <c r="F54" i="46"/>
  <c r="B3" i="46"/>
  <c r="Q9" i="46" s="1"/>
  <c r="O29" i="46" s="1"/>
  <c r="R89" i="40"/>
  <c r="G90" i="40"/>
  <c r="I90" i="40" s="1"/>
  <c r="G89" i="40"/>
  <c r="I89" i="40" s="1"/>
  <c r="K89" i="40" s="1"/>
  <c r="AN89" i="40" s="1"/>
  <c r="B51" i="24"/>
  <c r="B7" i="24"/>
  <c r="B3" i="49"/>
  <c r="Y52" i="49" s="1"/>
  <c r="M13" i="19"/>
  <c r="G13" i="19"/>
  <c r="A13" i="19"/>
  <c r="M2" i="19"/>
  <c r="G2" i="19"/>
  <c r="A2" i="19"/>
  <c r="O36" i="24"/>
  <c r="H36" i="24"/>
  <c r="C26" i="45"/>
  <c r="C24" i="45"/>
  <c r="D38" i="47" s="1"/>
  <c r="C20" i="45"/>
  <c r="C19" i="45"/>
  <c r="C18" i="45"/>
  <c r="C17" i="45"/>
  <c r="C13" i="45"/>
  <c r="D33" i="47" s="1"/>
  <c r="C12" i="45"/>
  <c r="C11" i="45"/>
  <c r="N124" i="49"/>
  <c r="Y124" i="49" s="1"/>
  <c r="C25" i="45"/>
  <c r="C27" i="45"/>
  <c r="O6" i="23"/>
  <c r="O9" i="23"/>
  <c r="O8" i="23"/>
  <c r="O7" i="23"/>
  <c r="AG62" i="46"/>
  <c r="AG78" i="46" s="1"/>
  <c r="K63" i="41"/>
  <c r="I63" i="41" s="1"/>
  <c r="I79" i="41" s="1"/>
  <c r="G63" i="41"/>
  <c r="G79" i="41" s="1"/>
  <c r="AH56" i="49"/>
  <c r="AF56" i="49"/>
  <c r="AD56" i="49"/>
  <c r="AB56" i="49"/>
  <c r="W56" i="49"/>
  <c r="U56" i="49"/>
  <c r="S56" i="49"/>
  <c r="Q56" i="49"/>
  <c r="J56" i="49"/>
  <c r="L56" i="49"/>
  <c r="H56" i="49"/>
  <c r="BDA1" i="52"/>
  <c r="BDC1" i="52"/>
  <c r="BDD1" i="52"/>
  <c r="BCU1" i="52"/>
  <c r="BCV1" i="52"/>
  <c r="BCW1" i="52"/>
  <c r="BCX1" i="52"/>
  <c r="BCZ2" i="52"/>
  <c r="BDB1" i="52"/>
  <c r="D901" i="47"/>
  <c r="D902" i="47"/>
  <c r="D900" i="47"/>
  <c r="D898" i="47"/>
  <c r="D899" i="47"/>
  <c r="D897" i="47"/>
  <c r="D891" i="47"/>
  <c r="D892" i="47"/>
  <c r="D893" i="47"/>
  <c r="D894" i="47"/>
  <c r="D895" i="47"/>
  <c r="D896" i="47"/>
  <c r="D890" i="47"/>
  <c r="D889" i="47"/>
  <c r="D888" i="47"/>
  <c r="D886" i="47"/>
  <c r="D887" i="47"/>
  <c r="D885" i="47"/>
  <c r="D884" i="47"/>
  <c r="D881" i="47"/>
  <c r="D882" i="47"/>
  <c r="D883" i="47"/>
  <c r="D880" i="47"/>
  <c r="D878" i="47"/>
  <c r="D879" i="47"/>
  <c r="D877" i="47"/>
  <c r="D876" i="47"/>
  <c r="D875" i="47"/>
  <c r="D874" i="47"/>
  <c r="D873" i="47"/>
  <c r="D872" i="47"/>
  <c r="D871" i="47"/>
  <c r="D869" i="47"/>
  <c r="D870" i="47"/>
  <c r="D868" i="47"/>
  <c r="D866" i="47"/>
  <c r="D867" i="47"/>
  <c r="D865" i="47"/>
  <c r="D854" i="47"/>
  <c r="D855" i="47"/>
  <c r="D856" i="47"/>
  <c r="D857" i="47"/>
  <c r="D858" i="47"/>
  <c r="D859" i="47"/>
  <c r="D860" i="47"/>
  <c r="D861" i="47"/>
  <c r="D862" i="47"/>
  <c r="D863" i="47"/>
  <c r="D864" i="47"/>
  <c r="D853" i="47"/>
  <c r="D848" i="47"/>
  <c r="BDB2" i="52" s="1"/>
  <c r="D849" i="47"/>
  <c r="BDC2" i="52" s="1"/>
  <c r="D850" i="47"/>
  <c r="BDD2" i="52" s="1"/>
  <c r="D851" i="47"/>
  <c r="D852" i="47"/>
  <c r="D847" i="47"/>
  <c r="BDA2" i="52" s="1"/>
  <c r="C16" i="51"/>
  <c r="K16" i="51" s="1"/>
  <c r="Y108" i="51"/>
  <c r="N108" i="51"/>
  <c r="Y108" i="33"/>
  <c r="N108" i="33"/>
  <c r="Y107" i="46"/>
  <c r="N107" i="46"/>
  <c r="C107" i="46"/>
  <c r="N109" i="49"/>
  <c r="C109" i="49"/>
  <c r="Y108" i="41"/>
  <c r="N108" i="41"/>
  <c r="Y108" i="40"/>
  <c r="N108" i="40"/>
  <c r="B8" i="24"/>
  <c r="C8" i="24" s="1"/>
  <c r="ZU1" i="52"/>
  <c r="AXN1" i="52"/>
  <c r="AAA1" i="52"/>
  <c r="AXR1" i="52"/>
  <c r="AAC1" i="52"/>
  <c r="AXV1" i="52"/>
  <c r="AAI1" i="52"/>
  <c r="AXZ1" i="52"/>
  <c r="AAK1" i="52"/>
  <c r="AAL1" i="52"/>
  <c r="AYE1" i="52"/>
  <c r="AAQ1" i="52"/>
  <c r="AAR1" i="52"/>
  <c r="AAT1" i="52"/>
  <c r="AAU1" i="52"/>
  <c r="AAV1" i="52"/>
  <c r="AYM1" i="52"/>
  <c r="AAY1" i="52"/>
  <c r="AYP1" i="52"/>
  <c r="AYQ1" i="52"/>
  <c r="ABB1" i="52"/>
  <c r="ABD1" i="52"/>
  <c r="ABE1" i="52"/>
  <c r="ABG1" i="52"/>
  <c r="AYX1" i="52"/>
  <c r="ABI1" i="52"/>
  <c r="ABJ1" i="52"/>
  <c r="ABK1" i="52"/>
  <c r="ABL1" i="52"/>
  <c r="ABM1" i="52"/>
  <c r="AZD1" i="52"/>
  <c r="ABP1" i="52"/>
  <c r="ABR1" i="52"/>
  <c r="ZT1" i="52"/>
  <c r="BCZ1" i="52"/>
  <c r="BCY1" i="52"/>
  <c r="D845" i="47"/>
  <c r="BCY2" i="52" s="1"/>
  <c r="N142" i="12"/>
  <c r="Q142" i="12" s="1"/>
  <c r="Q143" i="12" s="1"/>
  <c r="H142" i="12"/>
  <c r="K142" i="12" s="1"/>
  <c r="K143" i="12" s="1"/>
  <c r="N141" i="12"/>
  <c r="Q141" i="12" s="1"/>
  <c r="H141" i="12"/>
  <c r="K141" i="12" s="1"/>
  <c r="N86" i="12"/>
  <c r="Q86" i="12" s="1"/>
  <c r="Q87" i="12" s="1"/>
  <c r="H86" i="12"/>
  <c r="K86" i="12" s="1"/>
  <c r="K87" i="12" s="1"/>
  <c r="N85" i="12"/>
  <c r="Q85" i="12" s="1"/>
  <c r="H85" i="12"/>
  <c r="K85" i="12" s="1"/>
  <c r="N112" i="9"/>
  <c r="Q112" i="9" s="1"/>
  <c r="B112" i="9"/>
  <c r="E112" i="9" s="1"/>
  <c r="B68" i="9"/>
  <c r="E68" i="9" s="1"/>
  <c r="N111" i="20"/>
  <c r="Q111" i="20" s="1"/>
  <c r="H111" i="20"/>
  <c r="K111" i="20" s="1"/>
  <c r="B111" i="20"/>
  <c r="E111" i="20" s="1"/>
  <c r="H110" i="20"/>
  <c r="K110" i="20" s="1"/>
  <c r="N67" i="20"/>
  <c r="Q67" i="20" s="1"/>
  <c r="H67" i="20"/>
  <c r="K67" i="20" s="1"/>
  <c r="B67" i="20"/>
  <c r="E67" i="20" s="1"/>
  <c r="H66" i="20"/>
  <c r="K66" i="20" s="1"/>
  <c r="N23" i="20"/>
  <c r="Q23" i="20" s="1"/>
  <c r="H23" i="20"/>
  <c r="K23" i="20" s="1"/>
  <c r="B23" i="20"/>
  <c r="E23" i="20" s="1"/>
  <c r="H22" i="20"/>
  <c r="K22" i="20" s="1"/>
  <c r="B22" i="20"/>
  <c r="E22" i="20" s="1"/>
  <c r="N25" i="19"/>
  <c r="P25" i="19" s="1"/>
  <c r="H25" i="19"/>
  <c r="J25" i="19" s="1"/>
  <c r="B25" i="19"/>
  <c r="D25" i="19" s="1"/>
  <c r="H24" i="19"/>
  <c r="J24" i="19" s="1"/>
  <c r="B24" i="19"/>
  <c r="D24" i="19" s="1"/>
  <c r="H46" i="1"/>
  <c r="J46" i="1" s="1"/>
  <c r="B13" i="1"/>
  <c r="D13" i="1" s="1"/>
  <c r="N112" i="10"/>
  <c r="Q112" i="10" s="1"/>
  <c r="H112" i="10"/>
  <c r="K112" i="10" s="1"/>
  <c r="B112" i="10"/>
  <c r="E112" i="10" s="1"/>
  <c r="H111" i="10"/>
  <c r="K111" i="10" s="1"/>
  <c r="N110" i="10"/>
  <c r="H110" i="10"/>
  <c r="N68" i="10"/>
  <c r="Q68" i="10" s="1"/>
  <c r="H68" i="10"/>
  <c r="K68" i="10" s="1"/>
  <c r="B68" i="10"/>
  <c r="E68" i="10" s="1"/>
  <c r="H67" i="10"/>
  <c r="K67" i="10" s="1"/>
  <c r="N82" i="1"/>
  <c r="P82" i="1" s="1"/>
  <c r="H82" i="1"/>
  <c r="J82" i="1" s="1"/>
  <c r="B82" i="1"/>
  <c r="D82" i="1" s="1"/>
  <c r="AA56" i="46"/>
  <c r="P56" i="46"/>
  <c r="E56" i="46"/>
  <c r="Y90" i="49"/>
  <c r="K90" i="49"/>
  <c r="AN90" i="49" s="1"/>
  <c r="I90" i="49"/>
  <c r="G90" i="49"/>
  <c r="Y89" i="49"/>
  <c r="K89" i="49"/>
  <c r="I89" i="49"/>
  <c r="G89" i="49"/>
  <c r="Y88" i="49"/>
  <c r="K88" i="49"/>
  <c r="AN88" i="49" s="1"/>
  <c r="I88" i="49"/>
  <c r="G88" i="49"/>
  <c r="AA58" i="49"/>
  <c r="N70" i="19" s="1"/>
  <c r="P70" i="19" s="1"/>
  <c r="P58" i="49"/>
  <c r="H70" i="19" s="1"/>
  <c r="J70" i="19" s="1"/>
  <c r="E58" i="49"/>
  <c r="B114" i="19" s="1"/>
  <c r="D114" i="19" s="1"/>
  <c r="AA89" i="41"/>
  <c r="Y89" i="41"/>
  <c r="P89" i="41"/>
  <c r="N89" i="41"/>
  <c r="V89" i="41" s="1"/>
  <c r="G89" i="41"/>
  <c r="E89" i="41"/>
  <c r="Y88" i="41"/>
  <c r="Y87" i="41"/>
  <c r="AA57" i="41"/>
  <c r="Y88" i="40"/>
  <c r="E88" i="40"/>
  <c r="Y87" i="40"/>
  <c r="E87" i="40"/>
  <c r="AA57" i="40"/>
  <c r="N69" i="9" s="1"/>
  <c r="Q69" i="9" s="1"/>
  <c r="Q70" i="9" s="1"/>
  <c r="P57" i="40"/>
  <c r="H113" i="9" s="1"/>
  <c r="K113" i="9" s="1"/>
  <c r="K114" i="9" s="1"/>
  <c r="E57" i="40"/>
  <c r="B69" i="9" s="1"/>
  <c r="E69" i="9" s="1"/>
  <c r="B47" i="1"/>
  <c r="D47" i="1" s="1"/>
  <c r="N47" i="1"/>
  <c r="P47" i="1" s="1"/>
  <c r="H47" i="1"/>
  <c r="J47" i="1" s="1"/>
  <c r="B30" i="12"/>
  <c r="E30" i="12" s="1"/>
  <c r="E31" i="12" s="1"/>
  <c r="H30" i="12"/>
  <c r="K30" i="12" s="1"/>
  <c r="K31" i="12" s="1"/>
  <c r="N30" i="12"/>
  <c r="Q30" i="12" s="1"/>
  <c r="Q31" i="12" s="1"/>
  <c r="N29" i="12"/>
  <c r="Q29" i="12" s="1"/>
  <c r="H29" i="12"/>
  <c r="K29" i="12" s="1"/>
  <c r="B29" i="12"/>
  <c r="E29" i="12" s="1"/>
  <c r="Y89" i="33"/>
  <c r="N89" i="33"/>
  <c r="T89" i="33" s="1"/>
  <c r="C89" i="33"/>
  <c r="G89" i="33" s="1"/>
  <c r="Y88" i="33"/>
  <c r="P88" i="33"/>
  <c r="N88" i="33"/>
  <c r="R88" i="33" s="1"/>
  <c r="E88" i="33"/>
  <c r="C88" i="33"/>
  <c r="G88" i="33" s="1"/>
  <c r="E57" i="33"/>
  <c r="P57" i="51"/>
  <c r="E57" i="51"/>
  <c r="N37" i="22"/>
  <c r="Q37" i="22" s="1"/>
  <c r="H37" i="22"/>
  <c r="K37" i="22" s="1"/>
  <c r="B37" i="22"/>
  <c r="E37" i="22" s="1"/>
  <c r="N36" i="22"/>
  <c r="Q36" i="22" s="1"/>
  <c r="H36" i="22"/>
  <c r="K36" i="22" s="1"/>
  <c r="H27" i="11"/>
  <c r="K27" i="11" s="1"/>
  <c r="N27" i="11"/>
  <c r="Q27" i="11" s="1"/>
  <c r="N28" i="11"/>
  <c r="Q28" i="11" s="1"/>
  <c r="Q29" i="11" s="1"/>
  <c r="B28" i="11"/>
  <c r="E28" i="11" s="1"/>
  <c r="E29" i="11" s="1"/>
  <c r="H28" i="11"/>
  <c r="K28" i="11" s="1"/>
  <c r="K29" i="11" s="1"/>
  <c r="B27" i="11"/>
  <c r="E27" i="11" s="1"/>
  <c r="H24" i="9"/>
  <c r="K24" i="9" s="1"/>
  <c r="N25" i="9"/>
  <c r="Q25" i="9" s="1"/>
  <c r="Q26" i="9" s="1"/>
  <c r="H25" i="9"/>
  <c r="K25" i="9" s="1"/>
  <c r="K26" i="9" s="1"/>
  <c r="B25" i="9"/>
  <c r="E25" i="9" s="1"/>
  <c r="N24" i="9"/>
  <c r="Q24" i="9" s="1"/>
  <c r="Y86" i="41"/>
  <c r="AC86" i="41" s="1"/>
  <c r="C89" i="41"/>
  <c r="K89" i="41" s="1"/>
  <c r="P57" i="41"/>
  <c r="E57" i="41"/>
  <c r="Y86" i="40"/>
  <c r="AC86" i="40" s="1"/>
  <c r="N24" i="10"/>
  <c r="Q24" i="10" s="1"/>
  <c r="Y87" i="49"/>
  <c r="AG87" i="49" s="1"/>
  <c r="B24" i="10"/>
  <c r="E24" i="10" s="1"/>
  <c r="B23" i="10"/>
  <c r="E23" i="10" s="1"/>
  <c r="H24" i="10"/>
  <c r="K24" i="10" s="1"/>
  <c r="H23" i="10"/>
  <c r="K23" i="10" s="1"/>
  <c r="N14" i="1"/>
  <c r="P14" i="1" s="1"/>
  <c r="H14" i="1"/>
  <c r="J14" i="1" s="1"/>
  <c r="H13" i="1"/>
  <c r="J13" i="1" s="1"/>
  <c r="B14" i="1"/>
  <c r="D14" i="1" s="1"/>
  <c r="BCS1" i="52"/>
  <c r="BCT1" i="52"/>
  <c r="P49" i="33"/>
  <c r="P115" i="33" s="1"/>
  <c r="Q115" i="33" s="1"/>
  <c r="P25" i="33"/>
  <c r="P26" i="33"/>
  <c r="P27" i="33"/>
  <c r="P28" i="33"/>
  <c r="P29" i="33"/>
  <c r="P31" i="33"/>
  <c r="P112" i="33" s="1"/>
  <c r="Q112" i="33" s="1"/>
  <c r="P32" i="33"/>
  <c r="P33" i="33"/>
  <c r="P34" i="33"/>
  <c r="P35" i="33"/>
  <c r="P36" i="33"/>
  <c r="P37" i="33"/>
  <c r="P39" i="33"/>
  <c r="P113" i="33" s="1"/>
  <c r="Q113" i="33" s="1"/>
  <c r="P40" i="33"/>
  <c r="P41" i="33"/>
  <c r="P42" i="33"/>
  <c r="P43" i="33"/>
  <c r="P44" i="33"/>
  <c r="P45" i="33"/>
  <c r="P46" i="33"/>
  <c r="P51" i="33"/>
  <c r="P56" i="33"/>
  <c r="P24" i="33"/>
  <c r="P111" i="33" s="1"/>
  <c r="Q111" i="33" s="1"/>
  <c r="Z49" i="41"/>
  <c r="AB49" i="41" s="1"/>
  <c r="AD49" i="41" s="1"/>
  <c r="AF49" i="41" s="1"/>
  <c r="AH49" i="41" s="1"/>
  <c r="Z55" i="41"/>
  <c r="AB55" i="41" s="1"/>
  <c r="AD55" i="41" s="1"/>
  <c r="AF55" i="41" s="1"/>
  <c r="AH55" i="41" s="1"/>
  <c r="Z56" i="41"/>
  <c r="AB56" i="41" s="1"/>
  <c r="AD56" i="41" s="1"/>
  <c r="AF56" i="41" s="1"/>
  <c r="AH56" i="41" s="1"/>
  <c r="Z64" i="41"/>
  <c r="AB64" i="41" s="1"/>
  <c r="AD64" i="41" s="1"/>
  <c r="AF64" i="41" s="1"/>
  <c r="AH64" i="41" s="1"/>
  <c r="Z65" i="41"/>
  <c r="AB65" i="41" s="1"/>
  <c r="AD65" i="41" s="1"/>
  <c r="AF65" i="41" s="1"/>
  <c r="AH65" i="41" s="1"/>
  <c r="Z66" i="41"/>
  <c r="AB66" i="41" s="1"/>
  <c r="AD66" i="41" s="1"/>
  <c r="AF66" i="41" s="1"/>
  <c r="AH66" i="41" s="1"/>
  <c r="Z67" i="41"/>
  <c r="AB67" i="41" s="1"/>
  <c r="AD67" i="41" s="1"/>
  <c r="AF67" i="41" s="1"/>
  <c r="AH67" i="41" s="1"/>
  <c r="Z68" i="41"/>
  <c r="AB68" i="41" s="1"/>
  <c r="AD68" i="41" s="1"/>
  <c r="AF68" i="41" s="1"/>
  <c r="AH68" i="41" s="1"/>
  <c r="Z69" i="41"/>
  <c r="AB69" i="41" s="1"/>
  <c r="AD69" i="41" s="1"/>
  <c r="AF69" i="41" s="1"/>
  <c r="AH69" i="41" s="1"/>
  <c r="Z70" i="41"/>
  <c r="AB70" i="41" s="1"/>
  <c r="AD70" i="41" s="1"/>
  <c r="AF70" i="41" s="1"/>
  <c r="AH70" i="41" s="1"/>
  <c r="Z71" i="41"/>
  <c r="AB71" i="41" s="1"/>
  <c r="AD71" i="41" s="1"/>
  <c r="AF71" i="41" s="1"/>
  <c r="AH71" i="41" s="1"/>
  <c r="Z72" i="41"/>
  <c r="AB72" i="41" s="1"/>
  <c r="AD72" i="41" s="1"/>
  <c r="AF72" i="41" s="1"/>
  <c r="AH72" i="41" s="1"/>
  <c r="Z73" i="41"/>
  <c r="AB73" i="41" s="1"/>
  <c r="AD73" i="41" s="1"/>
  <c r="AF73" i="41" s="1"/>
  <c r="AH73" i="41" s="1"/>
  <c r="Z74" i="41"/>
  <c r="AB74" i="41" s="1"/>
  <c r="AD74" i="41" s="1"/>
  <c r="AF74" i="41" s="1"/>
  <c r="AH74" i="41" s="1"/>
  <c r="Z75" i="41"/>
  <c r="AB75" i="41" s="1"/>
  <c r="AD75" i="41" s="1"/>
  <c r="AF75" i="41" s="1"/>
  <c r="AH75" i="41" s="1"/>
  <c r="Z76" i="41"/>
  <c r="AB76" i="41" s="1"/>
  <c r="AD76" i="41" s="1"/>
  <c r="AF76" i="41" s="1"/>
  <c r="AH76" i="41" s="1"/>
  <c r="Z77" i="41"/>
  <c r="AB77" i="41" s="1"/>
  <c r="AD77" i="41" s="1"/>
  <c r="AF77" i="41" s="1"/>
  <c r="AH77" i="41" s="1"/>
  <c r="Z78" i="41"/>
  <c r="AB78" i="41" s="1"/>
  <c r="AD78" i="41" s="1"/>
  <c r="AF78" i="41" s="1"/>
  <c r="AH78" i="41" s="1"/>
  <c r="Z79" i="41"/>
  <c r="AB79" i="41" s="1"/>
  <c r="AD79" i="41" s="1"/>
  <c r="AF79" i="41" s="1"/>
  <c r="AH79" i="41" s="1"/>
  <c r="H79" i="41"/>
  <c r="J79" i="41" s="1"/>
  <c r="L79" i="41" s="1"/>
  <c r="H65" i="41"/>
  <c r="J65" i="41" s="1"/>
  <c r="L65" i="41" s="1"/>
  <c r="H66" i="41"/>
  <c r="J66" i="41" s="1"/>
  <c r="L66" i="41" s="1"/>
  <c r="H67" i="41"/>
  <c r="J67" i="41" s="1"/>
  <c r="L67" i="41" s="1"/>
  <c r="H68" i="41"/>
  <c r="J68" i="41" s="1"/>
  <c r="L68" i="41" s="1"/>
  <c r="H69" i="41"/>
  <c r="H70" i="41"/>
  <c r="J70" i="41" s="1"/>
  <c r="L70" i="41" s="1"/>
  <c r="H71" i="41"/>
  <c r="J71" i="41" s="1"/>
  <c r="L71" i="41" s="1"/>
  <c r="H72" i="41"/>
  <c r="J72" i="41" s="1"/>
  <c r="L72" i="41" s="1"/>
  <c r="H73" i="41"/>
  <c r="J73" i="41" s="1"/>
  <c r="L73" i="41" s="1"/>
  <c r="H74" i="41"/>
  <c r="J74" i="41" s="1"/>
  <c r="L74" i="41" s="1"/>
  <c r="H75" i="41"/>
  <c r="J75" i="41" s="1"/>
  <c r="L75" i="41" s="1"/>
  <c r="H76" i="41"/>
  <c r="J76" i="41" s="1"/>
  <c r="L76" i="41" s="1"/>
  <c r="H77" i="41"/>
  <c r="H78" i="41"/>
  <c r="J78" i="41" s="1"/>
  <c r="L78" i="41" s="1"/>
  <c r="H64" i="41"/>
  <c r="H59" i="41"/>
  <c r="H60" i="41"/>
  <c r="J60" i="41" s="1"/>
  <c r="L60" i="41" s="1"/>
  <c r="H58" i="41"/>
  <c r="J58" i="41" s="1"/>
  <c r="L58" i="41" s="1"/>
  <c r="H53" i="41"/>
  <c r="J53" i="41" s="1"/>
  <c r="L53" i="41" s="1"/>
  <c r="H52" i="41"/>
  <c r="J52" i="41" s="1"/>
  <c r="L52" i="41" s="1"/>
  <c r="H51" i="41"/>
  <c r="H49" i="41"/>
  <c r="F66" i="49"/>
  <c r="H66" i="49" s="1"/>
  <c r="J66" i="49" s="1"/>
  <c r="L66" i="49" s="1"/>
  <c r="F67" i="49"/>
  <c r="H67" i="49" s="1"/>
  <c r="J67" i="49" s="1"/>
  <c r="L67" i="49" s="1"/>
  <c r="F68" i="49"/>
  <c r="H68" i="49" s="1"/>
  <c r="J68" i="49" s="1"/>
  <c r="L68" i="49" s="1"/>
  <c r="F69" i="49"/>
  <c r="H69" i="49" s="1"/>
  <c r="J69" i="49" s="1"/>
  <c r="L69" i="49" s="1"/>
  <c r="F70" i="49"/>
  <c r="H70" i="49" s="1"/>
  <c r="J70" i="49" s="1"/>
  <c r="L70" i="49" s="1"/>
  <c r="F71" i="49"/>
  <c r="H71" i="49" s="1"/>
  <c r="J71" i="49" s="1"/>
  <c r="L71" i="49" s="1"/>
  <c r="F72" i="49"/>
  <c r="H72" i="49" s="1"/>
  <c r="J72" i="49" s="1"/>
  <c r="L72" i="49" s="1"/>
  <c r="F73" i="49"/>
  <c r="H73" i="49" s="1"/>
  <c r="J73" i="49" s="1"/>
  <c r="L73" i="49" s="1"/>
  <c r="F74" i="49"/>
  <c r="H74" i="49" s="1"/>
  <c r="J74" i="49" s="1"/>
  <c r="L74" i="49" s="1"/>
  <c r="F75" i="49"/>
  <c r="H75" i="49" s="1"/>
  <c r="J75" i="49" s="1"/>
  <c r="L75" i="49" s="1"/>
  <c r="F76" i="49"/>
  <c r="H76" i="49" s="1"/>
  <c r="J76" i="49" s="1"/>
  <c r="L76" i="49" s="1"/>
  <c r="F77" i="49"/>
  <c r="H77" i="49" s="1"/>
  <c r="J77" i="49" s="1"/>
  <c r="L77" i="49" s="1"/>
  <c r="F78" i="49"/>
  <c r="H78" i="49" s="1"/>
  <c r="J78" i="49" s="1"/>
  <c r="L78" i="49" s="1"/>
  <c r="F79" i="49"/>
  <c r="H79" i="49" s="1"/>
  <c r="J79" i="49" s="1"/>
  <c r="L79" i="49" s="1"/>
  <c r="F80" i="49"/>
  <c r="H80" i="49" s="1"/>
  <c r="J80" i="49" s="1"/>
  <c r="L80" i="49" s="1"/>
  <c r="F65" i="49"/>
  <c r="H65" i="49" s="1"/>
  <c r="J65" i="49" s="1"/>
  <c r="L65" i="49" s="1"/>
  <c r="F54" i="49"/>
  <c r="H54" i="49" s="1"/>
  <c r="J54" i="49" s="1"/>
  <c r="L54" i="49" s="1"/>
  <c r="F53" i="49"/>
  <c r="H53" i="49" s="1"/>
  <c r="J53" i="49" s="1"/>
  <c r="L53" i="49" s="1"/>
  <c r="F56" i="49"/>
  <c r="F60" i="49"/>
  <c r="F61" i="49"/>
  <c r="F59" i="49"/>
  <c r="F52" i="49"/>
  <c r="H52" i="49" s="1"/>
  <c r="J52" i="49" s="1"/>
  <c r="L52" i="49" s="1"/>
  <c r="F50" i="49"/>
  <c r="H50" i="49" s="1"/>
  <c r="J50" i="49" s="1"/>
  <c r="L50" i="49" s="1"/>
  <c r="D700" i="47"/>
  <c r="AXL2" i="52" s="1"/>
  <c r="ABQ1" i="52"/>
  <c r="ABO1" i="52"/>
  <c r="ABN1" i="52"/>
  <c r="ABF1" i="52"/>
  <c r="ABC1" i="52"/>
  <c r="ABA1" i="52"/>
  <c r="AAS1" i="52"/>
  <c r="AAN1" i="52"/>
  <c r="AAM1" i="52"/>
  <c r="AAH1" i="52"/>
  <c r="AAG1" i="52"/>
  <c r="AAE1" i="52"/>
  <c r="ZZ1" i="52"/>
  <c r="ZY1" i="52"/>
  <c r="ZV1" i="52"/>
  <c r="XI1" i="52"/>
  <c r="XG1" i="52"/>
  <c r="WQ1" i="52"/>
  <c r="WO1" i="52"/>
  <c r="VY1" i="52"/>
  <c r="VW1" i="52"/>
  <c r="VG1" i="52"/>
  <c r="VE1" i="52"/>
  <c r="UO1" i="52"/>
  <c r="UM1" i="52"/>
  <c r="TW1" i="52"/>
  <c r="TU1" i="52"/>
  <c r="TE1" i="52"/>
  <c r="TC1" i="52"/>
  <c r="SM1" i="52"/>
  <c r="SK1" i="52"/>
  <c r="RU1" i="52"/>
  <c r="RS1" i="52"/>
  <c r="RC1" i="52"/>
  <c r="RA1" i="52"/>
  <c r="QK1" i="52"/>
  <c r="QI1" i="52"/>
  <c r="PS1" i="52"/>
  <c r="PQ1" i="52"/>
  <c r="HR1" i="52"/>
  <c r="HP1" i="52"/>
  <c r="HB1" i="52"/>
  <c r="GZ1" i="52"/>
  <c r="GL1" i="52"/>
  <c r="GJ1" i="52"/>
  <c r="FV1" i="52"/>
  <c r="FT1" i="52"/>
  <c r="FF1" i="52"/>
  <c r="FD1" i="52"/>
  <c r="EP1" i="52"/>
  <c r="EN1" i="52"/>
  <c r="DZ1" i="52"/>
  <c r="DX1" i="52"/>
  <c r="DJ1" i="52"/>
  <c r="DH1" i="52"/>
  <c r="CT1" i="52"/>
  <c r="CR1" i="52"/>
  <c r="CD1" i="52"/>
  <c r="CB1" i="52"/>
  <c r="BN1" i="52"/>
  <c r="BL1" i="52"/>
  <c r="AX1" i="52"/>
  <c r="AV1" i="52"/>
  <c r="D759" i="47"/>
  <c r="ACA2" i="52" s="1"/>
  <c r="ACA1" i="52"/>
  <c r="ACB1" i="52"/>
  <c r="ACE1" i="52"/>
  <c r="AZS1" i="52"/>
  <c r="ACF1" i="52"/>
  <c r="ABZ1" i="52"/>
  <c r="AFB1" i="52"/>
  <c r="AEY1" i="52"/>
  <c r="AEX1" i="52"/>
  <c r="AEW1" i="52"/>
  <c r="AEU1" i="52"/>
  <c r="AET1" i="52"/>
  <c r="AES1" i="52"/>
  <c r="AEQ1" i="52"/>
  <c r="R3" i="55"/>
  <c r="J3" i="55"/>
  <c r="B3" i="55"/>
  <c r="ACK1" i="52"/>
  <c r="ACL1" i="52"/>
  <c r="ACM1" i="52"/>
  <c r="ACO1" i="52"/>
  <c r="ACP1" i="52"/>
  <c r="ACQ1" i="52"/>
  <c r="ACS1" i="52"/>
  <c r="ACT1" i="52"/>
  <c r="ACU1" i="52"/>
  <c r="ACW1" i="52"/>
  <c r="ACX1" i="52"/>
  <c r="ACY1" i="52"/>
  <c r="ADA1" i="52"/>
  <c r="ADB1" i="52"/>
  <c r="ADC1" i="52"/>
  <c r="ADE1" i="52"/>
  <c r="ADF1" i="52"/>
  <c r="ADG1" i="52"/>
  <c r="ADI1" i="52"/>
  <c r="ADJ1" i="52"/>
  <c r="ADK1" i="52"/>
  <c r="BBC1" i="52"/>
  <c r="ADN1" i="52"/>
  <c r="ADO1" i="52"/>
  <c r="ADQ1" i="52"/>
  <c r="ADR1" i="52"/>
  <c r="ADT1" i="52"/>
  <c r="BBJ1" i="52"/>
  <c r="BBK1" i="52"/>
  <c r="ADW1" i="52"/>
  <c r="BBN1" i="52"/>
  <c r="BBO1" i="52"/>
  <c r="BBP1" i="52"/>
  <c r="BBR1" i="52"/>
  <c r="AEE1" i="52"/>
  <c r="BBU1" i="52"/>
  <c r="BBX1" i="52"/>
  <c r="AEL1" i="52"/>
  <c r="AEM1" i="52"/>
  <c r="BCC1" i="52"/>
  <c r="AEP1" i="52"/>
  <c r="ACI1" i="52"/>
  <c r="S99" i="12"/>
  <c r="AZW1" i="52"/>
  <c r="AEB1" i="52"/>
  <c r="C3" i="27"/>
  <c r="J2" i="27"/>
  <c r="H2" i="27"/>
  <c r="H3" i="27" s="1"/>
  <c r="G4" i="54"/>
  <c r="G5" i="54"/>
  <c r="G3" i="54"/>
  <c r="C6" i="54"/>
  <c r="I5" i="54"/>
  <c r="J5" i="54" s="1"/>
  <c r="F5" i="54"/>
  <c r="I4" i="54"/>
  <c r="J4" i="54" s="1"/>
  <c r="I3" i="54"/>
  <c r="J3" i="54" s="1"/>
  <c r="C118" i="40"/>
  <c r="D118" i="40" s="1"/>
  <c r="AZC1" i="52"/>
  <c r="AZA1" i="52"/>
  <c r="AYT1" i="52"/>
  <c r="AYD1" i="52"/>
  <c r="AYB1" i="52"/>
  <c r="AXX1" i="52"/>
  <c r="AXW1" i="52"/>
  <c r="AXO1" i="52"/>
  <c r="P4" i="37"/>
  <c r="O4" i="37"/>
  <c r="L4" i="37"/>
  <c r="K4" i="37"/>
  <c r="H4" i="37"/>
  <c r="G4" i="37"/>
  <c r="D30" i="32"/>
  <c r="D646" i="47" s="1"/>
  <c r="XU2" i="52" s="1"/>
  <c r="D626" i="47"/>
  <c r="AUR2" i="52" s="1"/>
  <c r="D590" i="47"/>
  <c r="VQ2" i="52" s="1"/>
  <c r="D572" i="47"/>
  <c r="UY2" i="52" s="1"/>
  <c r="D554" i="47"/>
  <c r="UG2" i="52" s="1"/>
  <c r="D518" i="47"/>
  <c r="SW2" i="52" s="1"/>
  <c r="D500" i="47"/>
  <c r="SE2" i="52" s="1"/>
  <c r="D482" i="47"/>
  <c r="RM2" i="52" s="1"/>
  <c r="D464" i="47"/>
  <c r="AOU2" i="52" s="1"/>
  <c r="D446" i="47"/>
  <c r="QC2" i="52" s="1"/>
  <c r="D427" i="47"/>
  <c r="PJ2" i="52" s="1"/>
  <c r="D395" i="47"/>
  <c r="AMH2" i="52" s="1"/>
  <c r="D379" i="47"/>
  <c r="ALS2" i="52" s="1"/>
  <c r="D363" i="47"/>
  <c r="ALD2" i="52" s="1"/>
  <c r="D347" i="47"/>
  <c r="MH2" i="52" s="1"/>
  <c r="D331" i="47"/>
  <c r="AJZ2" i="52" s="1"/>
  <c r="D315" i="47"/>
  <c r="AJK2" i="52" s="1"/>
  <c r="D299" i="47"/>
  <c r="KL2" i="52" s="1"/>
  <c r="D283" i="47"/>
  <c r="JV2" i="52" s="1"/>
  <c r="D267" i="47"/>
  <c r="AHR2" i="52" s="1"/>
  <c r="D251" i="47"/>
  <c r="IP2" i="52" s="1"/>
  <c r="D235" i="47"/>
  <c r="AGN2" i="52" s="1"/>
  <c r="D219" i="47"/>
  <c r="HJ2" i="52" s="1"/>
  <c r="D203" i="47"/>
  <c r="AFJ2" i="52" s="1"/>
  <c r="D187" i="47"/>
  <c r="GD2" i="52" s="1"/>
  <c r="D171" i="47"/>
  <c r="FN2" i="52" s="1"/>
  <c r="D155" i="47"/>
  <c r="EX2" i="52" s="1"/>
  <c r="D139" i="47"/>
  <c r="EH2" i="52" s="1"/>
  <c r="D123" i="47"/>
  <c r="DR2" i="52" s="1"/>
  <c r="D107" i="47"/>
  <c r="DB2" i="52" s="1"/>
  <c r="D91" i="47"/>
  <c r="CL2" i="52" s="1"/>
  <c r="D75" i="47"/>
  <c r="BV2" i="52" s="1"/>
  <c r="D59" i="47"/>
  <c r="BF2" i="52" s="1"/>
  <c r="D644" i="47"/>
  <c r="XS2" i="52" s="1"/>
  <c r="ABV1" i="52"/>
  <c r="I66" i="32"/>
  <c r="Z1" i="52"/>
  <c r="AA1" i="52"/>
  <c r="AB1" i="52"/>
  <c r="AC1" i="52"/>
  <c r="AD1" i="52"/>
  <c r="AE1" i="52"/>
  <c r="AF1" i="52"/>
  <c r="AG1" i="52"/>
  <c r="AH1" i="52"/>
  <c r="AI1" i="52"/>
  <c r="AJ1" i="52"/>
  <c r="AK1" i="52"/>
  <c r="AL1" i="52"/>
  <c r="AM1" i="52"/>
  <c r="AN1" i="52"/>
  <c r="AO1" i="52"/>
  <c r="AP1" i="52"/>
  <c r="AQ1" i="52"/>
  <c r="AR1" i="52"/>
  <c r="AS1" i="52"/>
  <c r="AT1" i="52"/>
  <c r="AU1" i="52"/>
  <c r="AW1" i="52"/>
  <c r="AY1" i="52"/>
  <c r="AZ1" i="52"/>
  <c r="BA1" i="52"/>
  <c r="BB1" i="52"/>
  <c r="BC1" i="52"/>
  <c r="BD1" i="52"/>
  <c r="BE1" i="52"/>
  <c r="BF1" i="52"/>
  <c r="BG1" i="52"/>
  <c r="BH1" i="52"/>
  <c r="BI1" i="52"/>
  <c r="BJ1" i="52"/>
  <c r="BK1" i="52"/>
  <c r="BM1" i="52"/>
  <c r="BO1" i="52"/>
  <c r="BP1" i="52"/>
  <c r="BQ1" i="52"/>
  <c r="BR1" i="52"/>
  <c r="BS1" i="52"/>
  <c r="BT1" i="52"/>
  <c r="BU1" i="52"/>
  <c r="BV1" i="52"/>
  <c r="BW1" i="52"/>
  <c r="BX1" i="52"/>
  <c r="BY1" i="52"/>
  <c r="BZ1" i="52"/>
  <c r="CA1" i="52"/>
  <c r="CC1" i="52"/>
  <c r="CE1" i="52"/>
  <c r="CF1" i="52"/>
  <c r="CG1" i="52"/>
  <c r="CH1" i="52"/>
  <c r="CI1" i="52"/>
  <c r="CJ1" i="52"/>
  <c r="CK1" i="52"/>
  <c r="CL1" i="52"/>
  <c r="CM1" i="52"/>
  <c r="CN1" i="52"/>
  <c r="CO1" i="52"/>
  <c r="CP1" i="52"/>
  <c r="CQ1" i="52"/>
  <c r="CS1" i="52"/>
  <c r="CU1" i="52"/>
  <c r="CV1" i="52"/>
  <c r="CW1" i="52"/>
  <c r="CX1" i="52"/>
  <c r="CY1" i="52"/>
  <c r="CZ1" i="52"/>
  <c r="DA1" i="52"/>
  <c r="DB1" i="52"/>
  <c r="DC1" i="52"/>
  <c r="DD1" i="52"/>
  <c r="DE1" i="52"/>
  <c r="DF1" i="52"/>
  <c r="DG1" i="52"/>
  <c r="DI1" i="52"/>
  <c r="DK1" i="52"/>
  <c r="DL1" i="52"/>
  <c r="DM1" i="52"/>
  <c r="DN1" i="52"/>
  <c r="DO1" i="52"/>
  <c r="DP1" i="52"/>
  <c r="DQ1" i="52"/>
  <c r="DR1" i="52"/>
  <c r="DS1" i="52"/>
  <c r="DT1" i="52"/>
  <c r="DU1" i="52"/>
  <c r="DV1" i="52"/>
  <c r="DW1" i="52"/>
  <c r="DY1" i="52"/>
  <c r="EA1" i="52"/>
  <c r="EB1" i="52"/>
  <c r="EC1" i="52"/>
  <c r="ED1" i="52"/>
  <c r="EE1" i="52"/>
  <c r="EF1" i="52"/>
  <c r="EG1" i="52"/>
  <c r="EH1" i="52"/>
  <c r="EI1" i="52"/>
  <c r="EJ1" i="52"/>
  <c r="EK1" i="52"/>
  <c r="EL1" i="52"/>
  <c r="EM1" i="52"/>
  <c r="EO1" i="52"/>
  <c r="EQ1" i="52"/>
  <c r="ER1" i="52"/>
  <c r="ES1" i="52"/>
  <c r="ET1" i="52"/>
  <c r="EU1" i="52"/>
  <c r="EV1" i="52"/>
  <c r="EW1" i="52"/>
  <c r="EX1" i="52"/>
  <c r="EY1" i="52"/>
  <c r="EZ1" i="52"/>
  <c r="FA1" i="52"/>
  <c r="FB1" i="52"/>
  <c r="FC1" i="52"/>
  <c r="FE1" i="52"/>
  <c r="FG1" i="52"/>
  <c r="FH1" i="52"/>
  <c r="FI1" i="52"/>
  <c r="FJ1" i="52"/>
  <c r="FK1" i="52"/>
  <c r="FL1" i="52"/>
  <c r="FM1" i="52"/>
  <c r="FN1" i="52"/>
  <c r="FO1" i="52"/>
  <c r="FP1" i="52"/>
  <c r="FQ1" i="52"/>
  <c r="FR1" i="52"/>
  <c r="FS1" i="52"/>
  <c r="FU1" i="52"/>
  <c r="FW1" i="52"/>
  <c r="FX1" i="52"/>
  <c r="FY1" i="52"/>
  <c r="FZ1" i="52"/>
  <c r="GA1" i="52"/>
  <c r="GB1" i="52"/>
  <c r="GC1" i="52"/>
  <c r="GD1" i="52"/>
  <c r="GE1" i="52"/>
  <c r="GF1" i="52"/>
  <c r="GG1" i="52"/>
  <c r="GH1" i="52"/>
  <c r="GI1" i="52"/>
  <c r="GK1" i="52"/>
  <c r="GM1" i="52"/>
  <c r="GN1" i="52"/>
  <c r="GO1" i="52"/>
  <c r="GP1" i="52"/>
  <c r="AFF1" i="52"/>
  <c r="GQ1" i="52"/>
  <c r="GR1" i="52"/>
  <c r="AFH1" i="52"/>
  <c r="GS1" i="52"/>
  <c r="AFI1" i="52"/>
  <c r="GT1" i="52"/>
  <c r="GU1" i="52"/>
  <c r="GW1" i="52"/>
  <c r="GX1" i="52"/>
  <c r="GY1" i="52"/>
  <c r="HA1" i="52"/>
  <c r="HD1" i="52"/>
  <c r="HE1" i="52"/>
  <c r="AFU1" i="52"/>
  <c r="HH1" i="52"/>
  <c r="HI1" i="52"/>
  <c r="HK1" i="52"/>
  <c r="HM1" i="52"/>
  <c r="HN1" i="52"/>
  <c r="HO1" i="52"/>
  <c r="HQ1" i="52"/>
  <c r="HS1" i="52"/>
  <c r="HT1" i="52"/>
  <c r="HU1" i="52"/>
  <c r="HV1" i="52"/>
  <c r="HW1" i="52"/>
  <c r="HX1" i="52"/>
  <c r="HY1" i="52"/>
  <c r="IA1" i="52"/>
  <c r="IB1" i="52"/>
  <c r="IC1" i="52"/>
  <c r="IE1" i="52"/>
  <c r="IF1" i="52"/>
  <c r="IG1" i="52"/>
  <c r="II1" i="52"/>
  <c r="IJ1" i="52"/>
  <c r="IK1" i="52"/>
  <c r="IL1" i="52"/>
  <c r="IN1" i="52"/>
  <c r="IP1" i="52"/>
  <c r="IQ1" i="52"/>
  <c r="IS1" i="52"/>
  <c r="IT1" i="52"/>
  <c r="AHG1" i="52"/>
  <c r="IU1" i="52"/>
  <c r="IW1" i="52"/>
  <c r="IX1" i="52"/>
  <c r="IY1" i="52"/>
  <c r="IZ1" i="52"/>
  <c r="JA1" i="52"/>
  <c r="JB1" i="52"/>
  <c r="JE1" i="52"/>
  <c r="JF1" i="52"/>
  <c r="JJ1" i="52"/>
  <c r="JL1" i="52"/>
  <c r="JN1" i="52"/>
  <c r="JO1" i="52"/>
  <c r="AIA1" i="52"/>
  <c r="JP1" i="52"/>
  <c r="JT1" i="52"/>
  <c r="JV1" i="52"/>
  <c r="JY1" i="52"/>
  <c r="KB1" i="52"/>
  <c r="KC1" i="52"/>
  <c r="KD1" i="52"/>
  <c r="KE1" i="52"/>
  <c r="KF1" i="52"/>
  <c r="KH1" i="52"/>
  <c r="KI1" i="52"/>
  <c r="KJ1" i="52"/>
  <c r="KK1" i="52"/>
  <c r="KN1" i="52"/>
  <c r="KO1" i="52"/>
  <c r="AIY1" i="52"/>
  <c r="KP1" i="52"/>
  <c r="KT1" i="52"/>
  <c r="KU1" i="52"/>
  <c r="KV1" i="52"/>
  <c r="KY1" i="52"/>
  <c r="LA1" i="52"/>
  <c r="LB1" i="52"/>
  <c r="LC1" i="52"/>
  <c r="LD1" i="52"/>
  <c r="LH1" i="52"/>
  <c r="LI1" i="52"/>
  <c r="LJ1" i="52"/>
  <c r="LK1" i="52"/>
  <c r="AJT1" i="52"/>
  <c r="LL1" i="52"/>
  <c r="LM1" i="52"/>
  <c r="LO1" i="52"/>
  <c r="LP1" i="52"/>
  <c r="LS1" i="52"/>
  <c r="LT1" i="52"/>
  <c r="LU1" i="52"/>
  <c r="LX1" i="52"/>
  <c r="LY1" i="52"/>
  <c r="MA1" i="52"/>
  <c r="MB1" i="52"/>
  <c r="MC1" i="52"/>
  <c r="ME1" i="52"/>
  <c r="AKL1" i="52"/>
  <c r="MF1" i="52"/>
  <c r="MG1" i="52"/>
  <c r="MH1" i="52"/>
  <c r="MI1" i="52"/>
  <c r="MK1" i="52"/>
  <c r="MM1" i="52"/>
  <c r="MN1" i="52"/>
  <c r="MQ1" i="52"/>
  <c r="MR1" i="52"/>
  <c r="MS1" i="52"/>
  <c r="AKZ1" i="52"/>
  <c r="MW1" i="52"/>
  <c r="MX1" i="52"/>
  <c r="MY1" i="52"/>
  <c r="NB1" i="52"/>
  <c r="ALH1" i="52"/>
  <c r="NC1" i="52"/>
  <c r="NG1" i="52"/>
  <c r="NH1" i="52"/>
  <c r="NL1" i="52"/>
  <c r="NN1" i="52"/>
  <c r="NO1" i="52"/>
  <c r="NP1" i="52"/>
  <c r="NR1" i="52"/>
  <c r="NS1" i="52"/>
  <c r="NT1" i="52"/>
  <c r="ALZ1" i="52"/>
  <c r="NU1" i="52"/>
  <c r="NV1" i="52"/>
  <c r="NW1" i="52"/>
  <c r="NX1" i="52"/>
  <c r="NY1" i="52"/>
  <c r="NZ1" i="52"/>
  <c r="OA1" i="52"/>
  <c r="OB1" i="52"/>
  <c r="OC1" i="52"/>
  <c r="OD1" i="52"/>
  <c r="OE1" i="52"/>
  <c r="OF1" i="52"/>
  <c r="OH1" i="52"/>
  <c r="OK1" i="52"/>
  <c r="OL1" i="52"/>
  <c r="OM1" i="52"/>
  <c r="ON1" i="52"/>
  <c r="OO1" i="52"/>
  <c r="OP1" i="52"/>
  <c r="AMS1" i="52"/>
  <c r="OQ1" i="52"/>
  <c r="OR1" i="52"/>
  <c r="OS1" i="52"/>
  <c r="OT1" i="52"/>
  <c r="OU1" i="52"/>
  <c r="OV1" i="52"/>
  <c r="AMY1" i="52"/>
  <c r="OW1" i="52"/>
  <c r="OX1" i="52"/>
  <c r="OY1" i="52"/>
  <c r="PA1" i="52"/>
  <c r="PB1" i="52"/>
  <c r="PC1" i="52"/>
  <c r="PD1" i="52"/>
  <c r="PE1" i="52"/>
  <c r="PF1" i="52"/>
  <c r="PG1" i="52"/>
  <c r="ANI1" i="52"/>
  <c r="PH1" i="52"/>
  <c r="PI1" i="52"/>
  <c r="PJ1" i="52"/>
  <c r="PK1" i="52"/>
  <c r="PL1" i="52"/>
  <c r="PN1" i="52"/>
  <c r="PP1" i="52"/>
  <c r="PR1" i="52"/>
  <c r="PT1" i="52"/>
  <c r="ANV1" i="52"/>
  <c r="PU1" i="52"/>
  <c r="PV1" i="52"/>
  <c r="PW1" i="52"/>
  <c r="PX1" i="52"/>
  <c r="PY1" i="52"/>
  <c r="PZ1" i="52"/>
  <c r="QA1" i="52"/>
  <c r="QB1" i="52"/>
  <c r="QC1" i="52"/>
  <c r="QD1" i="52"/>
  <c r="QE1" i="52"/>
  <c r="QF1" i="52"/>
  <c r="QG1" i="52"/>
  <c r="QH1" i="52"/>
  <c r="QJ1" i="52"/>
  <c r="QL1" i="52"/>
  <c r="QM1" i="52"/>
  <c r="AON1" i="52"/>
  <c r="QO1" i="52"/>
  <c r="QP1" i="52"/>
  <c r="QQ1" i="52"/>
  <c r="QR1" i="52"/>
  <c r="QS1" i="52"/>
  <c r="QT1" i="52"/>
  <c r="QU1" i="52"/>
  <c r="QV1" i="52"/>
  <c r="QW1" i="52"/>
  <c r="QX1" i="52"/>
  <c r="QY1" i="52"/>
  <c r="QZ1" i="52"/>
  <c r="RB1" i="52"/>
  <c r="RD1" i="52"/>
  <c r="RE1" i="52"/>
  <c r="RF1" i="52"/>
  <c r="RH1" i="52"/>
  <c r="RI1" i="52"/>
  <c r="RJ1" i="52"/>
  <c r="RK1" i="52"/>
  <c r="RL1" i="52"/>
  <c r="RN1" i="52"/>
  <c r="RO1" i="52"/>
  <c r="RP1" i="52"/>
  <c r="RQ1" i="52"/>
  <c r="RR1" i="52"/>
  <c r="RT1" i="52"/>
  <c r="RV1" i="52"/>
  <c r="RW1" i="52"/>
  <c r="RX1" i="52"/>
  <c r="RY1" i="52"/>
  <c r="RZ1" i="52"/>
  <c r="SA1" i="52"/>
  <c r="SB1" i="52"/>
  <c r="SC1" i="52"/>
  <c r="SD1" i="52"/>
  <c r="SE1" i="52"/>
  <c r="SF1" i="52"/>
  <c r="SG1" i="52"/>
  <c r="SH1" i="52"/>
  <c r="SI1" i="52"/>
  <c r="AQG1" i="52"/>
  <c r="SJ1" i="52"/>
  <c r="SL1" i="52"/>
  <c r="SO1" i="52"/>
  <c r="SP1" i="52"/>
  <c r="SQ1" i="52"/>
  <c r="SR1" i="52"/>
  <c r="SS1" i="52"/>
  <c r="ST1" i="52"/>
  <c r="SU1" i="52"/>
  <c r="SX1" i="52"/>
  <c r="SY1" i="52"/>
  <c r="SZ1" i="52"/>
  <c r="TA1" i="52"/>
  <c r="TB1" i="52"/>
  <c r="TD1" i="52"/>
  <c r="TF1" i="52"/>
  <c r="TG1" i="52"/>
  <c r="TH1" i="52"/>
  <c r="TI1" i="52"/>
  <c r="TJ1" i="52"/>
  <c r="TL1" i="52"/>
  <c r="TM1" i="52"/>
  <c r="ARI1" i="52"/>
  <c r="TN1" i="52"/>
  <c r="TO1" i="52"/>
  <c r="TP1" i="52"/>
  <c r="TQ1" i="52"/>
  <c r="TT1" i="52"/>
  <c r="TV1" i="52"/>
  <c r="TX1" i="52"/>
  <c r="TY1" i="52"/>
  <c r="TZ1" i="52"/>
  <c r="ARU1" i="52"/>
  <c r="UA1" i="52"/>
  <c r="UB1" i="52"/>
  <c r="UC1" i="52"/>
  <c r="UD1" i="52"/>
  <c r="UE1" i="52"/>
  <c r="UF1" i="52"/>
  <c r="UG1" i="52"/>
  <c r="UH1" i="52"/>
  <c r="UI1" i="52"/>
  <c r="UJ1" i="52"/>
  <c r="UK1" i="52"/>
  <c r="UL1" i="52"/>
  <c r="UN1" i="52"/>
  <c r="UP1" i="52"/>
  <c r="UQ1" i="52"/>
  <c r="UR1" i="52"/>
  <c r="US1" i="52"/>
  <c r="UU1" i="52"/>
  <c r="UV1" i="52"/>
  <c r="UW1" i="52"/>
  <c r="UX1" i="52"/>
  <c r="UY1" i="52"/>
  <c r="UZ1" i="52"/>
  <c r="VA1" i="52"/>
  <c r="VB1" i="52"/>
  <c r="VC1" i="52"/>
  <c r="ASW1" i="52"/>
  <c r="VD1" i="52"/>
  <c r="VF1" i="52"/>
  <c r="VH1" i="52"/>
  <c r="VI1" i="52"/>
  <c r="VJ1" i="52"/>
  <c r="ATD1" i="52"/>
  <c r="VK1" i="52"/>
  <c r="VL1" i="52"/>
  <c r="VN1" i="52"/>
  <c r="VO1" i="52"/>
  <c r="VP1" i="52"/>
  <c r="ATI1" i="52"/>
  <c r="VQ1" i="52"/>
  <c r="VR1" i="52"/>
  <c r="VT1" i="52"/>
  <c r="VU1" i="52"/>
  <c r="VV1" i="52"/>
  <c r="VX1" i="52"/>
  <c r="WA1" i="52"/>
  <c r="WC1" i="52"/>
  <c r="WD1" i="52"/>
  <c r="WE1" i="52"/>
  <c r="WF1" i="52"/>
  <c r="ATY1" i="52"/>
  <c r="WG1" i="52"/>
  <c r="WH1" i="52"/>
  <c r="WI1" i="52"/>
  <c r="WJ1" i="52"/>
  <c r="AUB1" i="52"/>
  <c r="WK1" i="52"/>
  <c r="WM1" i="52"/>
  <c r="WN1" i="52"/>
  <c r="WP1" i="52"/>
  <c r="WR1" i="52"/>
  <c r="WS1" i="52"/>
  <c r="WT1" i="52"/>
  <c r="WU1" i="52"/>
  <c r="WW1" i="52"/>
  <c r="WX1" i="52"/>
  <c r="AUO1" i="52"/>
  <c r="WY1" i="52"/>
  <c r="XA1" i="52"/>
  <c r="XB1" i="52"/>
  <c r="XC1" i="52"/>
  <c r="XD1" i="52"/>
  <c r="XE1" i="52"/>
  <c r="XF1" i="52"/>
  <c r="XH1" i="52"/>
  <c r="XJ1" i="52"/>
  <c r="XK1" i="52"/>
  <c r="XL1" i="52"/>
  <c r="XM1" i="52"/>
  <c r="XN1" i="52"/>
  <c r="XO1" i="52"/>
  <c r="AVE1" i="52"/>
  <c r="XP1" i="52"/>
  <c r="XQ1" i="52"/>
  <c r="XR1" i="52"/>
  <c r="XS1" i="52"/>
  <c r="AVI1" i="52"/>
  <c r="XT1" i="52"/>
  <c r="XU1" i="52"/>
  <c r="XV1" i="52"/>
  <c r="XW1" i="52"/>
  <c r="XX1" i="52"/>
  <c r="XY1" i="52"/>
  <c r="XZ1" i="52"/>
  <c r="YA1" i="52"/>
  <c r="YB1" i="52"/>
  <c r="YC1" i="52"/>
  <c r="YD1" i="52"/>
  <c r="YE1" i="52"/>
  <c r="YG1" i="52"/>
  <c r="YH1" i="52"/>
  <c r="AVX1" i="52"/>
  <c r="YI1" i="52"/>
  <c r="YJ1" i="52"/>
  <c r="YK1" i="52"/>
  <c r="YL1" i="52"/>
  <c r="YM1" i="52"/>
  <c r="AWC1" i="52"/>
  <c r="AWD1" i="52"/>
  <c r="YN1" i="52"/>
  <c r="YO1" i="52"/>
  <c r="YP1" i="52"/>
  <c r="YQ1" i="52"/>
  <c r="YR1" i="52"/>
  <c r="YS1" i="52"/>
  <c r="YU1" i="52"/>
  <c r="YV1" i="52"/>
  <c r="YW1" i="52"/>
  <c r="YX1" i="52"/>
  <c r="AWO1" i="52"/>
  <c r="YY1" i="52"/>
  <c r="YZ1" i="52"/>
  <c r="ZA1" i="52"/>
  <c r="ZB1" i="52"/>
  <c r="ZC1" i="52"/>
  <c r="ZD1" i="52"/>
  <c r="AWT1" i="52"/>
  <c r="ZE1" i="52"/>
  <c r="ZF1" i="52"/>
  <c r="ZG1" i="52"/>
  <c r="ZH1" i="52"/>
  <c r="ZI1" i="52"/>
  <c r="ZJ1" i="52"/>
  <c r="ZK1" i="52"/>
  <c r="ZM1" i="52"/>
  <c r="ZN1" i="52"/>
  <c r="AXD1" i="52"/>
  <c r="ZO1" i="52"/>
  <c r="ZP1" i="52"/>
  <c r="ZQ1" i="52"/>
  <c r="ZS1" i="52"/>
  <c r="ABS1" i="52"/>
  <c r="ABT1" i="52"/>
  <c r="ABU1" i="52"/>
  <c r="AZH1" i="52"/>
  <c r="AZJ1" i="52"/>
  <c r="ABW1" i="52"/>
  <c r="ABX1" i="52"/>
  <c r="ABY1" i="52"/>
  <c r="B1" i="52"/>
  <c r="C1" i="52"/>
  <c r="D1" i="52"/>
  <c r="E1" i="52"/>
  <c r="F1" i="52"/>
  <c r="G1" i="52"/>
  <c r="H1" i="52"/>
  <c r="I1" i="52"/>
  <c r="J1" i="52"/>
  <c r="K1" i="52"/>
  <c r="L1" i="52"/>
  <c r="M1" i="52"/>
  <c r="N1" i="52"/>
  <c r="O1" i="52"/>
  <c r="P1" i="52"/>
  <c r="Q1" i="52"/>
  <c r="R1" i="52"/>
  <c r="S1" i="52"/>
  <c r="T1" i="52"/>
  <c r="U1" i="52"/>
  <c r="V1" i="52"/>
  <c r="W1" i="52"/>
  <c r="X1" i="52"/>
  <c r="Y1" i="52"/>
  <c r="C2" i="47"/>
  <c r="A1" i="52" s="1"/>
  <c r="B154" i="12"/>
  <c r="B155" i="12"/>
  <c r="B156" i="12"/>
  <c r="B158" i="12"/>
  <c r="B121" i="12" s="1"/>
  <c r="E121" i="12" s="1"/>
  <c r="H154" i="12"/>
  <c r="H155" i="12"/>
  <c r="H156" i="12"/>
  <c r="H158" i="12"/>
  <c r="H121" i="12" s="1"/>
  <c r="K121" i="12" s="1"/>
  <c r="N154" i="12"/>
  <c r="N155" i="12"/>
  <c r="N156" i="12"/>
  <c r="N158" i="12"/>
  <c r="N121" i="12" s="1"/>
  <c r="Q121" i="12" s="1"/>
  <c r="C8" i="34"/>
  <c r="D735" i="47"/>
  <c r="D722" i="47"/>
  <c r="AAP2" i="52" s="1"/>
  <c r="D709" i="47"/>
  <c r="AXS2" i="52" s="1"/>
  <c r="D695" i="47"/>
  <c r="ZQ2" i="52" s="1"/>
  <c r="D692" i="47"/>
  <c r="ZN2" i="52" s="1"/>
  <c r="D689" i="47"/>
  <c r="ZK2" i="52" s="1"/>
  <c r="D686" i="47"/>
  <c r="ZH2" i="52" s="1"/>
  <c r="D685" i="47"/>
  <c r="ZG2" i="52" s="1"/>
  <c r="D682" i="47"/>
  <c r="D679" i="47"/>
  <c r="ZA2" i="52" s="1"/>
  <c r="D676" i="47"/>
  <c r="YX2" i="52" s="1"/>
  <c r="D673" i="47"/>
  <c r="YU2" i="52" s="1"/>
  <c r="D672" i="47"/>
  <c r="YT2" i="52" s="1"/>
  <c r="D669" i="47"/>
  <c r="YQ2" i="52" s="1"/>
  <c r="D666" i="47"/>
  <c r="YN2" i="52" s="1"/>
  <c r="D663" i="47"/>
  <c r="AWA2" i="52" s="1"/>
  <c r="D660" i="47"/>
  <c r="AVX2" i="52" s="1"/>
  <c r="D659" i="47"/>
  <c r="AVW2" i="52" s="1"/>
  <c r="D608" i="47"/>
  <c r="AUA2" i="52" s="1"/>
  <c r="D536" i="47"/>
  <c r="ARK2" i="52" s="1"/>
  <c r="D429" i="47"/>
  <c r="PL2" i="52" s="1"/>
  <c r="D411" i="47"/>
  <c r="OT2" i="52" s="1"/>
  <c r="D29" i="47"/>
  <c r="AB2" i="52" s="1"/>
  <c r="D28" i="47"/>
  <c r="AA2" i="52" s="1"/>
  <c r="D27" i="47"/>
  <c r="Z2" i="52" s="1"/>
  <c r="D26" i="47"/>
  <c r="Y2" i="52" s="1"/>
  <c r="D25" i="47"/>
  <c r="X2" i="52" s="1"/>
  <c r="D24" i="47"/>
  <c r="W2" i="52" s="1"/>
  <c r="D23" i="47"/>
  <c r="V2" i="52" s="1"/>
  <c r="D22" i="47"/>
  <c r="U2" i="52" s="1"/>
  <c r="D21" i="47"/>
  <c r="T2" i="52" s="1"/>
  <c r="D20" i="47"/>
  <c r="S2" i="52" s="1"/>
  <c r="D19" i="47"/>
  <c r="R2" i="52" s="1"/>
  <c r="D18" i="47"/>
  <c r="Q2" i="52" s="1"/>
  <c r="D17" i="47"/>
  <c r="P2" i="52" s="1"/>
  <c r="D16" i="47"/>
  <c r="O2" i="52" s="1"/>
  <c r="D15" i="47"/>
  <c r="N2" i="52" s="1"/>
  <c r="D14" i="47"/>
  <c r="M2" i="52" s="1"/>
  <c r="D13" i="47"/>
  <c r="L2" i="52" s="1"/>
  <c r="D12" i="47"/>
  <c r="K2" i="52" s="1"/>
  <c r="D11" i="47"/>
  <c r="J2" i="52" s="1"/>
  <c r="D10" i="47"/>
  <c r="I2" i="52" s="1"/>
  <c r="D9" i="47"/>
  <c r="H2" i="52" s="1"/>
  <c r="D8" i="47"/>
  <c r="G2" i="52" s="1"/>
  <c r="D7" i="47"/>
  <c r="F2" i="52" s="1"/>
  <c r="D6" i="47"/>
  <c r="E2" i="52" s="1"/>
  <c r="D2" i="47"/>
  <c r="A2" i="52" s="1"/>
  <c r="I111" i="51"/>
  <c r="J111" i="51" s="1"/>
  <c r="AA90" i="33"/>
  <c r="AC90" i="33" s="1"/>
  <c r="P90" i="33"/>
  <c r="R90" i="33" s="1"/>
  <c r="E90" i="33"/>
  <c r="G90" i="33" s="1"/>
  <c r="I90" i="33" s="1"/>
  <c r="AC90" i="40"/>
  <c r="AG51" i="40"/>
  <c r="AG117" i="40" s="1"/>
  <c r="R90" i="40"/>
  <c r="T90" i="40" s="1"/>
  <c r="AA90" i="41"/>
  <c r="AC90" i="41" s="1"/>
  <c r="P90" i="41"/>
  <c r="R90" i="41" s="1"/>
  <c r="E90" i="41"/>
  <c r="G90" i="41" s="1"/>
  <c r="I90" i="41" s="1"/>
  <c r="K90" i="41" s="1"/>
  <c r="AA91" i="49"/>
  <c r="AC91" i="49" s="1"/>
  <c r="AA89" i="46"/>
  <c r="AC89" i="46" s="1"/>
  <c r="AE89" i="46" s="1"/>
  <c r="AA90" i="51"/>
  <c r="AC90" i="51" s="1"/>
  <c r="P90" i="51"/>
  <c r="E90" i="51"/>
  <c r="G90" i="51" s="1"/>
  <c r="S52" i="12"/>
  <c r="H5" i="34"/>
  <c r="E6" i="34"/>
  <c r="K6" i="34" s="1"/>
  <c r="E91" i="49"/>
  <c r="I91" i="49" s="1"/>
  <c r="G91" i="49"/>
  <c r="I41" i="32"/>
  <c r="I40" i="32"/>
  <c r="P89" i="46"/>
  <c r="R89" i="46" s="1"/>
  <c r="E89" i="46"/>
  <c r="G89" i="46" s="1"/>
  <c r="I89" i="46" s="1"/>
  <c r="K89" i="46" s="1"/>
  <c r="AO89" i="46" s="1"/>
  <c r="P91" i="49"/>
  <c r="E69" i="49"/>
  <c r="P53" i="46"/>
  <c r="P117" i="46" s="1"/>
  <c r="Q117" i="46" s="1"/>
  <c r="C10" i="49"/>
  <c r="C123" i="49" s="1"/>
  <c r="B3" i="33"/>
  <c r="F10" i="33" s="1"/>
  <c r="F59" i="33" s="1"/>
  <c r="AA19" i="51"/>
  <c r="E19" i="51"/>
  <c r="P19" i="51"/>
  <c r="AP55" i="33"/>
  <c r="AO55" i="33"/>
  <c r="AN55" i="33"/>
  <c r="AL55" i="33"/>
  <c r="AP54" i="46"/>
  <c r="AO54" i="46"/>
  <c r="AN54" i="46"/>
  <c r="AL54" i="46"/>
  <c r="AH54" i="46"/>
  <c r="AF54" i="46"/>
  <c r="AD54" i="46"/>
  <c r="AB54" i="46"/>
  <c r="Z54" i="46"/>
  <c r="W54" i="46"/>
  <c r="U54" i="46"/>
  <c r="S54" i="46"/>
  <c r="Q54" i="46"/>
  <c r="O54" i="46"/>
  <c r="D54" i="46"/>
  <c r="D56" i="49"/>
  <c r="H36" i="31"/>
  <c r="H35" i="31"/>
  <c r="F36" i="31"/>
  <c r="F35" i="31"/>
  <c r="D36" i="31"/>
  <c r="D35" i="31"/>
  <c r="B36" i="31"/>
  <c r="B35" i="31"/>
  <c r="G27" i="45"/>
  <c r="F27" i="45"/>
  <c r="G26" i="45"/>
  <c r="F26" i="45"/>
  <c r="G25" i="45"/>
  <c r="F25" i="45"/>
  <c r="G24" i="45"/>
  <c r="F24" i="45"/>
  <c r="G20" i="45"/>
  <c r="F20" i="45"/>
  <c r="G19" i="45"/>
  <c r="F19" i="45"/>
  <c r="G18" i="45"/>
  <c r="F18" i="45"/>
  <c r="G17" i="45"/>
  <c r="F17" i="45"/>
  <c r="G13" i="45"/>
  <c r="F13" i="45"/>
  <c r="G12" i="45"/>
  <c r="F12" i="45"/>
  <c r="G11" i="45"/>
  <c r="F11" i="45"/>
  <c r="G10" i="45"/>
  <c r="F10" i="45"/>
  <c r="E8" i="24"/>
  <c r="D7" i="7" s="1"/>
  <c r="AUZ1" i="52"/>
  <c r="AUX1" i="52"/>
  <c r="AUI1" i="52"/>
  <c r="AUG1" i="52"/>
  <c r="ATR1" i="52"/>
  <c r="ATP1" i="52"/>
  <c r="ATA1" i="52"/>
  <c r="ASY1" i="52"/>
  <c r="ASJ1" i="52"/>
  <c r="ASH1" i="52"/>
  <c r="ARS1" i="52"/>
  <c r="ARQ1" i="52"/>
  <c r="ARB1" i="52"/>
  <c r="AQZ1" i="52"/>
  <c r="AQK1" i="52"/>
  <c r="AQI1" i="52"/>
  <c r="APT1" i="52"/>
  <c r="APR1" i="52"/>
  <c r="APC1" i="52"/>
  <c r="APA1" i="52"/>
  <c r="AOL1" i="52"/>
  <c r="AOJ1" i="52"/>
  <c r="ANU1" i="52"/>
  <c r="ANS1" i="52"/>
  <c r="AMA1" i="52"/>
  <c r="AGG1" i="52"/>
  <c r="AGE1" i="52"/>
  <c r="AFR1" i="52"/>
  <c r="AFP1" i="52"/>
  <c r="AFC1" i="52"/>
  <c r="D39" i="26"/>
  <c r="D34" i="26"/>
  <c r="N48" i="51"/>
  <c r="N50" i="51" s="1"/>
  <c r="N32" i="18"/>
  <c r="H32" i="18"/>
  <c r="P22" i="18"/>
  <c r="J22" i="18"/>
  <c r="D22" i="18"/>
  <c r="D41" i="18"/>
  <c r="J41" i="18"/>
  <c r="P41" i="18"/>
  <c r="H51" i="18"/>
  <c r="N51" i="18"/>
  <c r="P52" i="49"/>
  <c r="E52" i="49"/>
  <c r="B113" i="19" s="1"/>
  <c r="D113" i="19" s="1"/>
  <c r="D4" i="18"/>
  <c r="J4" i="18"/>
  <c r="P4" i="18"/>
  <c r="C6" i="42"/>
  <c r="C7" i="42"/>
  <c r="D648" i="47"/>
  <c r="AA19" i="49"/>
  <c r="AA20" i="49"/>
  <c r="AA18" i="49"/>
  <c r="P19" i="49"/>
  <c r="P20" i="49"/>
  <c r="P18" i="49"/>
  <c r="E19" i="49"/>
  <c r="E18" i="49"/>
  <c r="E20" i="49"/>
  <c r="H7" i="24"/>
  <c r="B1" i="30" s="1"/>
  <c r="B24" i="30" s="1"/>
  <c r="H8" i="24"/>
  <c r="D29" i="36" s="1"/>
  <c r="D43" i="36" s="1"/>
  <c r="H9" i="24"/>
  <c r="F29" i="16" s="1"/>
  <c r="F43" i="16" s="1"/>
  <c r="H10" i="24"/>
  <c r="I10" i="24" s="1"/>
  <c r="D571" i="47" s="1"/>
  <c r="ASR2" i="52" s="1"/>
  <c r="B5" i="33"/>
  <c r="C4" i="49"/>
  <c r="C3" i="49"/>
  <c r="G52" i="49"/>
  <c r="C118" i="49" s="1"/>
  <c r="D118" i="49" s="1"/>
  <c r="N7" i="24"/>
  <c r="I42" i="32"/>
  <c r="N6" i="42"/>
  <c r="O6" i="42"/>
  <c r="P6" i="42"/>
  <c r="N7" i="42"/>
  <c r="O7" i="42"/>
  <c r="P7" i="42"/>
  <c r="N8" i="42"/>
  <c r="O8" i="42"/>
  <c r="P8" i="42"/>
  <c r="N9" i="42"/>
  <c r="O9" i="42"/>
  <c r="P9" i="42"/>
  <c r="N10" i="42"/>
  <c r="O10" i="42"/>
  <c r="P10" i="42"/>
  <c r="N11" i="42"/>
  <c r="O11" i="42"/>
  <c r="P11" i="42"/>
  <c r="N12" i="42"/>
  <c r="O12" i="42"/>
  <c r="P12" i="42"/>
  <c r="N13" i="42"/>
  <c r="O13" i="42"/>
  <c r="P13" i="42"/>
  <c r="N14" i="42"/>
  <c r="O14" i="42"/>
  <c r="P14" i="42"/>
  <c r="N15" i="42"/>
  <c r="O15" i="42"/>
  <c r="P15" i="42"/>
  <c r="N16" i="42"/>
  <c r="O16" i="42"/>
  <c r="P16" i="42"/>
  <c r="N17" i="42"/>
  <c r="O17" i="42"/>
  <c r="P17" i="42"/>
  <c r="N18" i="42"/>
  <c r="O18" i="42"/>
  <c r="P18" i="42"/>
  <c r="N19" i="42"/>
  <c r="O19" i="42"/>
  <c r="P19" i="42"/>
  <c r="N20" i="42"/>
  <c r="O20" i="42"/>
  <c r="P20" i="42"/>
  <c r="N21" i="42"/>
  <c r="O21" i="42"/>
  <c r="P21" i="42"/>
  <c r="N22" i="42"/>
  <c r="O22" i="42"/>
  <c r="P22" i="42"/>
  <c r="N23" i="42"/>
  <c r="O23" i="42"/>
  <c r="P23" i="42"/>
  <c r="N24" i="42"/>
  <c r="O24" i="42"/>
  <c r="P24" i="42"/>
  <c r="N25" i="42"/>
  <c r="O25" i="42"/>
  <c r="P25" i="42"/>
  <c r="N26" i="42"/>
  <c r="O26" i="42"/>
  <c r="P26" i="42"/>
  <c r="N27" i="42"/>
  <c r="O27" i="42"/>
  <c r="P27" i="42"/>
  <c r="N28" i="42"/>
  <c r="O28" i="42"/>
  <c r="P28" i="42"/>
  <c r="N29" i="42"/>
  <c r="O29" i="42"/>
  <c r="P29" i="42"/>
  <c r="N30" i="42"/>
  <c r="O30" i="42"/>
  <c r="P30" i="42"/>
  <c r="N31" i="42"/>
  <c r="O31" i="42"/>
  <c r="P31" i="42"/>
  <c r="N32" i="42"/>
  <c r="O32" i="42"/>
  <c r="P32" i="42"/>
  <c r="N33" i="42"/>
  <c r="O33" i="42"/>
  <c r="P33" i="42"/>
  <c r="N34" i="42"/>
  <c r="O34" i="42"/>
  <c r="P34" i="42"/>
  <c r="N35" i="42"/>
  <c r="O35" i="42"/>
  <c r="P35" i="42"/>
  <c r="N36" i="42"/>
  <c r="O36" i="42"/>
  <c r="P36" i="42"/>
  <c r="N37" i="42"/>
  <c r="O37" i="42"/>
  <c r="P37" i="42"/>
  <c r="N38" i="42"/>
  <c r="O38" i="42"/>
  <c r="P38" i="42"/>
  <c r="N39" i="42"/>
  <c r="O39" i="42"/>
  <c r="P39" i="42"/>
  <c r="N40" i="42"/>
  <c r="O40" i="42"/>
  <c r="P40" i="42"/>
  <c r="N41" i="42"/>
  <c r="O41" i="42"/>
  <c r="P41" i="42"/>
  <c r="N42" i="42"/>
  <c r="O42" i="42"/>
  <c r="P42" i="42"/>
  <c r="N43" i="42"/>
  <c r="O43" i="42"/>
  <c r="P43" i="42"/>
  <c r="N44" i="42"/>
  <c r="O44" i="42"/>
  <c r="P44" i="42"/>
  <c r="N45" i="42"/>
  <c r="O45" i="42"/>
  <c r="P45" i="42"/>
  <c r="N46" i="42"/>
  <c r="O46" i="42"/>
  <c r="P46" i="42"/>
  <c r="N47" i="42"/>
  <c r="O47" i="42"/>
  <c r="P47" i="42"/>
  <c r="N48" i="42"/>
  <c r="O48" i="42"/>
  <c r="P48" i="42"/>
  <c r="N49" i="42"/>
  <c r="O49" i="42"/>
  <c r="P49" i="42"/>
  <c r="N50" i="42"/>
  <c r="O50" i="42"/>
  <c r="P50" i="42"/>
  <c r="N51" i="42"/>
  <c r="O51" i="42"/>
  <c r="P51" i="42"/>
  <c r="N52" i="42"/>
  <c r="O52" i="42"/>
  <c r="P52" i="42"/>
  <c r="N53" i="42"/>
  <c r="O53" i="42"/>
  <c r="P53" i="42"/>
  <c r="N54" i="42"/>
  <c r="O54" i="42"/>
  <c r="P54" i="42"/>
  <c r="N55" i="42"/>
  <c r="O55" i="42"/>
  <c r="P55" i="42"/>
  <c r="N56" i="42"/>
  <c r="O56" i="42"/>
  <c r="P56" i="42"/>
  <c r="N57" i="42"/>
  <c r="O57" i="42"/>
  <c r="P57" i="42"/>
  <c r="N58" i="42"/>
  <c r="O58" i="42"/>
  <c r="P58" i="42"/>
  <c r="N59" i="42"/>
  <c r="O59" i="42"/>
  <c r="P59" i="42"/>
  <c r="N60" i="42"/>
  <c r="O60" i="42"/>
  <c r="P60" i="42"/>
  <c r="N61" i="42"/>
  <c r="O61" i="42"/>
  <c r="P61" i="42"/>
  <c r="N62" i="42"/>
  <c r="O62" i="42"/>
  <c r="P62" i="42"/>
  <c r="N63" i="42"/>
  <c r="O63" i="42"/>
  <c r="P63" i="42"/>
  <c r="N64" i="42"/>
  <c r="O64" i="42"/>
  <c r="P64" i="42"/>
  <c r="N65" i="42"/>
  <c r="O65" i="42"/>
  <c r="P65" i="42"/>
  <c r="N66" i="42"/>
  <c r="O66" i="42"/>
  <c r="P66" i="42"/>
  <c r="N67" i="42"/>
  <c r="O67" i="42"/>
  <c r="P67" i="42"/>
  <c r="N68" i="42"/>
  <c r="O68" i="42"/>
  <c r="P68" i="42"/>
  <c r="N69" i="42"/>
  <c r="O69" i="42"/>
  <c r="P69" i="42"/>
  <c r="N70" i="42"/>
  <c r="O70" i="42"/>
  <c r="P70" i="42"/>
  <c r="N71" i="42"/>
  <c r="O71" i="42"/>
  <c r="P71" i="42"/>
  <c r="N72" i="42"/>
  <c r="O72" i="42"/>
  <c r="P72" i="42"/>
  <c r="N73" i="42"/>
  <c r="O73" i="42"/>
  <c r="P73" i="42"/>
  <c r="N74" i="42"/>
  <c r="O74" i="42"/>
  <c r="P74" i="42"/>
  <c r="N75" i="42"/>
  <c r="O75" i="42"/>
  <c r="P75" i="42"/>
  <c r="N76" i="42"/>
  <c r="O76" i="42"/>
  <c r="P76" i="42"/>
  <c r="N77" i="42"/>
  <c r="O77" i="42"/>
  <c r="P77" i="42"/>
  <c r="N78" i="42"/>
  <c r="O78" i="42"/>
  <c r="P78" i="42"/>
  <c r="N79" i="42"/>
  <c r="O79" i="42"/>
  <c r="P79" i="42"/>
  <c r="N80" i="42"/>
  <c r="O80" i="42"/>
  <c r="P80" i="42"/>
  <c r="N81" i="42"/>
  <c r="O81" i="42"/>
  <c r="P81" i="42"/>
  <c r="N82" i="42"/>
  <c r="O82" i="42"/>
  <c r="P82" i="42"/>
  <c r="N83" i="42"/>
  <c r="O83" i="42"/>
  <c r="P83" i="42"/>
  <c r="N84" i="42"/>
  <c r="O84" i="42"/>
  <c r="P84" i="42"/>
  <c r="N85" i="42"/>
  <c r="O85" i="42"/>
  <c r="P85" i="42"/>
  <c r="N86" i="42"/>
  <c r="O86" i="42"/>
  <c r="P86" i="42"/>
  <c r="N87" i="42"/>
  <c r="O87" i="42"/>
  <c r="P87" i="42"/>
  <c r="N88" i="42"/>
  <c r="O88" i="42"/>
  <c r="P88" i="42"/>
  <c r="N89" i="42"/>
  <c r="O89" i="42"/>
  <c r="P89" i="42"/>
  <c r="N90" i="42"/>
  <c r="O90" i="42"/>
  <c r="P90" i="42"/>
  <c r="N91" i="42"/>
  <c r="O91" i="42"/>
  <c r="P91" i="42"/>
  <c r="N92" i="42"/>
  <c r="O92" i="42"/>
  <c r="P92" i="42"/>
  <c r="N93" i="42"/>
  <c r="O93" i="42"/>
  <c r="P93" i="42"/>
  <c r="N94" i="42"/>
  <c r="O94" i="42"/>
  <c r="P94" i="42"/>
  <c r="N95" i="42"/>
  <c r="O95" i="42"/>
  <c r="P95" i="42"/>
  <c r="N96" i="42"/>
  <c r="O96" i="42"/>
  <c r="P96" i="42"/>
  <c r="N97" i="42"/>
  <c r="O97" i="42"/>
  <c r="P97" i="42"/>
  <c r="N98" i="42"/>
  <c r="O98" i="42"/>
  <c r="P98" i="42"/>
  <c r="N99" i="42"/>
  <c r="O99" i="42"/>
  <c r="P99" i="42"/>
  <c r="N100" i="42"/>
  <c r="O100" i="42"/>
  <c r="P100" i="42"/>
  <c r="N101" i="42"/>
  <c r="O101" i="42"/>
  <c r="P101" i="42"/>
  <c r="N102" i="42"/>
  <c r="O102" i="42"/>
  <c r="P102" i="42"/>
  <c r="N103" i="42"/>
  <c r="O103" i="42"/>
  <c r="P103" i="42"/>
  <c r="N104" i="42"/>
  <c r="O104" i="42"/>
  <c r="P104" i="42"/>
  <c r="J6" i="42"/>
  <c r="K6" i="42"/>
  <c r="L6" i="42"/>
  <c r="J7" i="42"/>
  <c r="K7" i="42"/>
  <c r="L7" i="42"/>
  <c r="J8" i="42"/>
  <c r="K8" i="42"/>
  <c r="L8" i="42"/>
  <c r="J9" i="42"/>
  <c r="K9" i="42"/>
  <c r="L9" i="42"/>
  <c r="J10" i="42"/>
  <c r="K10" i="42"/>
  <c r="L10" i="42"/>
  <c r="J11" i="42"/>
  <c r="K11" i="42"/>
  <c r="L11" i="42"/>
  <c r="J12" i="42"/>
  <c r="K12" i="42"/>
  <c r="L12" i="42"/>
  <c r="J13" i="42"/>
  <c r="K13" i="42"/>
  <c r="L13" i="42"/>
  <c r="J14" i="42"/>
  <c r="K14" i="42"/>
  <c r="L14" i="42"/>
  <c r="J15" i="42"/>
  <c r="K15" i="42"/>
  <c r="L15" i="42"/>
  <c r="J16" i="42"/>
  <c r="K16" i="42"/>
  <c r="L16" i="42"/>
  <c r="J17" i="42"/>
  <c r="K17" i="42"/>
  <c r="L17" i="42"/>
  <c r="J18" i="42"/>
  <c r="K18" i="42"/>
  <c r="L18" i="42"/>
  <c r="J19" i="42"/>
  <c r="K19" i="42"/>
  <c r="L19" i="42"/>
  <c r="J20" i="42"/>
  <c r="K20" i="42"/>
  <c r="L20" i="42"/>
  <c r="J21" i="42"/>
  <c r="K21" i="42"/>
  <c r="L21" i="42"/>
  <c r="J22" i="42"/>
  <c r="K22" i="42"/>
  <c r="L22" i="42"/>
  <c r="J23" i="42"/>
  <c r="K23" i="42"/>
  <c r="L23" i="42"/>
  <c r="J24" i="42"/>
  <c r="K24" i="42"/>
  <c r="L24" i="42"/>
  <c r="J25" i="42"/>
  <c r="K25" i="42"/>
  <c r="L25" i="42"/>
  <c r="J26" i="42"/>
  <c r="K26" i="42"/>
  <c r="L26" i="42"/>
  <c r="J27" i="42"/>
  <c r="K27" i="42"/>
  <c r="L27" i="42"/>
  <c r="J28" i="42"/>
  <c r="K28" i="42"/>
  <c r="L28" i="42"/>
  <c r="J29" i="42"/>
  <c r="K29" i="42"/>
  <c r="L29" i="42"/>
  <c r="J30" i="42"/>
  <c r="K30" i="42"/>
  <c r="L30" i="42"/>
  <c r="J31" i="42"/>
  <c r="K31" i="42"/>
  <c r="L31" i="42"/>
  <c r="J32" i="42"/>
  <c r="K32" i="42"/>
  <c r="L32" i="42"/>
  <c r="J33" i="42"/>
  <c r="K33" i="42"/>
  <c r="L33" i="42"/>
  <c r="J34" i="42"/>
  <c r="K34" i="42"/>
  <c r="L34" i="42"/>
  <c r="J35" i="42"/>
  <c r="K35" i="42"/>
  <c r="L35" i="42"/>
  <c r="J36" i="42"/>
  <c r="K36" i="42"/>
  <c r="L36" i="42"/>
  <c r="J37" i="42"/>
  <c r="K37" i="42"/>
  <c r="L37" i="42"/>
  <c r="J38" i="42"/>
  <c r="K38" i="42"/>
  <c r="L38" i="42"/>
  <c r="J39" i="42"/>
  <c r="K39" i="42"/>
  <c r="L39" i="42"/>
  <c r="J40" i="42"/>
  <c r="K40" i="42"/>
  <c r="L40" i="42"/>
  <c r="J41" i="42"/>
  <c r="K41" i="42"/>
  <c r="L41" i="42"/>
  <c r="J42" i="42"/>
  <c r="K42" i="42"/>
  <c r="L42" i="42"/>
  <c r="J43" i="42"/>
  <c r="K43" i="42"/>
  <c r="L43" i="42"/>
  <c r="J44" i="42"/>
  <c r="K44" i="42"/>
  <c r="L44" i="42"/>
  <c r="J45" i="42"/>
  <c r="K45" i="42"/>
  <c r="L45" i="42"/>
  <c r="J46" i="42"/>
  <c r="K46" i="42"/>
  <c r="L46" i="42"/>
  <c r="J47" i="42"/>
  <c r="K47" i="42"/>
  <c r="L47" i="42"/>
  <c r="J48" i="42"/>
  <c r="K48" i="42"/>
  <c r="L48" i="42"/>
  <c r="J49" i="42"/>
  <c r="K49" i="42"/>
  <c r="L49" i="42"/>
  <c r="J50" i="42"/>
  <c r="K50" i="42"/>
  <c r="L50" i="42"/>
  <c r="J51" i="42"/>
  <c r="K51" i="42"/>
  <c r="L51" i="42"/>
  <c r="J52" i="42"/>
  <c r="K52" i="42"/>
  <c r="L52" i="42"/>
  <c r="J53" i="42"/>
  <c r="K53" i="42"/>
  <c r="L53" i="42"/>
  <c r="J54" i="42"/>
  <c r="K54" i="42"/>
  <c r="L54" i="42"/>
  <c r="J55" i="42"/>
  <c r="K55" i="42"/>
  <c r="L55" i="42"/>
  <c r="J56" i="42"/>
  <c r="K56" i="42"/>
  <c r="L56" i="42"/>
  <c r="J57" i="42"/>
  <c r="K57" i="42"/>
  <c r="L57" i="42"/>
  <c r="J58" i="42"/>
  <c r="K58" i="42"/>
  <c r="L58" i="42"/>
  <c r="J59" i="42"/>
  <c r="K59" i="42"/>
  <c r="L59" i="42"/>
  <c r="J60" i="42"/>
  <c r="K60" i="42"/>
  <c r="L60" i="42"/>
  <c r="J61" i="42"/>
  <c r="K61" i="42"/>
  <c r="L61" i="42"/>
  <c r="J62" i="42"/>
  <c r="K62" i="42"/>
  <c r="L62" i="42"/>
  <c r="J63" i="42"/>
  <c r="K63" i="42"/>
  <c r="L63" i="42"/>
  <c r="J64" i="42"/>
  <c r="K64" i="42"/>
  <c r="L64" i="42"/>
  <c r="J65" i="42"/>
  <c r="K65" i="42"/>
  <c r="L65" i="42"/>
  <c r="J66" i="42"/>
  <c r="K66" i="42"/>
  <c r="L66" i="42"/>
  <c r="J67" i="42"/>
  <c r="K67" i="42"/>
  <c r="L67" i="42"/>
  <c r="J68" i="42"/>
  <c r="K68" i="42"/>
  <c r="L68" i="42"/>
  <c r="J69" i="42"/>
  <c r="K69" i="42"/>
  <c r="L69" i="42"/>
  <c r="J70" i="42"/>
  <c r="K70" i="42"/>
  <c r="L70" i="42"/>
  <c r="J71" i="42"/>
  <c r="K71" i="42"/>
  <c r="L71" i="42"/>
  <c r="J72" i="42"/>
  <c r="K72" i="42"/>
  <c r="L72" i="42"/>
  <c r="J73" i="42"/>
  <c r="K73" i="42"/>
  <c r="L73" i="42"/>
  <c r="J74" i="42"/>
  <c r="K74" i="42"/>
  <c r="L74" i="42"/>
  <c r="J75" i="42"/>
  <c r="K75" i="42"/>
  <c r="L75" i="42"/>
  <c r="J76" i="42"/>
  <c r="K76" i="42"/>
  <c r="L76" i="42"/>
  <c r="J77" i="42"/>
  <c r="K77" i="42"/>
  <c r="L77" i="42"/>
  <c r="J78" i="42"/>
  <c r="K78" i="42"/>
  <c r="L78" i="42"/>
  <c r="J79" i="42"/>
  <c r="K79" i="42"/>
  <c r="L79" i="42"/>
  <c r="J80" i="42"/>
  <c r="K80" i="42"/>
  <c r="L80" i="42"/>
  <c r="J81" i="42"/>
  <c r="K81" i="42"/>
  <c r="L81" i="42"/>
  <c r="J82" i="42"/>
  <c r="K82" i="42"/>
  <c r="L82" i="42"/>
  <c r="J83" i="42"/>
  <c r="K83" i="42"/>
  <c r="L83" i="42"/>
  <c r="J84" i="42"/>
  <c r="K84" i="42"/>
  <c r="L84" i="42"/>
  <c r="J85" i="42"/>
  <c r="K85" i="42"/>
  <c r="L85" i="42"/>
  <c r="J86" i="42"/>
  <c r="K86" i="42"/>
  <c r="L86" i="42"/>
  <c r="J87" i="42"/>
  <c r="K87" i="42"/>
  <c r="L87" i="42"/>
  <c r="J88" i="42"/>
  <c r="K88" i="42"/>
  <c r="L88" i="42"/>
  <c r="J89" i="42"/>
  <c r="K89" i="42"/>
  <c r="L89" i="42"/>
  <c r="J90" i="42"/>
  <c r="K90" i="42"/>
  <c r="L90" i="42"/>
  <c r="J91" i="42"/>
  <c r="K91" i="42"/>
  <c r="L91" i="42"/>
  <c r="J92" i="42"/>
  <c r="K92" i="42"/>
  <c r="L92" i="42"/>
  <c r="J93" i="42"/>
  <c r="K93" i="42"/>
  <c r="L93" i="42"/>
  <c r="J94" i="42"/>
  <c r="K94" i="42"/>
  <c r="L94" i="42"/>
  <c r="J95" i="42"/>
  <c r="K95" i="42"/>
  <c r="L95" i="42"/>
  <c r="J96" i="42"/>
  <c r="K96" i="42"/>
  <c r="L96" i="42"/>
  <c r="J97" i="42"/>
  <c r="K97" i="42"/>
  <c r="L97" i="42"/>
  <c r="J98" i="42"/>
  <c r="K98" i="42"/>
  <c r="L98" i="42"/>
  <c r="J99" i="42"/>
  <c r="K99" i="42"/>
  <c r="L99" i="42"/>
  <c r="J100" i="42"/>
  <c r="K100" i="42"/>
  <c r="L100" i="42"/>
  <c r="J101" i="42"/>
  <c r="K101" i="42"/>
  <c r="L101" i="42"/>
  <c r="J102" i="42"/>
  <c r="K102" i="42"/>
  <c r="L102" i="42"/>
  <c r="J103" i="42"/>
  <c r="K103" i="42"/>
  <c r="L103" i="42"/>
  <c r="J104" i="42"/>
  <c r="K104" i="42"/>
  <c r="L104" i="42"/>
  <c r="F6" i="42"/>
  <c r="G6" i="42"/>
  <c r="H6" i="42"/>
  <c r="F7" i="42"/>
  <c r="G7" i="42"/>
  <c r="H7" i="42"/>
  <c r="F8" i="42"/>
  <c r="G8" i="42"/>
  <c r="H8" i="42"/>
  <c r="F9" i="42"/>
  <c r="G9" i="42"/>
  <c r="H9" i="42"/>
  <c r="F10" i="42"/>
  <c r="G10" i="42"/>
  <c r="H10" i="42"/>
  <c r="F11" i="42"/>
  <c r="G11" i="42"/>
  <c r="H11" i="42"/>
  <c r="F12" i="42"/>
  <c r="G12" i="42"/>
  <c r="H12" i="42"/>
  <c r="F13" i="42"/>
  <c r="G13" i="42"/>
  <c r="H13" i="42"/>
  <c r="F14" i="42"/>
  <c r="G14" i="42"/>
  <c r="H14" i="42"/>
  <c r="F15" i="42"/>
  <c r="G15" i="42"/>
  <c r="H15" i="42"/>
  <c r="F16" i="42"/>
  <c r="G16" i="42"/>
  <c r="H16" i="42"/>
  <c r="F17" i="42"/>
  <c r="G17" i="42"/>
  <c r="H17" i="42"/>
  <c r="F18" i="42"/>
  <c r="G18" i="42"/>
  <c r="H18" i="42"/>
  <c r="F19" i="42"/>
  <c r="G19" i="42"/>
  <c r="H19" i="42"/>
  <c r="F20" i="42"/>
  <c r="G20" i="42"/>
  <c r="H20" i="42"/>
  <c r="F21" i="42"/>
  <c r="G21" i="42"/>
  <c r="H21" i="42"/>
  <c r="F22" i="42"/>
  <c r="G22" i="42"/>
  <c r="H22" i="42"/>
  <c r="F23" i="42"/>
  <c r="G23" i="42"/>
  <c r="H23" i="42"/>
  <c r="F24" i="42"/>
  <c r="G24" i="42"/>
  <c r="H24" i="42"/>
  <c r="F25" i="42"/>
  <c r="G25" i="42"/>
  <c r="H25" i="42"/>
  <c r="F26" i="42"/>
  <c r="G26" i="42"/>
  <c r="H26" i="42"/>
  <c r="F27" i="42"/>
  <c r="G27" i="42"/>
  <c r="H27" i="42"/>
  <c r="F28" i="42"/>
  <c r="G28" i="42"/>
  <c r="H28" i="42"/>
  <c r="F29" i="42"/>
  <c r="G29" i="42"/>
  <c r="H29" i="42"/>
  <c r="F30" i="42"/>
  <c r="G30" i="42"/>
  <c r="H30" i="42"/>
  <c r="F31" i="42"/>
  <c r="G31" i="42"/>
  <c r="H31" i="42"/>
  <c r="F32" i="42"/>
  <c r="G32" i="42"/>
  <c r="H32" i="42"/>
  <c r="F33" i="42"/>
  <c r="G33" i="42"/>
  <c r="H33" i="42"/>
  <c r="F34" i="42"/>
  <c r="G34" i="42"/>
  <c r="H34" i="42"/>
  <c r="F35" i="42"/>
  <c r="G35" i="42"/>
  <c r="H35" i="42"/>
  <c r="F36" i="42"/>
  <c r="G36" i="42"/>
  <c r="H36" i="42"/>
  <c r="F37" i="42"/>
  <c r="G37" i="42"/>
  <c r="H37" i="42"/>
  <c r="F38" i="42"/>
  <c r="G38" i="42"/>
  <c r="H38" i="42"/>
  <c r="F39" i="42"/>
  <c r="G39" i="42"/>
  <c r="H39" i="42"/>
  <c r="F40" i="42"/>
  <c r="G40" i="42"/>
  <c r="H40" i="42"/>
  <c r="F41" i="42"/>
  <c r="G41" i="42"/>
  <c r="H41" i="42"/>
  <c r="F42" i="42"/>
  <c r="G42" i="42"/>
  <c r="H42" i="42"/>
  <c r="F43" i="42"/>
  <c r="G43" i="42"/>
  <c r="H43" i="42"/>
  <c r="F44" i="42"/>
  <c r="G44" i="42"/>
  <c r="H44" i="42"/>
  <c r="F45" i="42"/>
  <c r="G45" i="42"/>
  <c r="H45" i="42"/>
  <c r="F46" i="42"/>
  <c r="G46" i="42"/>
  <c r="H46" i="42"/>
  <c r="F47" i="42"/>
  <c r="G47" i="42"/>
  <c r="H47" i="42"/>
  <c r="F48" i="42"/>
  <c r="G48" i="42"/>
  <c r="H48" i="42"/>
  <c r="F49" i="42"/>
  <c r="G49" i="42"/>
  <c r="H49" i="42"/>
  <c r="F50" i="42"/>
  <c r="G50" i="42"/>
  <c r="H50" i="42"/>
  <c r="F51" i="42"/>
  <c r="G51" i="42"/>
  <c r="H51" i="42"/>
  <c r="F52" i="42"/>
  <c r="G52" i="42"/>
  <c r="H52" i="42"/>
  <c r="F53" i="42"/>
  <c r="G53" i="42"/>
  <c r="H53" i="42"/>
  <c r="F54" i="42"/>
  <c r="G54" i="42"/>
  <c r="H54" i="42"/>
  <c r="F55" i="42"/>
  <c r="G55" i="42"/>
  <c r="H55" i="42"/>
  <c r="F56" i="42"/>
  <c r="G56" i="42"/>
  <c r="H56" i="42"/>
  <c r="F57" i="42"/>
  <c r="G57" i="42"/>
  <c r="H57" i="42"/>
  <c r="F58" i="42"/>
  <c r="G58" i="42"/>
  <c r="H58" i="42"/>
  <c r="F59" i="42"/>
  <c r="G59" i="42"/>
  <c r="H59" i="42"/>
  <c r="F60" i="42"/>
  <c r="G60" i="42"/>
  <c r="H60" i="42"/>
  <c r="F61" i="42"/>
  <c r="G61" i="42"/>
  <c r="H61" i="42"/>
  <c r="F62" i="42"/>
  <c r="G62" i="42"/>
  <c r="H62" i="42"/>
  <c r="F63" i="42"/>
  <c r="G63" i="42"/>
  <c r="H63" i="42"/>
  <c r="F64" i="42"/>
  <c r="G64" i="42"/>
  <c r="H64" i="42"/>
  <c r="F65" i="42"/>
  <c r="G65" i="42"/>
  <c r="H65" i="42"/>
  <c r="F66" i="42"/>
  <c r="G66" i="42"/>
  <c r="H66" i="42"/>
  <c r="F67" i="42"/>
  <c r="G67" i="42"/>
  <c r="H67" i="42"/>
  <c r="F68" i="42"/>
  <c r="G68" i="42"/>
  <c r="H68" i="42"/>
  <c r="F69" i="42"/>
  <c r="G69" i="42"/>
  <c r="H69" i="42"/>
  <c r="F70" i="42"/>
  <c r="G70" i="42"/>
  <c r="H70" i="42"/>
  <c r="F71" i="42"/>
  <c r="G71" i="42"/>
  <c r="H71" i="42"/>
  <c r="F72" i="42"/>
  <c r="G72" i="42"/>
  <c r="H72" i="42"/>
  <c r="F73" i="42"/>
  <c r="G73" i="42"/>
  <c r="H73" i="42"/>
  <c r="F74" i="42"/>
  <c r="G74" i="42"/>
  <c r="H74" i="42"/>
  <c r="F75" i="42"/>
  <c r="G75" i="42"/>
  <c r="H75" i="42"/>
  <c r="F76" i="42"/>
  <c r="G76" i="42"/>
  <c r="H76" i="42"/>
  <c r="F77" i="42"/>
  <c r="G77" i="42"/>
  <c r="H77" i="42"/>
  <c r="F78" i="42"/>
  <c r="G78" i="42"/>
  <c r="H78" i="42"/>
  <c r="F79" i="42"/>
  <c r="G79" i="42"/>
  <c r="H79" i="42"/>
  <c r="F80" i="42"/>
  <c r="G80" i="42"/>
  <c r="H80" i="42"/>
  <c r="F81" i="42"/>
  <c r="G81" i="42"/>
  <c r="H81" i="42"/>
  <c r="F82" i="42"/>
  <c r="G82" i="42"/>
  <c r="H82" i="42"/>
  <c r="F83" i="42"/>
  <c r="G83" i="42"/>
  <c r="H83" i="42"/>
  <c r="F84" i="42"/>
  <c r="G84" i="42"/>
  <c r="H84" i="42"/>
  <c r="F85" i="42"/>
  <c r="G85" i="42"/>
  <c r="H85" i="42"/>
  <c r="F86" i="42"/>
  <c r="G86" i="42"/>
  <c r="H86" i="42"/>
  <c r="F87" i="42"/>
  <c r="G87" i="42"/>
  <c r="H87" i="42"/>
  <c r="F88" i="42"/>
  <c r="G88" i="42"/>
  <c r="H88" i="42"/>
  <c r="F89" i="42"/>
  <c r="G89" i="42"/>
  <c r="H89" i="42"/>
  <c r="F90" i="42"/>
  <c r="G90" i="42"/>
  <c r="H90" i="42"/>
  <c r="F91" i="42"/>
  <c r="G91" i="42"/>
  <c r="H91" i="42"/>
  <c r="F92" i="42"/>
  <c r="G92" i="42"/>
  <c r="H92" i="42"/>
  <c r="F93" i="42"/>
  <c r="G93" i="42"/>
  <c r="H93" i="42"/>
  <c r="F94" i="42"/>
  <c r="G94" i="42"/>
  <c r="H94" i="42"/>
  <c r="F95" i="42"/>
  <c r="G95" i="42"/>
  <c r="H95" i="42"/>
  <c r="F96" i="42"/>
  <c r="G96" i="42"/>
  <c r="H96" i="42"/>
  <c r="F97" i="42"/>
  <c r="G97" i="42"/>
  <c r="H97" i="42"/>
  <c r="F98" i="42"/>
  <c r="G98" i="42"/>
  <c r="H98" i="42"/>
  <c r="F99" i="42"/>
  <c r="G99" i="42"/>
  <c r="H99" i="42"/>
  <c r="F100" i="42"/>
  <c r="G100" i="42"/>
  <c r="H100" i="42"/>
  <c r="F101" i="42"/>
  <c r="G101" i="42"/>
  <c r="H101" i="42"/>
  <c r="F102" i="42"/>
  <c r="G102" i="42"/>
  <c r="H102" i="42"/>
  <c r="F103" i="42"/>
  <c r="G103" i="42"/>
  <c r="H103" i="42"/>
  <c r="F104" i="42"/>
  <c r="G104" i="42"/>
  <c r="H104" i="42"/>
  <c r="P5" i="42"/>
  <c r="O5" i="42"/>
  <c r="N5" i="42"/>
  <c r="L5" i="42"/>
  <c r="K5" i="42"/>
  <c r="J5" i="42"/>
  <c r="H5" i="42"/>
  <c r="G5" i="42"/>
  <c r="F5" i="42"/>
  <c r="C5" i="42"/>
  <c r="D5" i="42"/>
  <c r="B5" i="42"/>
  <c r="D6" i="42"/>
  <c r="D7" i="42"/>
  <c r="D8" i="42"/>
  <c r="D9" i="42"/>
  <c r="D10" i="42"/>
  <c r="D11" i="42"/>
  <c r="D12" i="42"/>
  <c r="D13" i="42"/>
  <c r="D14" i="42"/>
  <c r="D15" i="42"/>
  <c r="D16" i="42"/>
  <c r="D17" i="42"/>
  <c r="D18" i="42"/>
  <c r="D19" i="42"/>
  <c r="D20" i="42"/>
  <c r="D21" i="42"/>
  <c r="D22" i="42"/>
  <c r="D23" i="42"/>
  <c r="D24" i="42"/>
  <c r="D25" i="42"/>
  <c r="D26" i="42"/>
  <c r="D27" i="42"/>
  <c r="D28" i="42"/>
  <c r="D29" i="42"/>
  <c r="D30" i="42"/>
  <c r="D31" i="42"/>
  <c r="D32" i="42"/>
  <c r="D33" i="42"/>
  <c r="D34" i="42"/>
  <c r="D35" i="42"/>
  <c r="D36" i="42"/>
  <c r="D37" i="42"/>
  <c r="D38" i="42"/>
  <c r="D39" i="42"/>
  <c r="D40" i="42"/>
  <c r="D41" i="42"/>
  <c r="D42" i="42"/>
  <c r="D43" i="42"/>
  <c r="D44" i="42"/>
  <c r="D45" i="42"/>
  <c r="D46" i="42"/>
  <c r="D47" i="42"/>
  <c r="D48" i="42"/>
  <c r="D49" i="42"/>
  <c r="D50" i="42"/>
  <c r="D51" i="42"/>
  <c r="D52" i="42"/>
  <c r="D53" i="42"/>
  <c r="D54" i="42"/>
  <c r="D55" i="42"/>
  <c r="D56" i="42"/>
  <c r="D57" i="42"/>
  <c r="D58" i="42"/>
  <c r="D59" i="42"/>
  <c r="D60" i="42"/>
  <c r="D61" i="42"/>
  <c r="D62" i="42"/>
  <c r="D63" i="42"/>
  <c r="D64" i="42"/>
  <c r="D65" i="42"/>
  <c r="D66" i="42"/>
  <c r="D67" i="42"/>
  <c r="D68" i="42"/>
  <c r="D69" i="42"/>
  <c r="D70" i="42"/>
  <c r="D71" i="42"/>
  <c r="D72" i="42"/>
  <c r="D73" i="42"/>
  <c r="D74" i="42"/>
  <c r="D75" i="42"/>
  <c r="D76" i="42"/>
  <c r="D77" i="42"/>
  <c r="D78" i="42"/>
  <c r="D79" i="42"/>
  <c r="D80" i="42"/>
  <c r="D81" i="42"/>
  <c r="D82" i="42"/>
  <c r="D83" i="42"/>
  <c r="D84" i="42"/>
  <c r="D85" i="42"/>
  <c r="D86" i="42"/>
  <c r="D87" i="42"/>
  <c r="D88" i="42"/>
  <c r="D89" i="42"/>
  <c r="D90" i="42"/>
  <c r="D91" i="42"/>
  <c r="D92" i="42"/>
  <c r="D93" i="42"/>
  <c r="D94" i="42"/>
  <c r="D95" i="42"/>
  <c r="D96" i="42"/>
  <c r="D97" i="42"/>
  <c r="D98" i="42"/>
  <c r="D99" i="42"/>
  <c r="D100" i="42"/>
  <c r="D101" i="42"/>
  <c r="D102" i="42"/>
  <c r="D103" i="42"/>
  <c r="D104" i="42"/>
  <c r="C8" i="42"/>
  <c r="C9" i="42"/>
  <c r="C10" i="42"/>
  <c r="C11" i="42"/>
  <c r="C12" i="42"/>
  <c r="C13" i="42"/>
  <c r="C14" i="42"/>
  <c r="C15" i="42"/>
  <c r="C16" i="42"/>
  <c r="C17" i="42"/>
  <c r="C18" i="42"/>
  <c r="C19" i="42"/>
  <c r="C20" i="42"/>
  <c r="C21" i="42"/>
  <c r="C22" i="42"/>
  <c r="C23" i="42"/>
  <c r="C24" i="42"/>
  <c r="C25" i="42"/>
  <c r="C26" i="42"/>
  <c r="C27" i="42"/>
  <c r="C28" i="42"/>
  <c r="C29" i="42"/>
  <c r="C30" i="42"/>
  <c r="C31" i="42"/>
  <c r="C32" i="42"/>
  <c r="C33" i="42"/>
  <c r="C34" i="42"/>
  <c r="C35" i="42"/>
  <c r="C36" i="42"/>
  <c r="C37" i="42"/>
  <c r="C38" i="42"/>
  <c r="C39" i="42"/>
  <c r="C40" i="42"/>
  <c r="C41" i="42"/>
  <c r="C42" i="42"/>
  <c r="C43" i="42"/>
  <c r="C44" i="42"/>
  <c r="C45" i="42"/>
  <c r="C46" i="42"/>
  <c r="C47" i="42"/>
  <c r="C48" i="42"/>
  <c r="C49" i="42"/>
  <c r="C50" i="42"/>
  <c r="C51" i="42"/>
  <c r="C52" i="42"/>
  <c r="C53" i="42"/>
  <c r="C54" i="42"/>
  <c r="C55" i="42"/>
  <c r="C56" i="42"/>
  <c r="C57" i="42"/>
  <c r="C58" i="42"/>
  <c r="C59" i="42"/>
  <c r="C60" i="42"/>
  <c r="C61" i="42"/>
  <c r="C62" i="42"/>
  <c r="C63" i="42"/>
  <c r="C64" i="42"/>
  <c r="C65" i="42"/>
  <c r="C66" i="42"/>
  <c r="C67" i="42"/>
  <c r="C68" i="42"/>
  <c r="C69" i="42"/>
  <c r="C70" i="42"/>
  <c r="C71" i="42"/>
  <c r="C72" i="42"/>
  <c r="C73" i="42"/>
  <c r="C74" i="42"/>
  <c r="C75" i="42"/>
  <c r="C76" i="42"/>
  <c r="C77" i="42"/>
  <c r="C78" i="42"/>
  <c r="C79" i="42"/>
  <c r="C80" i="42"/>
  <c r="C81" i="42"/>
  <c r="C82" i="42"/>
  <c r="C83" i="42"/>
  <c r="C84" i="42"/>
  <c r="C85" i="42"/>
  <c r="C86" i="42"/>
  <c r="C87" i="42"/>
  <c r="C88" i="42"/>
  <c r="C89" i="42"/>
  <c r="C90" i="42"/>
  <c r="C91" i="42"/>
  <c r="C92" i="42"/>
  <c r="C93" i="42"/>
  <c r="C94" i="42"/>
  <c r="C95" i="42"/>
  <c r="C96" i="42"/>
  <c r="C97" i="42"/>
  <c r="C98" i="42"/>
  <c r="C99" i="42"/>
  <c r="C100" i="42"/>
  <c r="C101" i="42"/>
  <c r="C102" i="42"/>
  <c r="C103" i="42"/>
  <c r="C104" i="42"/>
  <c r="B6" i="42"/>
  <c r="B7" i="42"/>
  <c r="B8" i="42"/>
  <c r="B9" i="42"/>
  <c r="B10" i="42"/>
  <c r="B11" i="42"/>
  <c r="B12" i="42"/>
  <c r="B13" i="42"/>
  <c r="B14" i="42"/>
  <c r="B15" i="42"/>
  <c r="B16" i="42"/>
  <c r="B17" i="42"/>
  <c r="B18" i="42"/>
  <c r="B19" i="42"/>
  <c r="B20" i="42"/>
  <c r="B21" i="42"/>
  <c r="B22" i="42"/>
  <c r="B23" i="42"/>
  <c r="B24" i="42"/>
  <c r="B25" i="42"/>
  <c r="B26" i="42"/>
  <c r="B27" i="42"/>
  <c r="B28" i="42"/>
  <c r="B29" i="42"/>
  <c r="B30" i="42"/>
  <c r="B31" i="42"/>
  <c r="B32" i="42"/>
  <c r="B33" i="42"/>
  <c r="B34" i="42"/>
  <c r="B35" i="42"/>
  <c r="B36" i="42"/>
  <c r="B37" i="42"/>
  <c r="B38" i="42"/>
  <c r="B39" i="42"/>
  <c r="B40" i="42"/>
  <c r="B41" i="42"/>
  <c r="B42" i="42"/>
  <c r="B43" i="42"/>
  <c r="B44" i="42"/>
  <c r="B45" i="42"/>
  <c r="B46" i="42"/>
  <c r="B47" i="42"/>
  <c r="B48" i="42"/>
  <c r="B49" i="42"/>
  <c r="B50" i="42"/>
  <c r="B51" i="42"/>
  <c r="B52" i="42"/>
  <c r="B53" i="42"/>
  <c r="B54" i="42"/>
  <c r="B55" i="42"/>
  <c r="B56" i="42"/>
  <c r="B57" i="42"/>
  <c r="B58" i="42"/>
  <c r="B59" i="42"/>
  <c r="B60" i="42"/>
  <c r="B61" i="42"/>
  <c r="B62" i="42"/>
  <c r="B63" i="42"/>
  <c r="B64" i="42"/>
  <c r="B65" i="42"/>
  <c r="B66" i="42"/>
  <c r="B67" i="42"/>
  <c r="B68" i="42"/>
  <c r="B69" i="42"/>
  <c r="B70" i="42"/>
  <c r="B71" i="42"/>
  <c r="B72" i="42"/>
  <c r="B73" i="42"/>
  <c r="B74" i="42"/>
  <c r="B75" i="42"/>
  <c r="B76" i="42"/>
  <c r="B77" i="42"/>
  <c r="B78" i="42"/>
  <c r="B79" i="42"/>
  <c r="B80" i="42"/>
  <c r="B81" i="42"/>
  <c r="B82" i="42"/>
  <c r="B83" i="42"/>
  <c r="B84" i="42"/>
  <c r="B85" i="42"/>
  <c r="B86" i="42"/>
  <c r="B87" i="42"/>
  <c r="B88" i="42"/>
  <c r="B89" i="42"/>
  <c r="B90" i="42"/>
  <c r="B91" i="42"/>
  <c r="B92" i="42"/>
  <c r="B93" i="42"/>
  <c r="B94" i="42"/>
  <c r="B95" i="42"/>
  <c r="B96" i="42"/>
  <c r="B97" i="42"/>
  <c r="B98" i="42"/>
  <c r="B99" i="42"/>
  <c r="B100" i="42"/>
  <c r="B101" i="42"/>
  <c r="B102" i="42"/>
  <c r="B103" i="42"/>
  <c r="B104" i="42"/>
  <c r="AH79" i="51"/>
  <c r="AG79" i="51"/>
  <c r="AF79" i="51"/>
  <c r="AE79" i="51"/>
  <c r="AD79" i="51"/>
  <c r="AC79" i="51"/>
  <c r="AB79" i="51"/>
  <c r="AH78" i="51"/>
  <c r="AF78" i="51"/>
  <c r="AD78" i="51"/>
  <c r="AB78" i="51"/>
  <c r="AA78" i="51"/>
  <c r="AH77" i="51"/>
  <c r="AF77" i="51"/>
  <c r="AD77" i="51"/>
  <c r="AB77" i="51"/>
  <c r="AA77" i="51"/>
  <c r="AH76" i="51"/>
  <c r="AF76" i="51"/>
  <c r="AD76" i="51"/>
  <c r="AB76" i="51"/>
  <c r="AA76" i="51"/>
  <c r="AH75" i="51"/>
  <c r="AF75" i="51"/>
  <c r="AD75" i="51"/>
  <c r="AB75" i="51"/>
  <c r="AA75" i="51"/>
  <c r="AH74" i="51"/>
  <c r="AF74" i="51"/>
  <c r="AD74" i="51"/>
  <c r="AB74" i="51"/>
  <c r="AA74" i="51"/>
  <c r="AH73" i="51"/>
  <c r="AF73" i="51"/>
  <c r="AD73" i="51"/>
  <c r="AB73" i="51"/>
  <c r="AA73" i="51"/>
  <c r="AH72" i="51"/>
  <c r="AF72" i="51"/>
  <c r="AD72" i="51"/>
  <c r="AB72" i="51"/>
  <c r="AA72" i="51"/>
  <c r="AH71" i="51"/>
  <c r="AF71" i="51"/>
  <c r="AD71" i="51"/>
  <c r="AB71" i="51"/>
  <c r="AA71" i="51"/>
  <c r="AH70" i="51"/>
  <c r="AF70" i="51"/>
  <c r="AD70" i="51"/>
  <c r="AB70" i="51"/>
  <c r="AA70" i="51"/>
  <c r="AH69" i="51"/>
  <c r="AF69" i="51"/>
  <c r="AD69" i="51"/>
  <c r="AB69" i="51"/>
  <c r="AA69" i="51"/>
  <c r="AH68" i="51"/>
  <c r="AF68" i="51"/>
  <c r="AD68" i="51"/>
  <c r="AB68" i="51"/>
  <c r="AA68" i="51"/>
  <c r="AH67" i="51"/>
  <c r="AF67" i="51"/>
  <c r="AD67" i="51"/>
  <c r="AB67" i="51"/>
  <c r="AA67" i="51"/>
  <c r="AH66" i="51"/>
  <c r="AF66" i="51"/>
  <c r="AD66" i="51"/>
  <c r="AB66" i="51"/>
  <c r="AA66" i="51"/>
  <c r="AH65" i="51"/>
  <c r="AF65" i="51"/>
  <c r="AD65" i="51"/>
  <c r="AB65" i="51"/>
  <c r="AA65" i="51"/>
  <c r="AH64" i="51"/>
  <c r="AF64" i="51"/>
  <c r="AD64" i="51"/>
  <c r="AB64" i="51"/>
  <c r="AA64" i="51"/>
  <c r="AA63" i="51"/>
  <c r="AA60" i="51"/>
  <c r="AA59" i="51"/>
  <c r="AA58" i="51"/>
  <c r="AH56" i="51"/>
  <c r="AF56" i="51"/>
  <c r="AD56" i="51"/>
  <c r="AB56" i="51"/>
  <c r="AA56" i="51"/>
  <c r="AH55" i="51"/>
  <c r="AF55" i="51"/>
  <c r="AD55" i="51"/>
  <c r="AB55" i="51"/>
  <c r="AA54" i="51"/>
  <c r="AA118" i="51" s="1"/>
  <c r="AB118" i="51" s="1"/>
  <c r="AA53" i="51"/>
  <c r="AA52" i="51"/>
  <c r="AG51" i="51"/>
  <c r="AG117" i="51" s="1"/>
  <c r="AH117" i="51" s="1"/>
  <c r="AE51" i="51"/>
  <c r="AC51" i="51"/>
  <c r="Y117" i="51" s="1"/>
  <c r="Z117" i="51" s="1"/>
  <c r="AH49" i="51"/>
  <c r="AF49" i="51"/>
  <c r="AD49" i="51"/>
  <c r="AB49" i="51"/>
  <c r="AG48" i="51"/>
  <c r="AE48" i="51"/>
  <c r="AE50" i="51" s="1"/>
  <c r="AC48" i="51"/>
  <c r="AC50" i="51" s="1"/>
  <c r="AG47" i="51"/>
  <c r="AE47" i="51"/>
  <c r="AC47" i="51"/>
  <c r="AG38" i="51"/>
  <c r="AE38" i="51"/>
  <c r="AC38" i="51"/>
  <c r="AG30" i="51"/>
  <c r="AE30" i="51"/>
  <c r="AC30" i="51"/>
  <c r="W79" i="51"/>
  <c r="V79" i="51"/>
  <c r="U79" i="51"/>
  <c r="T79" i="51"/>
  <c r="S79" i="51"/>
  <c r="R79" i="51"/>
  <c r="Q79" i="51"/>
  <c r="W78" i="51"/>
  <c r="U78" i="51"/>
  <c r="S78" i="51"/>
  <c r="Q78" i="51"/>
  <c r="P78" i="51"/>
  <c r="W77" i="51"/>
  <c r="U77" i="51"/>
  <c r="S77" i="51"/>
  <c r="Q77" i="51"/>
  <c r="P77" i="51"/>
  <c r="W76" i="51"/>
  <c r="U76" i="51"/>
  <c r="S76" i="51"/>
  <c r="Q76" i="51"/>
  <c r="P76" i="51"/>
  <c r="W75" i="51"/>
  <c r="U75" i="51"/>
  <c r="S75" i="51"/>
  <c r="Q75" i="51"/>
  <c r="P75" i="51"/>
  <c r="W74" i="51"/>
  <c r="U74" i="51"/>
  <c r="S74" i="51"/>
  <c r="Q74" i="51"/>
  <c r="P74" i="51"/>
  <c r="W73" i="51"/>
  <c r="U73" i="51"/>
  <c r="S73" i="51"/>
  <c r="Q73" i="51"/>
  <c r="P73" i="51"/>
  <c r="W72" i="51"/>
  <c r="U72" i="51"/>
  <c r="S72" i="51"/>
  <c r="Q72" i="51"/>
  <c r="P72" i="51"/>
  <c r="W71" i="51"/>
  <c r="U71" i="51"/>
  <c r="S71" i="51"/>
  <c r="Q71" i="51"/>
  <c r="P71" i="51"/>
  <c r="W70" i="51"/>
  <c r="U70" i="51"/>
  <c r="S70" i="51"/>
  <c r="Q70" i="51"/>
  <c r="P70" i="51"/>
  <c r="W69" i="51"/>
  <c r="U69" i="51"/>
  <c r="S69" i="51"/>
  <c r="Q69" i="51"/>
  <c r="P69" i="51"/>
  <c r="W68" i="51"/>
  <c r="U68" i="51"/>
  <c r="S68" i="51"/>
  <c r="Q68" i="51"/>
  <c r="P68" i="51"/>
  <c r="W67" i="51"/>
  <c r="U67" i="51"/>
  <c r="S67" i="51"/>
  <c r="Q67" i="51"/>
  <c r="P67" i="51"/>
  <c r="W66" i="51"/>
  <c r="U66" i="51"/>
  <c r="S66" i="51"/>
  <c r="Q66" i="51"/>
  <c r="P66" i="51"/>
  <c r="W65" i="51"/>
  <c r="U65" i="51"/>
  <c r="S65" i="51"/>
  <c r="Q65" i="51"/>
  <c r="P65" i="51"/>
  <c r="W64" i="51"/>
  <c r="U64" i="51"/>
  <c r="S64" i="51"/>
  <c r="Q64" i="51"/>
  <c r="P64" i="51"/>
  <c r="P63" i="51"/>
  <c r="P60" i="51"/>
  <c r="P59" i="51"/>
  <c r="P58" i="51"/>
  <c r="W56" i="51"/>
  <c r="U56" i="51"/>
  <c r="S56" i="51"/>
  <c r="Q56" i="51"/>
  <c r="P56" i="51"/>
  <c r="W55" i="51"/>
  <c r="U55" i="51"/>
  <c r="S55" i="51"/>
  <c r="Q55" i="51"/>
  <c r="P54" i="51"/>
  <c r="P118" i="51" s="1"/>
  <c r="Q118" i="51" s="1"/>
  <c r="P53" i="51"/>
  <c r="P52" i="51"/>
  <c r="V51" i="51"/>
  <c r="V117" i="51" s="1"/>
  <c r="W117" i="51" s="1"/>
  <c r="T51" i="51"/>
  <c r="R51" i="51"/>
  <c r="P51" i="51"/>
  <c r="W49" i="51"/>
  <c r="U49" i="51"/>
  <c r="S49" i="51"/>
  <c r="Q49" i="51"/>
  <c r="P49" i="51"/>
  <c r="P115" i="51" s="1"/>
  <c r="Q115" i="51" s="1"/>
  <c r="V48" i="51"/>
  <c r="V50" i="51" s="1"/>
  <c r="T48" i="51"/>
  <c r="T50" i="51" s="1"/>
  <c r="R48" i="51"/>
  <c r="R50" i="51" s="1"/>
  <c r="V47" i="51"/>
  <c r="T47" i="51"/>
  <c r="R47" i="51"/>
  <c r="P39" i="51"/>
  <c r="P113" i="51" s="1"/>
  <c r="Q113" i="51" s="1"/>
  <c r="V38" i="51"/>
  <c r="T38" i="51"/>
  <c r="R38" i="51"/>
  <c r="P31" i="51"/>
  <c r="P112" i="51" s="1"/>
  <c r="Q112" i="51" s="1"/>
  <c r="V30" i="51"/>
  <c r="T30" i="51"/>
  <c r="R30" i="51"/>
  <c r="P24" i="51"/>
  <c r="P30" i="51" s="1"/>
  <c r="V16" i="51"/>
  <c r="T16" i="51"/>
  <c r="R16" i="51"/>
  <c r="P16" i="51"/>
  <c r="L79" i="51"/>
  <c r="K79" i="51"/>
  <c r="J79" i="51"/>
  <c r="I79" i="51"/>
  <c r="H79" i="51"/>
  <c r="G79" i="51"/>
  <c r="F79" i="51"/>
  <c r="L78" i="51"/>
  <c r="J78" i="51"/>
  <c r="H78" i="51"/>
  <c r="F78" i="51"/>
  <c r="E78" i="51"/>
  <c r="L77" i="51"/>
  <c r="J77" i="51"/>
  <c r="H77" i="51"/>
  <c r="F77" i="51"/>
  <c r="E77" i="51"/>
  <c r="L76" i="51"/>
  <c r="J76" i="51"/>
  <c r="H76" i="51"/>
  <c r="F76" i="51"/>
  <c r="E76" i="51"/>
  <c r="L75" i="51"/>
  <c r="J75" i="51"/>
  <c r="H75" i="51"/>
  <c r="F75" i="51"/>
  <c r="E75" i="51"/>
  <c r="L74" i="51"/>
  <c r="J74" i="51"/>
  <c r="H74" i="51"/>
  <c r="F74" i="51"/>
  <c r="E74" i="51"/>
  <c r="L73" i="51"/>
  <c r="J73" i="51"/>
  <c r="H73" i="51"/>
  <c r="F73" i="51"/>
  <c r="E73" i="51"/>
  <c r="L72" i="51"/>
  <c r="J72" i="51"/>
  <c r="H72" i="51"/>
  <c r="F72" i="51"/>
  <c r="E72" i="51"/>
  <c r="L71" i="51"/>
  <c r="J71" i="51"/>
  <c r="H71" i="51"/>
  <c r="F71" i="51"/>
  <c r="E71" i="51"/>
  <c r="L70" i="51"/>
  <c r="J70" i="51"/>
  <c r="H70" i="51"/>
  <c r="F70" i="51"/>
  <c r="E70" i="51"/>
  <c r="L69" i="51"/>
  <c r="J69" i="51"/>
  <c r="H69" i="51"/>
  <c r="F69" i="51"/>
  <c r="E69" i="51"/>
  <c r="L68" i="51"/>
  <c r="J68" i="51"/>
  <c r="H68" i="51"/>
  <c r="F68" i="51"/>
  <c r="E68" i="51"/>
  <c r="L67" i="51"/>
  <c r="J67" i="51"/>
  <c r="H67" i="51"/>
  <c r="F67" i="51"/>
  <c r="E67" i="51"/>
  <c r="L66" i="51"/>
  <c r="J66" i="51"/>
  <c r="H66" i="51"/>
  <c r="F66" i="51"/>
  <c r="E66" i="51"/>
  <c r="L65" i="51"/>
  <c r="J65" i="51"/>
  <c r="H65" i="51"/>
  <c r="F65" i="51"/>
  <c r="E65" i="51"/>
  <c r="L64" i="51"/>
  <c r="J64" i="51"/>
  <c r="H64" i="51"/>
  <c r="F64" i="51"/>
  <c r="E64" i="51"/>
  <c r="E63" i="51"/>
  <c r="E60" i="51"/>
  <c r="E59" i="51"/>
  <c r="E58" i="51"/>
  <c r="B86" i="12" s="1"/>
  <c r="E86" i="12" s="1"/>
  <c r="E87" i="12" s="1"/>
  <c r="L56" i="51"/>
  <c r="J56" i="51"/>
  <c r="H56" i="51"/>
  <c r="F56" i="51"/>
  <c r="E56" i="51"/>
  <c r="L55" i="51"/>
  <c r="J55" i="51"/>
  <c r="H55" i="51"/>
  <c r="F55" i="51"/>
  <c r="E54" i="51"/>
  <c r="E118" i="51" s="1"/>
  <c r="F118" i="51" s="1"/>
  <c r="E53" i="51"/>
  <c r="E52" i="51"/>
  <c r="B85" i="12" s="1"/>
  <c r="E85" i="12" s="1"/>
  <c r="K51" i="51"/>
  <c r="I51" i="51"/>
  <c r="G51" i="51"/>
  <c r="L49" i="51"/>
  <c r="J49" i="51"/>
  <c r="H49" i="51"/>
  <c r="F49" i="51"/>
  <c r="E49" i="51"/>
  <c r="E115" i="51" s="1"/>
  <c r="F115" i="51" s="1"/>
  <c r="K48" i="51"/>
  <c r="K50" i="51" s="1"/>
  <c r="I48" i="51"/>
  <c r="I50" i="51" s="1"/>
  <c r="G48" i="51"/>
  <c r="G50" i="51" s="1"/>
  <c r="K47" i="51"/>
  <c r="I47" i="51"/>
  <c r="G47" i="51"/>
  <c r="E39" i="51"/>
  <c r="E113" i="51" s="1"/>
  <c r="F113" i="51" s="1"/>
  <c r="K38" i="51"/>
  <c r="I38" i="51"/>
  <c r="G38" i="51"/>
  <c r="E31" i="51"/>
  <c r="E38" i="51" s="1"/>
  <c r="K30" i="51"/>
  <c r="I30" i="51"/>
  <c r="G30" i="51"/>
  <c r="E24" i="51"/>
  <c r="E30" i="51" s="1"/>
  <c r="AG80" i="49"/>
  <c r="AE80" i="49"/>
  <c r="AC80" i="49"/>
  <c r="AA79" i="49"/>
  <c r="AA78" i="49"/>
  <c r="AA77" i="49"/>
  <c r="AA76" i="49"/>
  <c r="AA75" i="49"/>
  <c r="AA74" i="49"/>
  <c r="AA73" i="49"/>
  <c r="AA72" i="49"/>
  <c r="AA71" i="49"/>
  <c r="AA70" i="49"/>
  <c r="AA69" i="49"/>
  <c r="AA68" i="49"/>
  <c r="AA67" i="49"/>
  <c r="AA66" i="49"/>
  <c r="AA65" i="49"/>
  <c r="AA64" i="49"/>
  <c r="AA61" i="49"/>
  <c r="AA60" i="49"/>
  <c r="AA59" i="49"/>
  <c r="AA57" i="49"/>
  <c r="AA55" i="49"/>
  <c r="AA119" i="49" s="1"/>
  <c r="AB119" i="49" s="1"/>
  <c r="AA54" i="49"/>
  <c r="AA53" i="49"/>
  <c r="AG52" i="49"/>
  <c r="AE52" i="49"/>
  <c r="AC52" i="49"/>
  <c r="AA50" i="49"/>
  <c r="AA116" i="49" s="1"/>
  <c r="AB116" i="49" s="1"/>
  <c r="AG49" i="49"/>
  <c r="AG51" i="49" s="1"/>
  <c r="AE49" i="49"/>
  <c r="AE51" i="49" s="1"/>
  <c r="AC49" i="49"/>
  <c r="AC51" i="49" s="1"/>
  <c r="AG48" i="49"/>
  <c r="AE48" i="49"/>
  <c r="AC48" i="49"/>
  <c r="AA40" i="49"/>
  <c r="AA114" i="49" s="1"/>
  <c r="AB114" i="49" s="1"/>
  <c r="AG39" i="49"/>
  <c r="AE39" i="49"/>
  <c r="AC39" i="49"/>
  <c r="AA32" i="49"/>
  <c r="AG31" i="49"/>
  <c r="AE31" i="49"/>
  <c r="AC31" i="49"/>
  <c r="AA25" i="49"/>
  <c r="AA31" i="49" s="1"/>
  <c r="V80" i="49"/>
  <c r="T80" i="49"/>
  <c r="R80" i="49"/>
  <c r="P79" i="49"/>
  <c r="P78" i="49"/>
  <c r="P77" i="49"/>
  <c r="P76" i="49"/>
  <c r="P75" i="49"/>
  <c r="P74" i="49"/>
  <c r="P73" i="49"/>
  <c r="P72" i="49"/>
  <c r="P71" i="49"/>
  <c r="P70" i="49"/>
  <c r="P69" i="49"/>
  <c r="P68" i="49"/>
  <c r="P67" i="49"/>
  <c r="P66" i="49"/>
  <c r="P65" i="49"/>
  <c r="P61" i="49"/>
  <c r="P60" i="49"/>
  <c r="P59" i="49"/>
  <c r="P57" i="49"/>
  <c r="P55" i="49"/>
  <c r="P119" i="49" s="1"/>
  <c r="Q119" i="49" s="1"/>
  <c r="P54" i="49"/>
  <c r="P53" i="49"/>
  <c r="V52" i="49"/>
  <c r="V118" i="49" s="1"/>
  <c r="W118" i="49" s="1"/>
  <c r="T52" i="49"/>
  <c r="R52" i="49"/>
  <c r="P50" i="49"/>
  <c r="P116" i="49" s="1"/>
  <c r="Q116" i="49" s="1"/>
  <c r="V49" i="49"/>
  <c r="V51" i="49" s="1"/>
  <c r="T49" i="49"/>
  <c r="T51" i="49" s="1"/>
  <c r="R49" i="49"/>
  <c r="R51" i="49" s="1"/>
  <c r="V48" i="49"/>
  <c r="T48" i="49"/>
  <c r="R48" i="49"/>
  <c r="P40" i="49"/>
  <c r="V39" i="49"/>
  <c r="T39" i="49"/>
  <c r="R39" i="49"/>
  <c r="P32" i="49"/>
  <c r="P39" i="49" s="1"/>
  <c r="V31" i="49"/>
  <c r="T31" i="49"/>
  <c r="R31" i="49"/>
  <c r="P25" i="49"/>
  <c r="V17" i="49"/>
  <c r="T17" i="49"/>
  <c r="R17" i="49"/>
  <c r="P17" i="49"/>
  <c r="K80" i="49"/>
  <c r="AN80" i="49" s="1"/>
  <c r="I80" i="49"/>
  <c r="G80" i="49"/>
  <c r="E79" i="49"/>
  <c r="E78" i="49"/>
  <c r="E77" i="49"/>
  <c r="E76" i="49"/>
  <c r="E75" i="49"/>
  <c r="E74" i="49"/>
  <c r="E73" i="49"/>
  <c r="E72" i="49"/>
  <c r="E71" i="49"/>
  <c r="E70" i="49"/>
  <c r="E68" i="49"/>
  <c r="E67" i="49"/>
  <c r="E66" i="49"/>
  <c r="E65" i="49"/>
  <c r="E61" i="49"/>
  <c r="E60" i="49"/>
  <c r="E59" i="49"/>
  <c r="E57" i="49"/>
  <c r="E55" i="49"/>
  <c r="E119" i="49" s="1"/>
  <c r="F119" i="49" s="1"/>
  <c r="E54" i="49"/>
  <c r="E53" i="49"/>
  <c r="K52" i="49"/>
  <c r="AN52" i="49" s="1"/>
  <c r="I52" i="49"/>
  <c r="E50" i="49"/>
  <c r="E116" i="49" s="1"/>
  <c r="F116" i="49" s="1"/>
  <c r="K49" i="49"/>
  <c r="I49" i="49"/>
  <c r="I51" i="49" s="1"/>
  <c r="G49" i="49"/>
  <c r="G51" i="49" s="1"/>
  <c r="K48" i="49"/>
  <c r="AN48" i="49" s="1"/>
  <c r="I48" i="49"/>
  <c r="G48" i="49"/>
  <c r="E40" i="49"/>
  <c r="E48" i="49" s="1"/>
  <c r="K39" i="49"/>
  <c r="AN39" i="49" s="1"/>
  <c r="I39" i="49"/>
  <c r="G39" i="49"/>
  <c r="E32" i="49"/>
  <c r="K31" i="49"/>
  <c r="AO31" i="49" s="1"/>
  <c r="I31" i="49"/>
  <c r="G31" i="49"/>
  <c r="K17" i="49"/>
  <c r="I17" i="49"/>
  <c r="G17" i="49"/>
  <c r="E17" i="49"/>
  <c r="AH79" i="40"/>
  <c r="AG79" i="40"/>
  <c r="AF79" i="40"/>
  <c r="AE79" i="40"/>
  <c r="AD79" i="40"/>
  <c r="AC79" i="40"/>
  <c r="AB79" i="40"/>
  <c r="AH78" i="40"/>
  <c r="AF78" i="40"/>
  <c r="AD78" i="40"/>
  <c r="AB78" i="40"/>
  <c r="AA78" i="40"/>
  <c r="AH77" i="40"/>
  <c r="AF77" i="40"/>
  <c r="AD77" i="40"/>
  <c r="AB77" i="40"/>
  <c r="AA77" i="40"/>
  <c r="AH76" i="40"/>
  <c r="AF76" i="40"/>
  <c r="AD76" i="40"/>
  <c r="AB76" i="40"/>
  <c r="AA76" i="40"/>
  <c r="AH75" i="40"/>
  <c r="AF75" i="40"/>
  <c r="AD75" i="40"/>
  <c r="AB75" i="40"/>
  <c r="AA75" i="40"/>
  <c r="AH74" i="40"/>
  <c r="AF74" i="40"/>
  <c r="AD74" i="40"/>
  <c r="AB74" i="40"/>
  <c r="AA74" i="40"/>
  <c r="AH73" i="40"/>
  <c r="AF73" i="40"/>
  <c r="AD73" i="40"/>
  <c r="AB73" i="40"/>
  <c r="AA73" i="40"/>
  <c r="AH72" i="40"/>
  <c r="AF72" i="40"/>
  <c r="AD72" i="40"/>
  <c r="AB72" i="40"/>
  <c r="AA72" i="40"/>
  <c r="AH71" i="40"/>
  <c r="AF71" i="40"/>
  <c r="AD71" i="40"/>
  <c r="AB71" i="40"/>
  <c r="AA71" i="40"/>
  <c r="AH70" i="40"/>
  <c r="AF70" i="40"/>
  <c r="AD70" i="40"/>
  <c r="AB70" i="40"/>
  <c r="AA70" i="40"/>
  <c r="AH69" i="40"/>
  <c r="AF69" i="40"/>
  <c r="AD69" i="40"/>
  <c r="AB69" i="40"/>
  <c r="AA69" i="40"/>
  <c r="AH68" i="40"/>
  <c r="AF68" i="40"/>
  <c r="AD68" i="40"/>
  <c r="AB68" i="40"/>
  <c r="AA68" i="40"/>
  <c r="AH67" i="40"/>
  <c r="AF67" i="40"/>
  <c r="AD67" i="40"/>
  <c r="AB67" i="40"/>
  <c r="AA67" i="40"/>
  <c r="AH66" i="40"/>
  <c r="AF66" i="40"/>
  <c r="AD66" i="40"/>
  <c r="AB66" i="40"/>
  <c r="AA66" i="40"/>
  <c r="AH65" i="40"/>
  <c r="AF65" i="40"/>
  <c r="AD65" i="40"/>
  <c r="AB65" i="40"/>
  <c r="AA65" i="40"/>
  <c r="AH64" i="40"/>
  <c r="AF64" i="40"/>
  <c r="AD64" i="40"/>
  <c r="AB64" i="40"/>
  <c r="AA64" i="40"/>
  <c r="AA63" i="40"/>
  <c r="AA60" i="40"/>
  <c r="AA59" i="40"/>
  <c r="AA58" i="40"/>
  <c r="AH56" i="40"/>
  <c r="AF56" i="40"/>
  <c r="AA56" i="40"/>
  <c r="AH55" i="40"/>
  <c r="AF55" i="40"/>
  <c r="AA54" i="40"/>
  <c r="AA118" i="40" s="1"/>
  <c r="AB118" i="40" s="1"/>
  <c r="AA53" i="40"/>
  <c r="AA52" i="40"/>
  <c r="AE51" i="40"/>
  <c r="AC51" i="40"/>
  <c r="Y117" i="40" s="1"/>
  <c r="Z117" i="40" s="1"/>
  <c r="AH49" i="40"/>
  <c r="AF49" i="40"/>
  <c r="AD49" i="40"/>
  <c r="AB49" i="40"/>
  <c r="AA49" i="40"/>
  <c r="AA115" i="40" s="1"/>
  <c r="AB115" i="40" s="1"/>
  <c r="AG48" i="40"/>
  <c r="AE48" i="40"/>
  <c r="AE50" i="40" s="1"/>
  <c r="AC48" i="40"/>
  <c r="AC50" i="40" s="1"/>
  <c r="AG47" i="40"/>
  <c r="AE47" i="40"/>
  <c r="AC47" i="40"/>
  <c r="AA39" i="40"/>
  <c r="AA47" i="40" s="1"/>
  <c r="AG38" i="40"/>
  <c r="AE38" i="40"/>
  <c r="AC38" i="40"/>
  <c r="AA31" i="40"/>
  <c r="AG30" i="40"/>
  <c r="AE30" i="40"/>
  <c r="AC30" i="40"/>
  <c r="AA24" i="40"/>
  <c r="AA111" i="40" s="1"/>
  <c r="AB111" i="40" s="1"/>
  <c r="W79" i="40"/>
  <c r="V79" i="40"/>
  <c r="U79" i="40"/>
  <c r="T79" i="40"/>
  <c r="S79" i="40"/>
  <c r="R79" i="40"/>
  <c r="Q79" i="40"/>
  <c r="W78" i="40"/>
  <c r="U78" i="40"/>
  <c r="S78" i="40"/>
  <c r="Q78" i="40"/>
  <c r="P78" i="40"/>
  <c r="W77" i="40"/>
  <c r="U77" i="40"/>
  <c r="S77" i="40"/>
  <c r="Q77" i="40"/>
  <c r="P77" i="40"/>
  <c r="W76" i="40"/>
  <c r="U76" i="40"/>
  <c r="S76" i="40"/>
  <c r="Q76" i="40"/>
  <c r="P76" i="40"/>
  <c r="W75" i="40"/>
  <c r="U75" i="40"/>
  <c r="S75" i="40"/>
  <c r="Q75" i="40"/>
  <c r="P75" i="40"/>
  <c r="W74" i="40"/>
  <c r="U74" i="40"/>
  <c r="S74" i="40"/>
  <c r="Q74" i="40"/>
  <c r="P74" i="40"/>
  <c r="W73" i="40"/>
  <c r="U73" i="40"/>
  <c r="S73" i="40"/>
  <c r="Q73" i="40"/>
  <c r="P73" i="40"/>
  <c r="W72" i="40"/>
  <c r="U72" i="40"/>
  <c r="S72" i="40"/>
  <c r="Q72" i="40"/>
  <c r="P72" i="40"/>
  <c r="W71" i="40"/>
  <c r="U71" i="40"/>
  <c r="S71" i="40"/>
  <c r="Q71" i="40"/>
  <c r="P71" i="40"/>
  <c r="W70" i="40"/>
  <c r="U70" i="40"/>
  <c r="S70" i="40"/>
  <c r="Q70" i="40"/>
  <c r="P70" i="40"/>
  <c r="W69" i="40"/>
  <c r="U69" i="40"/>
  <c r="S69" i="40"/>
  <c r="Q69" i="40"/>
  <c r="P69" i="40"/>
  <c r="W68" i="40"/>
  <c r="U68" i="40"/>
  <c r="S68" i="40"/>
  <c r="Q68" i="40"/>
  <c r="P68" i="40"/>
  <c r="W67" i="40"/>
  <c r="U67" i="40"/>
  <c r="S67" i="40"/>
  <c r="Q67" i="40"/>
  <c r="P67" i="40"/>
  <c r="W66" i="40"/>
  <c r="U66" i="40"/>
  <c r="S66" i="40"/>
  <c r="Q66" i="40"/>
  <c r="P66" i="40"/>
  <c r="W65" i="40"/>
  <c r="U65" i="40"/>
  <c r="S65" i="40"/>
  <c r="Q65" i="40"/>
  <c r="P65" i="40"/>
  <c r="W64" i="40"/>
  <c r="U64" i="40"/>
  <c r="S64" i="40"/>
  <c r="Q64" i="40"/>
  <c r="P64" i="40"/>
  <c r="P63" i="40"/>
  <c r="P60" i="40"/>
  <c r="P59" i="40"/>
  <c r="P58" i="40"/>
  <c r="P56" i="40"/>
  <c r="P54" i="40"/>
  <c r="P118" i="40" s="1"/>
  <c r="Q118" i="40" s="1"/>
  <c r="P53" i="40"/>
  <c r="P52" i="40"/>
  <c r="V51" i="40"/>
  <c r="V117" i="40" s="1"/>
  <c r="W117" i="40" s="1"/>
  <c r="T51" i="40"/>
  <c r="R51" i="40"/>
  <c r="N117" i="40" s="1"/>
  <c r="O117" i="40" s="1"/>
  <c r="P51" i="40"/>
  <c r="P108" i="40" s="1"/>
  <c r="W49" i="40"/>
  <c r="U49" i="40"/>
  <c r="S49" i="40"/>
  <c r="Q49" i="40"/>
  <c r="P49" i="40"/>
  <c r="P115" i="40" s="1"/>
  <c r="Q115" i="40" s="1"/>
  <c r="V48" i="40"/>
  <c r="V50" i="40" s="1"/>
  <c r="T48" i="40"/>
  <c r="T50" i="40" s="1"/>
  <c r="R48" i="40"/>
  <c r="R50" i="40" s="1"/>
  <c r="V47" i="40"/>
  <c r="T47" i="40"/>
  <c r="R47" i="40"/>
  <c r="P39" i="40"/>
  <c r="V38" i="40"/>
  <c r="T38" i="40"/>
  <c r="R38" i="40"/>
  <c r="P31" i="40"/>
  <c r="P112" i="40" s="1"/>
  <c r="Q112" i="40" s="1"/>
  <c r="V30" i="40"/>
  <c r="T30" i="40"/>
  <c r="R30" i="40"/>
  <c r="P24" i="40"/>
  <c r="P30" i="40" s="1"/>
  <c r="V16" i="40"/>
  <c r="T16" i="40"/>
  <c r="R16" i="40"/>
  <c r="P16" i="40"/>
  <c r="L79" i="40"/>
  <c r="K79" i="40"/>
  <c r="J79" i="40"/>
  <c r="I79" i="40"/>
  <c r="H79" i="40"/>
  <c r="G79" i="40"/>
  <c r="F79" i="40"/>
  <c r="L78" i="40"/>
  <c r="J78" i="40"/>
  <c r="H78" i="40"/>
  <c r="F78" i="40"/>
  <c r="E78" i="40"/>
  <c r="L77" i="40"/>
  <c r="J77" i="40"/>
  <c r="H77" i="40"/>
  <c r="F77" i="40"/>
  <c r="E77" i="40"/>
  <c r="L76" i="40"/>
  <c r="J76" i="40"/>
  <c r="H76" i="40"/>
  <c r="F76" i="40"/>
  <c r="E76" i="40"/>
  <c r="L75" i="40"/>
  <c r="J75" i="40"/>
  <c r="H75" i="40"/>
  <c r="F75" i="40"/>
  <c r="E75" i="40"/>
  <c r="L74" i="40"/>
  <c r="J74" i="40"/>
  <c r="H74" i="40"/>
  <c r="F74" i="40"/>
  <c r="E74" i="40"/>
  <c r="E63" i="40"/>
  <c r="E68" i="40"/>
  <c r="E69" i="40"/>
  <c r="E70" i="40"/>
  <c r="E71" i="40"/>
  <c r="E72" i="40"/>
  <c r="E73" i="40"/>
  <c r="L73" i="40"/>
  <c r="J73" i="40"/>
  <c r="H73" i="40"/>
  <c r="F73" i="40"/>
  <c r="L72" i="40"/>
  <c r="J72" i="40"/>
  <c r="H72" i="40"/>
  <c r="F72" i="40"/>
  <c r="L71" i="40"/>
  <c r="J71" i="40"/>
  <c r="H71" i="40"/>
  <c r="F71" i="40"/>
  <c r="L70" i="40"/>
  <c r="J70" i="40"/>
  <c r="H70" i="40"/>
  <c r="F70" i="40"/>
  <c r="L69" i="40"/>
  <c r="J69" i="40"/>
  <c r="H69" i="40"/>
  <c r="F69" i="40"/>
  <c r="L68" i="40"/>
  <c r="J68" i="40"/>
  <c r="H68" i="40"/>
  <c r="F68" i="40"/>
  <c r="L67" i="40"/>
  <c r="J67" i="40"/>
  <c r="H67" i="40"/>
  <c r="F67" i="40"/>
  <c r="E67" i="40"/>
  <c r="L66" i="40"/>
  <c r="J66" i="40"/>
  <c r="H66" i="40"/>
  <c r="F66" i="40"/>
  <c r="E66" i="40"/>
  <c r="L65" i="40"/>
  <c r="J65" i="40"/>
  <c r="H65" i="40"/>
  <c r="F65" i="40"/>
  <c r="E65" i="40"/>
  <c r="L64" i="40"/>
  <c r="J64" i="40"/>
  <c r="H64" i="40"/>
  <c r="F64" i="40"/>
  <c r="E64" i="40"/>
  <c r="E60" i="40"/>
  <c r="E59" i="40"/>
  <c r="E58" i="40"/>
  <c r="E56" i="40"/>
  <c r="E54" i="40"/>
  <c r="E118" i="40" s="1"/>
  <c r="F118" i="40" s="1"/>
  <c r="E53" i="40"/>
  <c r="E52" i="40"/>
  <c r="K51" i="40"/>
  <c r="I51" i="40"/>
  <c r="G51" i="40"/>
  <c r="C117" i="40" s="1"/>
  <c r="D117" i="40" s="1"/>
  <c r="L49" i="40"/>
  <c r="J49" i="40"/>
  <c r="H49" i="40"/>
  <c r="F49" i="40"/>
  <c r="E49" i="40"/>
  <c r="E115" i="40" s="1"/>
  <c r="F115" i="40" s="1"/>
  <c r="K48" i="40"/>
  <c r="I48" i="40"/>
  <c r="I50" i="40" s="1"/>
  <c r="G48" i="40"/>
  <c r="G50" i="40" s="1"/>
  <c r="K47" i="40"/>
  <c r="I47" i="40"/>
  <c r="G47" i="40"/>
  <c r="E39" i="40"/>
  <c r="E47" i="40" s="1"/>
  <c r="K38" i="40"/>
  <c r="I38" i="40"/>
  <c r="G38" i="40"/>
  <c r="E31" i="40"/>
  <c r="K30" i="40"/>
  <c r="AN30" i="40" s="1"/>
  <c r="I30" i="40"/>
  <c r="G30" i="40"/>
  <c r="E24" i="40"/>
  <c r="E30" i="40" s="1"/>
  <c r="K16" i="40"/>
  <c r="I16" i="40"/>
  <c r="G16" i="40"/>
  <c r="E16" i="40"/>
  <c r="AG79" i="41"/>
  <c r="AE79" i="41"/>
  <c r="AC79" i="41"/>
  <c r="AA78" i="41"/>
  <c r="AA77" i="41"/>
  <c r="AA76" i="41"/>
  <c r="AA75" i="41"/>
  <c r="AA74" i="41"/>
  <c r="AA73" i="41"/>
  <c r="AA72" i="41"/>
  <c r="AA71" i="41"/>
  <c r="AA70" i="41"/>
  <c r="AA69" i="41"/>
  <c r="AA68" i="41"/>
  <c r="AA67" i="41"/>
  <c r="AA66" i="41"/>
  <c r="AA65" i="41"/>
  <c r="AA64" i="41"/>
  <c r="AA63" i="41"/>
  <c r="AA60" i="41"/>
  <c r="AA59" i="41"/>
  <c r="AA58" i="41"/>
  <c r="N76" i="11" s="1"/>
  <c r="Q76" i="11" s="1"/>
  <c r="Q77" i="11" s="1"/>
  <c r="AA56" i="41"/>
  <c r="AA54" i="41"/>
  <c r="AA118" i="41" s="1"/>
  <c r="AB118" i="41" s="1"/>
  <c r="AA53" i="41"/>
  <c r="AA52" i="41"/>
  <c r="N75" i="11" s="1"/>
  <c r="Q75" i="11" s="1"/>
  <c r="AG51" i="41"/>
  <c r="AG117" i="41" s="1"/>
  <c r="AH117" i="41" s="1"/>
  <c r="AE51" i="41"/>
  <c r="AC51" i="41"/>
  <c r="Y117" i="41" s="1"/>
  <c r="Z117" i="41" s="1"/>
  <c r="AA49" i="41"/>
  <c r="AA115" i="41" s="1"/>
  <c r="AB115" i="41" s="1"/>
  <c r="AG48" i="41"/>
  <c r="AE48" i="41"/>
  <c r="AE50" i="41" s="1"/>
  <c r="AC48" i="41"/>
  <c r="AG47" i="41"/>
  <c r="AE47" i="41"/>
  <c r="AC47" i="41"/>
  <c r="AA39" i="41"/>
  <c r="AG38" i="41"/>
  <c r="AE38" i="41"/>
  <c r="AC38" i="41"/>
  <c r="AA31" i="41"/>
  <c r="AA38" i="41" s="1"/>
  <c r="AG30" i="41"/>
  <c r="AE30" i="41"/>
  <c r="AC30" i="41"/>
  <c r="AA24" i="41"/>
  <c r="W79" i="41"/>
  <c r="V79" i="41"/>
  <c r="T79" i="41"/>
  <c r="R79" i="41"/>
  <c r="W78" i="41"/>
  <c r="P78" i="41"/>
  <c r="W77" i="41"/>
  <c r="P77" i="41"/>
  <c r="W76" i="41"/>
  <c r="P76" i="41"/>
  <c r="W75" i="41"/>
  <c r="P75" i="41"/>
  <c r="W74" i="41"/>
  <c r="P74" i="41"/>
  <c r="W73" i="41"/>
  <c r="P73" i="41"/>
  <c r="W72" i="41"/>
  <c r="P72" i="41"/>
  <c r="W71" i="41"/>
  <c r="P71" i="41"/>
  <c r="W70" i="41"/>
  <c r="P70" i="41"/>
  <c r="W69" i="41"/>
  <c r="P69" i="41"/>
  <c r="W68" i="41"/>
  <c r="P68" i="41"/>
  <c r="W67" i="41"/>
  <c r="P67" i="41"/>
  <c r="W66" i="41"/>
  <c r="P66" i="41"/>
  <c r="W65" i="41"/>
  <c r="P65" i="41"/>
  <c r="W64" i="41"/>
  <c r="P64" i="41"/>
  <c r="P63" i="41"/>
  <c r="P60" i="41"/>
  <c r="P59" i="41"/>
  <c r="P58" i="41"/>
  <c r="W56" i="41"/>
  <c r="P56" i="41"/>
  <c r="W55" i="41"/>
  <c r="P54" i="41"/>
  <c r="P118" i="41" s="1"/>
  <c r="Q118" i="41" s="1"/>
  <c r="P53" i="41"/>
  <c r="P52" i="41"/>
  <c r="V51" i="41"/>
  <c r="V117" i="41" s="1"/>
  <c r="W117" i="41" s="1"/>
  <c r="T51" i="41"/>
  <c r="R51" i="41"/>
  <c r="P51" i="41"/>
  <c r="W49" i="41"/>
  <c r="P49" i="41"/>
  <c r="P115" i="41" s="1"/>
  <c r="Q115" i="41" s="1"/>
  <c r="V48" i="41"/>
  <c r="V50" i="41" s="1"/>
  <c r="T48" i="41"/>
  <c r="T50" i="41" s="1"/>
  <c r="R48" i="41"/>
  <c r="R50" i="41" s="1"/>
  <c r="V47" i="41"/>
  <c r="T47" i="41"/>
  <c r="R47" i="41"/>
  <c r="P39" i="41"/>
  <c r="V38" i="41"/>
  <c r="T38" i="41"/>
  <c r="R38" i="41"/>
  <c r="P31" i="41"/>
  <c r="P38" i="41" s="1"/>
  <c r="V30" i="41"/>
  <c r="T30" i="41"/>
  <c r="R30" i="41"/>
  <c r="P24" i="41"/>
  <c r="V16" i="41"/>
  <c r="T16" i="41"/>
  <c r="R16" i="41"/>
  <c r="P16" i="41"/>
  <c r="E78" i="41"/>
  <c r="E77" i="41"/>
  <c r="E76" i="41"/>
  <c r="E75" i="41"/>
  <c r="E74" i="41"/>
  <c r="E73" i="41"/>
  <c r="E72" i="41"/>
  <c r="E71" i="41"/>
  <c r="E70" i="41"/>
  <c r="E69" i="41"/>
  <c r="E68" i="41"/>
  <c r="E67" i="41"/>
  <c r="E66" i="41"/>
  <c r="E65" i="41"/>
  <c r="E64" i="41"/>
  <c r="E63" i="41"/>
  <c r="E60" i="41"/>
  <c r="E59" i="41"/>
  <c r="E58" i="41"/>
  <c r="B124" i="11" s="1"/>
  <c r="E124" i="11" s="1"/>
  <c r="E125" i="11" s="1"/>
  <c r="E56" i="41"/>
  <c r="F55" i="41"/>
  <c r="H55" i="41" s="1"/>
  <c r="J55" i="41" s="1"/>
  <c r="L55" i="41" s="1"/>
  <c r="E54" i="41"/>
  <c r="E118" i="41" s="1"/>
  <c r="F118" i="41" s="1"/>
  <c r="E53" i="41"/>
  <c r="E52" i="41"/>
  <c r="B123" i="11" s="1"/>
  <c r="E123" i="11" s="1"/>
  <c r="K51" i="41"/>
  <c r="I51" i="41"/>
  <c r="G51" i="41"/>
  <c r="E49" i="41"/>
  <c r="E115" i="41" s="1"/>
  <c r="F115" i="41" s="1"/>
  <c r="K48" i="41"/>
  <c r="K50" i="41" s="1"/>
  <c r="I48" i="41"/>
  <c r="I50" i="41" s="1"/>
  <c r="G48" i="41"/>
  <c r="G50" i="41" s="1"/>
  <c r="K47" i="41"/>
  <c r="I47" i="41"/>
  <c r="G47" i="41"/>
  <c r="E39" i="41"/>
  <c r="E113" i="41" s="1"/>
  <c r="K38" i="41"/>
  <c r="I38" i="41"/>
  <c r="G38" i="41"/>
  <c r="E31" i="41"/>
  <c r="E38" i="41" s="1"/>
  <c r="K30" i="41"/>
  <c r="I30" i="41"/>
  <c r="G30" i="41"/>
  <c r="E24" i="41"/>
  <c r="K16" i="41"/>
  <c r="I16" i="41"/>
  <c r="G16" i="41"/>
  <c r="E16" i="41"/>
  <c r="L78" i="46"/>
  <c r="J78" i="46"/>
  <c r="I78" i="46"/>
  <c r="H78" i="46"/>
  <c r="G78" i="46"/>
  <c r="F78" i="46"/>
  <c r="L77" i="46"/>
  <c r="J77" i="46"/>
  <c r="H77" i="46"/>
  <c r="F77" i="46"/>
  <c r="E77" i="46"/>
  <c r="L76" i="46"/>
  <c r="J76" i="46"/>
  <c r="H76" i="46"/>
  <c r="F76" i="46"/>
  <c r="E76" i="46"/>
  <c r="L75" i="46"/>
  <c r="J75" i="46"/>
  <c r="H75" i="46"/>
  <c r="F75" i="46"/>
  <c r="E75" i="46"/>
  <c r="L74" i="46"/>
  <c r="J74" i="46"/>
  <c r="H74" i="46"/>
  <c r="F74" i="46"/>
  <c r="E74" i="46"/>
  <c r="L73" i="46"/>
  <c r="J73" i="46"/>
  <c r="H73" i="46"/>
  <c r="F73" i="46"/>
  <c r="E73" i="46"/>
  <c r="L72" i="46"/>
  <c r="J72" i="46"/>
  <c r="H72" i="46"/>
  <c r="F72" i="46"/>
  <c r="E72" i="46"/>
  <c r="L71" i="46"/>
  <c r="J71" i="46"/>
  <c r="H71" i="46"/>
  <c r="F71" i="46"/>
  <c r="E71" i="46"/>
  <c r="L70" i="46"/>
  <c r="J70" i="46"/>
  <c r="H70" i="46"/>
  <c r="F70" i="46"/>
  <c r="E70" i="46"/>
  <c r="L69" i="46"/>
  <c r="J69" i="46"/>
  <c r="H69" i="46"/>
  <c r="F69" i="46"/>
  <c r="E69" i="46"/>
  <c r="L68" i="46"/>
  <c r="J68" i="46"/>
  <c r="H68" i="46"/>
  <c r="F68" i="46"/>
  <c r="E68" i="46"/>
  <c r="L67" i="46"/>
  <c r="J67" i="46"/>
  <c r="H67" i="46"/>
  <c r="F67" i="46"/>
  <c r="E67" i="46"/>
  <c r="L66" i="46"/>
  <c r="J66" i="46"/>
  <c r="H66" i="46"/>
  <c r="F66" i="46"/>
  <c r="E66" i="46"/>
  <c r="L65" i="46"/>
  <c r="J65" i="46"/>
  <c r="H65" i="46"/>
  <c r="F65" i="46"/>
  <c r="E65" i="46"/>
  <c r="L64" i="46"/>
  <c r="J64" i="46"/>
  <c r="H64" i="46"/>
  <c r="F64" i="46"/>
  <c r="E64" i="46"/>
  <c r="L63" i="46"/>
  <c r="J63" i="46"/>
  <c r="H63" i="46"/>
  <c r="F63" i="46"/>
  <c r="E63" i="46"/>
  <c r="E59" i="46"/>
  <c r="E58" i="46"/>
  <c r="E57" i="46"/>
  <c r="E55" i="46"/>
  <c r="E53" i="46"/>
  <c r="E117" i="46" s="1"/>
  <c r="F117" i="46" s="1"/>
  <c r="E52" i="46"/>
  <c r="E51" i="46"/>
  <c r="K50" i="46"/>
  <c r="I50" i="46"/>
  <c r="G50" i="46"/>
  <c r="C116" i="46" s="1"/>
  <c r="D116" i="46" s="1"/>
  <c r="E50" i="46"/>
  <c r="L48" i="46"/>
  <c r="J48" i="46"/>
  <c r="H48" i="46"/>
  <c r="F48" i="46"/>
  <c r="E48" i="46"/>
  <c r="E114" i="46" s="1"/>
  <c r="F114" i="46" s="1"/>
  <c r="K47" i="46"/>
  <c r="K49" i="46" s="1"/>
  <c r="AP49" i="46" s="1"/>
  <c r="I47" i="46"/>
  <c r="I49" i="46" s="1"/>
  <c r="G47" i="46"/>
  <c r="G49" i="46" s="1"/>
  <c r="K46" i="46"/>
  <c r="AP46" i="46" s="1"/>
  <c r="I46" i="46"/>
  <c r="G46" i="46"/>
  <c r="E38" i="46"/>
  <c r="K37" i="46"/>
  <c r="AO37" i="46" s="1"/>
  <c r="I37" i="46"/>
  <c r="G37" i="46"/>
  <c r="E30" i="46"/>
  <c r="E37" i="46" s="1"/>
  <c r="K29" i="46"/>
  <c r="I29" i="46"/>
  <c r="G29" i="46"/>
  <c r="E23" i="46"/>
  <c r="K15" i="46"/>
  <c r="I15" i="46"/>
  <c r="G15" i="46"/>
  <c r="E15" i="46"/>
  <c r="W78" i="46"/>
  <c r="U78" i="46"/>
  <c r="T78" i="46"/>
  <c r="S78" i="46"/>
  <c r="R78" i="46"/>
  <c r="Q78" i="46"/>
  <c r="W77" i="46"/>
  <c r="U77" i="46"/>
  <c r="S77" i="46"/>
  <c r="Q77" i="46"/>
  <c r="P77" i="46"/>
  <c r="W76" i="46"/>
  <c r="U76" i="46"/>
  <c r="S76" i="46"/>
  <c r="Q76" i="46"/>
  <c r="P76" i="46"/>
  <c r="W75" i="46"/>
  <c r="U75" i="46"/>
  <c r="S75" i="46"/>
  <c r="Q75" i="46"/>
  <c r="P75" i="46"/>
  <c r="W74" i="46"/>
  <c r="U74" i="46"/>
  <c r="S74" i="46"/>
  <c r="Q74" i="46"/>
  <c r="P74" i="46"/>
  <c r="W73" i="46"/>
  <c r="U73" i="46"/>
  <c r="S73" i="46"/>
  <c r="Q73" i="46"/>
  <c r="P73" i="46"/>
  <c r="W72" i="46"/>
  <c r="U72" i="46"/>
  <c r="S72" i="46"/>
  <c r="Q72" i="46"/>
  <c r="P72" i="46"/>
  <c r="W71" i="46"/>
  <c r="U71" i="46"/>
  <c r="S71" i="46"/>
  <c r="Q71" i="46"/>
  <c r="P71" i="46"/>
  <c r="W70" i="46"/>
  <c r="U70" i="46"/>
  <c r="S70" i="46"/>
  <c r="Q70" i="46"/>
  <c r="P70" i="46"/>
  <c r="W69" i="46"/>
  <c r="U69" i="46"/>
  <c r="S69" i="46"/>
  <c r="Q69" i="46"/>
  <c r="P69" i="46"/>
  <c r="W68" i="46"/>
  <c r="U68" i="46"/>
  <c r="S68" i="46"/>
  <c r="Q68" i="46"/>
  <c r="P68" i="46"/>
  <c r="W67" i="46"/>
  <c r="U67" i="46"/>
  <c r="S67" i="46"/>
  <c r="Q67" i="46"/>
  <c r="P67" i="46"/>
  <c r="W66" i="46"/>
  <c r="U66" i="46"/>
  <c r="S66" i="46"/>
  <c r="Q66" i="46"/>
  <c r="P66" i="46"/>
  <c r="W65" i="46"/>
  <c r="U65" i="46"/>
  <c r="S65" i="46"/>
  <c r="Q65" i="46"/>
  <c r="P65" i="46"/>
  <c r="W64" i="46"/>
  <c r="U64" i="46"/>
  <c r="S64" i="46"/>
  <c r="Q64" i="46"/>
  <c r="P64" i="46"/>
  <c r="W63" i="46"/>
  <c r="U63" i="46"/>
  <c r="S63" i="46"/>
  <c r="Q63" i="46"/>
  <c r="P63" i="46"/>
  <c r="P59" i="46"/>
  <c r="P58" i="46"/>
  <c r="P57" i="46"/>
  <c r="W55" i="46"/>
  <c r="U55" i="46"/>
  <c r="S55" i="46"/>
  <c r="Q55" i="46"/>
  <c r="P55" i="46"/>
  <c r="P52" i="46"/>
  <c r="P51" i="46"/>
  <c r="V50" i="46"/>
  <c r="V116" i="46" s="1"/>
  <c r="T50" i="46"/>
  <c r="R50" i="46"/>
  <c r="N116" i="46" s="1"/>
  <c r="O116" i="46" s="1"/>
  <c r="P50" i="46"/>
  <c r="W48" i="46"/>
  <c r="U48" i="46"/>
  <c r="S48" i="46"/>
  <c r="Q48" i="46"/>
  <c r="P48" i="46"/>
  <c r="P114" i="46" s="1"/>
  <c r="Q114" i="46" s="1"/>
  <c r="V47" i="46"/>
  <c r="T47" i="46"/>
  <c r="T49" i="46" s="1"/>
  <c r="R47" i="46"/>
  <c r="R49" i="46" s="1"/>
  <c r="V46" i="46"/>
  <c r="T46" i="46"/>
  <c r="R46" i="46"/>
  <c r="P38" i="46"/>
  <c r="P112" i="46" s="1"/>
  <c r="Q112" i="46" s="1"/>
  <c r="V37" i="46"/>
  <c r="T37" i="46"/>
  <c r="R37" i="46"/>
  <c r="P30" i="46"/>
  <c r="V29" i="46"/>
  <c r="T29" i="46"/>
  <c r="R29" i="46"/>
  <c r="P23" i="46"/>
  <c r="V15" i="46"/>
  <c r="T15" i="46"/>
  <c r="R15" i="46"/>
  <c r="P15" i="46"/>
  <c r="AH78" i="46"/>
  <c r="AF78" i="46"/>
  <c r="AE78" i="46"/>
  <c r="AD78" i="46"/>
  <c r="AC78" i="46"/>
  <c r="AB78" i="46"/>
  <c r="AH77" i="46"/>
  <c r="AF77" i="46"/>
  <c r="AD77" i="46"/>
  <c r="AB77" i="46"/>
  <c r="AA77" i="46"/>
  <c r="AH76" i="46"/>
  <c r="AF76" i="46"/>
  <c r="AD76" i="46"/>
  <c r="AB76" i="46"/>
  <c r="AA76" i="46"/>
  <c r="AH75" i="46"/>
  <c r="AF75" i="46"/>
  <c r="AD75" i="46"/>
  <c r="AB75" i="46"/>
  <c r="AA75" i="46"/>
  <c r="AH74" i="46"/>
  <c r="AF74" i="46"/>
  <c r="AD74" i="46"/>
  <c r="AB74" i="46"/>
  <c r="AA74" i="46"/>
  <c r="AH73" i="46"/>
  <c r="AF73" i="46"/>
  <c r="AD73" i="46"/>
  <c r="AB73" i="46"/>
  <c r="AA73" i="46"/>
  <c r="AH72" i="46"/>
  <c r="AF72" i="46"/>
  <c r="AD72" i="46"/>
  <c r="AB72" i="46"/>
  <c r="AA72" i="46"/>
  <c r="AH71" i="46"/>
  <c r="AF71" i="46"/>
  <c r="AD71" i="46"/>
  <c r="AB71" i="46"/>
  <c r="AA71" i="46"/>
  <c r="AH70" i="46"/>
  <c r="AF70" i="46"/>
  <c r="AD70" i="46"/>
  <c r="AB70" i="46"/>
  <c r="AA70" i="46"/>
  <c r="AH69" i="46"/>
  <c r="AF69" i="46"/>
  <c r="AD69" i="46"/>
  <c r="AB69" i="46"/>
  <c r="AA69" i="46"/>
  <c r="AH68" i="46"/>
  <c r="AF68" i="46"/>
  <c r="AD68" i="46"/>
  <c r="AB68" i="46"/>
  <c r="AA68" i="46"/>
  <c r="AH67" i="46"/>
  <c r="AF67" i="46"/>
  <c r="AD67" i="46"/>
  <c r="AB67" i="46"/>
  <c r="AA67" i="46"/>
  <c r="AH66" i="46"/>
  <c r="AF66" i="46"/>
  <c r="AD66" i="46"/>
  <c r="AB66" i="46"/>
  <c r="AA66" i="46"/>
  <c r="AH65" i="46"/>
  <c r="AF65" i="46"/>
  <c r="AD65" i="46"/>
  <c r="AB65" i="46"/>
  <c r="AA65" i="46"/>
  <c r="AH64" i="46"/>
  <c r="AF64" i="46"/>
  <c r="AD64" i="46"/>
  <c r="AB64" i="46"/>
  <c r="AA64" i="46"/>
  <c r="AH63" i="46"/>
  <c r="AF63" i="46"/>
  <c r="AD63" i="46"/>
  <c r="AB63" i="46"/>
  <c r="AA63" i="46"/>
  <c r="AA62" i="46"/>
  <c r="AA59" i="46"/>
  <c r="AA58" i="46"/>
  <c r="AA57" i="46"/>
  <c r="AH55" i="46"/>
  <c r="AF55" i="46"/>
  <c r="AD55" i="46"/>
  <c r="AB55" i="46"/>
  <c r="AA55" i="46"/>
  <c r="AA53" i="46"/>
  <c r="AA117" i="46" s="1"/>
  <c r="AB117" i="46" s="1"/>
  <c r="AA52" i="46"/>
  <c r="AA51" i="46"/>
  <c r="AG50" i="46"/>
  <c r="AG116" i="46" s="1"/>
  <c r="AH116" i="46" s="1"/>
  <c r="AE50" i="46"/>
  <c r="AC50" i="46"/>
  <c r="Y116" i="46" s="1"/>
  <c r="Z116" i="46" s="1"/>
  <c r="AA50" i="46"/>
  <c r="AH48" i="46"/>
  <c r="AF48" i="46"/>
  <c r="AD48" i="46"/>
  <c r="AB48" i="46"/>
  <c r="AA48" i="46"/>
  <c r="AA114" i="46" s="1"/>
  <c r="AB114" i="46" s="1"/>
  <c r="AG47" i="46"/>
  <c r="AG49" i="46" s="1"/>
  <c r="AE47" i="46"/>
  <c r="AE49" i="46" s="1"/>
  <c r="AC47" i="46"/>
  <c r="AC49" i="46" s="1"/>
  <c r="AG46" i="46"/>
  <c r="AE46" i="46"/>
  <c r="AC46" i="46"/>
  <c r="AA38" i="46"/>
  <c r="AA46" i="46" s="1"/>
  <c r="AG37" i="46"/>
  <c r="AE37" i="46"/>
  <c r="AC37" i="46"/>
  <c r="AA30" i="46"/>
  <c r="AG29" i="46"/>
  <c r="AE29" i="46"/>
  <c r="AC29" i="46"/>
  <c r="AA23" i="46"/>
  <c r="AA29" i="46" s="1"/>
  <c r="AG15" i="46"/>
  <c r="AE15" i="46"/>
  <c r="AC15" i="46"/>
  <c r="AA15" i="46"/>
  <c r="AF56" i="33"/>
  <c r="AD56" i="33"/>
  <c r="AG51" i="33"/>
  <c r="AG117" i="33" s="1"/>
  <c r="AH117" i="33" s="1"/>
  <c r="AE51" i="33"/>
  <c r="AC51" i="33"/>
  <c r="Y117" i="33" s="1"/>
  <c r="Z117" i="33" s="1"/>
  <c r="U56" i="33"/>
  <c r="S56" i="33"/>
  <c r="V51" i="33"/>
  <c r="T51" i="33"/>
  <c r="R51" i="33"/>
  <c r="K51" i="33"/>
  <c r="I51" i="33"/>
  <c r="G51" i="33"/>
  <c r="AG79" i="33"/>
  <c r="AE79" i="33"/>
  <c r="AC79" i="33"/>
  <c r="V79" i="33"/>
  <c r="T79" i="33"/>
  <c r="R79" i="33"/>
  <c r="K79" i="33"/>
  <c r="I79" i="33"/>
  <c r="G79" i="33"/>
  <c r="P65" i="33"/>
  <c r="P66" i="33"/>
  <c r="P67" i="33"/>
  <c r="P68" i="33"/>
  <c r="P69" i="33"/>
  <c r="P70" i="33"/>
  <c r="P71" i="33"/>
  <c r="P72" i="33"/>
  <c r="P73" i="33"/>
  <c r="P74" i="33"/>
  <c r="P75" i="33"/>
  <c r="P76" i="33"/>
  <c r="P77" i="33"/>
  <c r="P78" i="33"/>
  <c r="P64" i="33"/>
  <c r="AA59" i="33"/>
  <c r="AA60" i="33"/>
  <c r="AA53" i="33"/>
  <c r="AA52" i="33"/>
  <c r="AA58" i="33"/>
  <c r="AA65" i="33"/>
  <c r="AA66" i="33"/>
  <c r="AA67" i="33"/>
  <c r="AA68" i="33"/>
  <c r="AA69" i="33"/>
  <c r="AA70" i="33"/>
  <c r="AA71" i="33"/>
  <c r="AA72" i="33"/>
  <c r="AA73" i="33"/>
  <c r="AA74" i="33"/>
  <c r="AA75" i="33"/>
  <c r="AA76" i="33"/>
  <c r="AA77" i="33"/>
  <c r="AA78" i="33"/>
  <c r="AA64" i="33"/>
  <c r="AA56" i="33"/>
  <c r="AA54" i="33"/>
  <c r="AA118" i="33" s="1"/>
  <c r="AB118" i="33" s="1"/>
  <c r="AA49" i="33"/>
  <c r="AA39" i="33"/>
  <c r="AA113" i="33" s="1"/>
  <c r="AB113" i="33" s="1"/>
  <c r="AA31" i="33"/>
  <c r="AA38" i="33" s="1"/>
  <c r="AA24" i="33"/>
  <c r="AA111" i="33" s="1"/>
  <c r="AA16" i="33"/>
  <c r="R30" i="33"/>
  <c r="R38" i="33"/>
  <c r="R47" i="33"/>
  <c r="N79" i="33"/>
  <c r="E19" i="45"/>
  <c r="AA63" i="33"/>
  <c r="P63" i="33"/>
  <c r="E63" i="33"/>
  <c r="E79" i="33" s="1"/>
  <c r="D56" i="33"/>
  <c r="E56" i="33"/>
  <c r="F56" i="33"/>
  <c r="H56" i="33"/>
  <c r="J56" i="33"/>
  <c r="L56" i="33"/>
  <c r="O56" i="33"/>
  <c r="Q56" i="33"/>
  <c r="W56" i="33"/>
  <c r="Z56" i="33"/>
  <c r="AB56" i="33"/>
  <c r="AH56" i="33"/>
  <c r="Z56" i="51"/>
  <c r="O56" i="51"/>
  <c r="D56" i="51"/>
  <c r="Z55" i="46"/>
  <c r="O55" i="46"/>
  <c r="D55" i="46"/>
  <c r="O56" i="41"/>
  <c r="Q56" i="41" s="1"/>
  <c r="S56" i="41" s="1"/>
  <c r="U56" i="41" s="1"/>
  <c r="D56" i="41"/>
  <c r="AL58" i="41"/>
  <c r="D56" i="40"/>
  <c r="AL18" i="49"/>
  <c r="AL19" i="49"/>
  <c r="AL20" i="49"/>
  <c r="AL21" i="49"/>
  <c r="AL22" i="49"/>
  <c r="AL23" i="49"/>
  <c r="AL24" i="49"/>
  <c r="AL25" i="49"/>
  <c r="AL26" i="49"/>
  <c r="AL27" i="49"/>
  <c r="AL28" i="49"/>
  <c r="AL29" i="49"/>
  <c r="AL30" i="49"/>
  <c r="AL32" i="49"/>
  <c r="AL33" i="49"/>
  <c r="AL34" i="49"/>
  <c r="AL35" i="49"/>
  <c r="AL36" i="49"/>
  <c r="AL37" i="49"/>
  <c r="AL38" i="49"/>
  <c r="AL40" i="49"/>
  <c r="AL41" i="49"/>
  <c r="AL42" i="49"/>
  <c r="AL43" i="49"/>
  <c r="AL44" i="49"/>
  <c r="AL45" i="49"/>
  <c r="AL46" i="49"/>
  <c r="AL47" i="49"/>
  <c r="AL50" i="49"/>
  <c r="AL53" i="49"/>
  <c r="AL54" i="49"/>
  <c r="AL55" i="49"/>
  <c r="AL56" i="49"/>
  <c r="AL59" i="49"/>
  <c r="AL60" i="49"/>
  <c r="AL61" i="49"/>
  <c r="AL63" i="49"/>
  <c r="AL64" i="49"/>
  <c r="AL65" i="49"/>
  <c r="AL66" i="49"/>
  <c r="AL67" i="49"/>
  <c r="AL68" i="49"/>
  <c r="AL69" i="49"/>
  <c r="AL70" i="49"/>
  <c r="AL71" i="49"/>
  <c r="AL72" i="49"/>
  <c r="AL73" i="49"/>
  <c r="AL74" i="49"/>
  <c r="AL75" i="49"/>
  <c r="AL76" i="49"/>
  <c r="AL77" i="49"/>
  <c r="AL78" i="49"/>
  <c r="AL79" i="49"/>
  <c r="AL78" i="51"/>
  <c r="AL77" i="51"/>
  <c r="AL76" i="51"/>
  <c r="AL75" i="51"/>
  <c r="AL74" i="51"/>
  <c r="AL73" i="51"/>
  <c r="AL72" i="51"/>
  <c r="AL71" i="51"/>
  <c r="AL70" i="51"/>
  <c r="AL69" i="51"/>
  <c r="AL68" i="51"/>
  <c r="AL67" i="51"/>
  <c r="AL66" i="51"/>
  <c r="AL65" i="51"/>
  <c r="AL64" i="51"/>
  <c r="AL63" i="51"/>
  <c r="AL62" i="51"/>
  <c r="AL60" i="51"/>
  <c r="AL59" i="51"/>
  <c r="AL58" i="51"/>
  <c r="AL55" i="51"/>
  <c r="AL54" i="51"/>
  <c r="AL53" i="51"/>
  <c r="AL52" i="51"/>
  <c r="AL49" i="51"/>
  <c r="AL46" i="51"/>
  <c r="AL45" i="51"/>
  <c r="AL44" i="51"/>
  <c r="AL43" i="51"/>
  <c r="AL42" i="51"/>
  <c r="AL41" i="51"/>
  <c r="AL40" i="51"/>
  <c r="AL39" i="51"/>
  <c r="AL37" i="51"/>
  <c r="AL36" i="51"/>
  <c r="AL35" i="51"/>
  <c r="AL34" i="51"/>
  <c r="AL33" i="51"/>
  <c r="AL32" i="51"/>
  <c r="AL31" i="51"/>
  <c r="AL29" i="51"/>
  <c r="AL28" i="51"/>
  <c r="AL27" i="51"/>
  <c r="AL26" i="51"/>
  <c r="AL25" i="51"/>
  <c r="AL24" i="51"/>
  <c r="AL23" i="51"/>
  <c r="AL22" i="51"/>
  <c r="AL21" i="51"/>
  <c r="AL20" i="51"/>
  <c r="AL19" i="51"/>
  <c r="AL18" i="51"/>
  <c r="AL17" i="51"/>
  <c r="AL78" i="33"/>
  <c r="AL77" i="33"/>
  <c r="AL76" i="33"/>
  <c r="AL75" i="33"/>
  <c r="AL74" i="33"/>
  <c r="AL73" i="33"/>
  <c r="AL72" i="33"/>
  <c r="AL71" i="33"/>
  <c r="AL70" i="33"/>
  <c r="AL69" i="33"/>
  <c r="AL68" i="33"/>
  <c r="AL67" i="33"/>
  <c r="AL66" i="33"/>
  <c r="AL65" i="33"/>
  <c r="AL64" i="33"/>
  <c r="AL63" i="33"/>
  <c r="AL62" i="33"/>
  <c r="AL60" i="33"/>
  <c r="AL59" i="33"/>
  <c r="AL58" i="33"/>
  <c r="AL54" i="33"/>
  <c r="AL53" i="33"/>
  <c r="AL52" i="33"/>
  <c r="AL49" i="33"/>
  <c r="AL46" i="33"/>
  <c r="AL45" i="33"/>
  <c r="AL44" i="33"/>
  <c r="AL43" i="33"/>
  <c r="AL42" i="33"/>
  <c r="AL41" i="33"/>
  <c r="AL40" i="33"/>
  <c r="AL39" i="33"/>
  <c r="AL37" i="33"/>
  <c r="AL36" i="33"/>
  <c r="AL35" i="33"/>
  <c r="AL34" i="33"/>
  <c r="AL33" i="33"/>
  <c r="AL32" i="33"/>
  <c r="AL31" i="33"/>
  <c r="AL29" i="33"/>
  <c r="AL28" i="33"/>
  <c r="AL27" i="33"/>
  <c r="AL26" i="33"/>
  <c r="AL25" i="33"/>
  <c r="AL24" i="33"/>
  <c r="AL23" i="33"/>
  <c r="AL22" i="33"/>
  <c r="AL21" i="33"/>
  <c r="AL20" i="33"/>
  <c r="AL19" i="33"/>
  <c r="AL18" i="33"/>
  <c r="AL17" i="33"/>
  <c r="AL77" i="46"/>
  <c r="AL76" i="46"/>
  <c r="AL75" i="46"/>
  <c r="AL74" i="46"/>
  <c r="AL73" i="46"/>
  <c r="AL72" i="46"/>
  <c r="AL71" i="46"/>
  <c r="AL70" i="46"/>
  <c r="AL69" i="46"/>
  <c r="AL68" i="46"/>
  <c r="AL67" i="46"/>
  <c r="AL66" i="46"/>
  <c r="AL65" i="46"/>
  <c r="AL64" i="46"/>
  <c r="AL63" i="46"/>
  <c r="AL61" i="46"/>
  <c r="AL59" i="46"/>
  <c r="AL58" i="46"/>
  <c r="AL57" i="46"/>
  <c r="AL53" i="46"/>
  <c r="AL52" i="46"/>
  <c r="AL51" i="46"/>
  <c r="AL48" i="46"/>
  <c r="AL45" i="46"/>
  <c r="AL44" i="46"/>
  <c r="AL43" i="46"/>
  <c r="AL42" i="46"/>
  <c r="AL41" i="46"/>
  <c r="AL40" i="46"/>
  <c r="AL39" i="46"/>
  <c r="AL38" i="46"/>
  <c r="AL36" i="46"/>
  <c r="AL35" i="46"/>
  <c r="AL34" i="46"/>
  <c r="AL33" i="46"/>
  <c r="AL32" i="46"/>
  <c r="AL31" i="46"/>
  <c r="AL30" i="46"/>
  <c r="AL28" i="46"/>
  <c r="AL27" i="46"/>
  <c r="AL26" i="46"/>
  <c r="AL25" i="46"/>
  <c r="AL24" i="46"/>
  <c r="AL23" i="46"/>
  <c r="AL22" i="46"/>
  <c r="AL21" i="46"/>
  <c r="AL20" i="46"/>
  <c r="AL19" i="46"/>
  <c r="AL18" i="46"/>
  <c r="AL17" i="46"/>
  <c r="AL16" i="46"/>
  <c r="AL78" i="41"/>
  <c r="AL77" i="41"/>
  <c r="AL76" i="41"/>
  <c r="AL75" i="41"/>
  <c r="AL74" i="41"/>
  <c r="AL73" i="41"/>
  <c r="AL72" i="41"/>
  <c r="AL71" i="41"/>
  <c r="AL70" i="41"/>
  <c r="AL69" i="41"/>
  <c r="AL68" i="41"/>
  <c r="AL67" i="41"/>
  <c r="AL66" i="41"/>
  <c r="AL65" i="41"/>
  <c r="AL64" i="41"/>
  <c r="AL62" i="41"/>
  <c r="AL60" i="41"/>
  <c r="AL59" i="41"/>
  <c r="AL55" i="41"/>
  <c r="AL54" i="41"/>
  <c r="AL53" i="41"/>
  <c r="AL52" i="41"/>
  <c r="AL49" i="41"/>
  <c r="AL46" i="41"/>
  <c r="AL45" i="41"/>
  <c r="AL44" i="41"/>
  <c r="AL43" i="41"/>
  <c r="AL42" i="41"/>
  <c r="AL41" i="41"/>
  <c r="AL40" i="41"/>
  <c r="AL39" i="41"/>
  <c r="AL37" i="41"/>
  <c r="AL36" i="41"/>
  <c r="AL35" i="41"/>
  <c r="AL34" i="41"/>
  <c r="AL33" i="41"/>
  <c r="AL32" i="41"/>
  <c r="AL31" i="41"/>
  <c r="AL29" i="41"/>
  <c r="AL28" i="41"/>
  <c r="AL27" i="41"/>
  <c r="AL26" i="41"/>
  <c r="AL25" i="41"/>
  <c r="AL24" i="41"/>
  <c r="AL23" i="41"/>
  <c r="AL22" i="41"/>
  <c r="AL21" i="41"/>
  <c r="AL20" i="41"/>
  <c r="AL19" i="41"/>
  <c r="AL18" i="41"/>
  <c r="AL17" i="41"/>
  <c r="AL17" i="40"/>
  <c r="AL18" i="40"/>
  <c r="AL19" i="40"/>
  <c r="AL20" i="40"/>
  <c r="AL21" i="40"/>
  <c r="AL22" i="40"/>
  <c r="AL23" i="40"/>
  <c r="AL24" i="40"/>
  <c r="AL25" i="40"/>
  <c r="AL26" i="40"/>
  <c r="AL27" i="40"/>
  <c r="AL28" i="40"/>
  <c r="AL29" i="40"/>
  <c r="AL31" i="40"/>
  <c r="AL32" i="40"/>
  <c r="AL33" i="40"/>
  <c r="AL34" i="40"/>
  <c r="AL35" i="40"/>
  <c r="AL36" i="40"/>
  <c r="AL37" i="40"/>
  <c r="AL39" i="40"/>
  <c r="AL40" i="40"/>
  <c r="AL41" i="40"/>
  <c r="AL42" i="40"/>
  <c r="AL43" i="40"/>
  <c r="AL44" i="40"/>
  <c r="AL45" i="40"/>
  <c r="AL46" i="40"/>
  <c r="AL49" i="40"/>
  <c r="AL52" i="40"/>
  <c r="AL53" i="40"/>
  <c r="AL54" i="40"/>
  <c r="AL55" i="40"/>
  <c r="AL58" i="40"/>
  <c r="AL59" i="40"/>
  <c r="AL60" i="40"/>
  <c r="AL62" i="40"/>
  <c r="AL63" i="40"/>
  <c r="AL64" i="40"/>
  <c r="AL65" i="40"/>
  <c r="AL66" i="40"/>
  <c r="AL67" i="40"/>
  <c r="AL68" i="40"/>
  <c r="AL69" i="40"/>
  <c r="AL70" i="40"/>
  <c r="AL71" i="40"/>
  <c r="AL72" i="40"/>
  <c r="AL73" i="40"/>
  <c r="AL74" i="40"/>
  <c r="AL75" i="40"/>
  <c r="AL76" i="40"/>
  <c r="AL77" i="40"/>
  <c r="AL78" i="40"/>
  <c r="B3" i="51"/>
  <c r="Q10" i="51" s="1"/>
  <c r="O46" i="51" s="1"/>
  <c r="AG118" i="51"/>
  <c r="AH118" i="51" s="1"/>
  <c r="AE118" i="51"/>
  <c r="AF118" i="51" s="1"/>
  <c r="AC118" i="51"/>
  <c r="AD118" i="51" s="1"/>
  <c r="Y118" i="51"/>
  <c r="Z118" i="51" s="1"/>
  <c r="V118" i="51"/>
  <c r="T118" i="51"/>
  <c r="U118" i="51" s="1"/>
  <c r="R118" i="51"/>
  <c r="S118" i="51" s="1"/>
  <c r="N118" i="51"/>
  <c r="O118" i="51" s="1"/>
  <c r="K118" i="51"/>
  <c r="L118" i="51" s="1"/>
  <c r="I118" i="51"/>
  <c r="J118" i="51" s="1"/>
  <c r="G118" i="51"/>
  <c r="H118" i="51" s="1"/>
  <c r="C118" i="51"/>
  <c r="D118" i="51" s="1"/>
  <c r="AE115" i="51"/>
  <c r="AF115" i="51" s="1"/>
  <c r="AC115" i="51"/>
  <c r="AD115" i="51" s="1"/>
  <c r="V115" i="51"/>
  <c r="W115" i="51" s="1"/>
  <c r="T115" i="51"/>
  <c r="U115" i="51" s="1"/>
  <c r="R115" i="51"/>
  <c r="S115" i="51" s="1"/>
  <c r="N115" i="51"/>
  <c r="O115" i="51" s="1"/>
  <c r="K115" i="51"/>
  <c r="L115" i="51" s="1"/>
  <c r="I115" i="51"/>
  <c r="J115" i="51" s="1"/>
  <c r="G115" i="51"/>
  <c r="C115" i="51"/>
  <c r="D115" i="51" s="1"/>
  <c r="AE113" i="51"/>
  <c r="AF113" i="51" s="1"/>
  <c r="AC113" i="51"/>
  <c r="AD113" i="51" s="1"/>
  <c r="V113" i="51"/>
  <c r="T113" i="51"/>
  <c r="R113" i="51"/>
  <c r="S113" i="51" s="1"/>
  <c r="N113" i="51"/>
  <c r="O113" i="51" s="1"/>
  <c r="K113" i="51"/>
  <c r="L113" i="51" s="1"/>
  <c r="I113" i="51"/>
  <c r="J113" i="51" s="1"/>
  <c r="G113" i="51"/>
  <c r="H113" i="51" s="1"/>
  <c r="C113" i="51"/>
  <c r="D113" i="51" s="1"/>
  <c r="AE112" i="51"/>
  <c r="AC112" i="51"/>
  <c r="AD112" i="51" s="1"/>
  <c r="V112" i="51"/>
  <c r="W112" i="51" s="1"/>
  <c r="T112" i="51"/>
  <c r="U112" i="51" s="1"/>
  <c r="R112" i="51"/>
  <c r="S112" i="51" s="1"/>
  <c r="N112" i="51"/>
  <c r="K112" i="51"/>
  <c r="L112" i="51" s="1"/>
  <c r="I112" i="51"/>
  <c r="G112" i="51"/>
  <c r="H112" i="51" s="1"/>
  <c r="C112" i="51"/>
  <c r="D112" i="51" s="1"/>
  <c r="AE111" i="51"/>
  <c r="AF111" i="51" s="1"/>
  <c r="AC111" i="51"/>
  <c r="V111" i="51"/>
  <c r="W111" i="51" s="1"/>
  <c r="T111" i="51"/>
  <c r="U111" i="51" s="1"/>
  <c r="R111" i="51"/>
  <c r="N111" i="51"/>
  <c r="O111" i="51" s="1"/>
  <c r="K111" i="51"/>
  <c r="G111" i="51"/>
  <c r="H111" i="51" s="1"/>
  <c r="C111" i="51"/>
  <c r="D111" i="51" s="1"/>
  <c r="Z79" i="51"/>
  <c r="O79" i="51"/>
  <c r="D79" i="51"/>
  <c r="Z78" i="51"/>
  <c r="O78" i="51"/>
  <c r="D78" i="51"/>
  <c r="Z77" i="51"/>
  <c r="O77" i="51"/>
  <c r="D77" i="51"/>
  <c r="Z76" i="51"/>
  <c r="O76" i="51"/>
  <c r="D76" i="51"/>
  <c r="Z75" i="51"/>
  <c r="O75" i="51"/>
  <c r="D75" i="51"/>
  <c r="Z74" i="51"/>
  <c r="O74" i="51"/>
  <c r="D74" i="51"/>
  <c r="Z73" i="51"/>
  <c r="O73" i="51"/>
  <c r="D73" i="51"/>
  <c r="Z72" i="51"/>
  <c r="O72" i="51"/>
  <c r="D72" i="51"/>
  <c r="Z71" i="51"/>
  <c r="O71" i="51"/>
  <c r="D71" i="51"/>
  <c r="Z70" i="51"/>
  <c r="O70" i="51"/>
  <c r="D70" i="51"/>
  <c r="Z69" i="51"/>
  <c r="O69" i="51"/>
  <c r="D69" i="51"/>
  <c r="Z68" i="51"/>
  <c r="O68" i="51"/>
  <c r="D68" i="51"/>
  <c r="Z67" i="51"/>
  <c r="O67" i="51"/>
  <c r="D67" i="51"/>
  <c r="Z66" i="51"/>
  <c r="O66" i="51"/>
  <c r="D66" i="51"/>
  <c r="Z65" i="51"/>
  <c r="O65" i="51"/>
  <c r="D65" i="51"/>
  <c r="Z64" i="51"/>
  <c r="O64" i="51"/>
  <c r="D64" i="51"/>
  <c r="Z55" i="51"/>
  <c r="O55" i="51"/>
  <c r="D55" i="51"/>
  <c r="C51" i="51"/>
  <c r="Z49" i="51"/>
  <c r="O49" i="51"/>
  <c r="D49" i="51"/>
  <c r="C48" i="51"/>
  <c r="C50" i="51" s="1"/>
  <c r="N47" i="51"/>
  <c r="C47" i="51"/>
  <c r="N38" i="51"/>
  <c r="C38" i="51"/>
  <c r="N30" i="51"/>
  <c r="C30" i="51"/>
  <c r="Y8" i="51"/>
  <c r="Y121" i="51" s="1"/>
  <c r="N8" i="51"/>
  <c r="N121" i="51" s="1"/>
  <c r="C8" i="51"/>
  <c r="C121" i="51" s="1"/>
  <c r="C4" i="51"/>
  <c r="C1" i="51"/>
  <c r="B3" i="41"/>
  <c r="F10" i="41" s="1"/>
  <c r="AG118" i="33"/>
  <c r="AH118" i="33" s="1"/>
  <c r="AE118" i="33"/>
  <c r="AF118" i="33" s="1"/>
  <c r="AC118" i="33"/>
  <c r="AD118" i="33" s="1"/>
  <c r="Y118" i="33"/>
  <c r="Z118" i="33" s="1"/>
  <c r="V118" i="33"/>
  <c r="W118" i="33" s="1"/>
  <c r="T118" i="33"/>
  <c r="U118" i="33" s="1"/>
  <c r="R118" i="33"/>
  <c r="S118" i="33" s="1"/>
  <c r="P118" i="33"/>
  <c r="Q118" i="33" s="1"/>
  <c r="N118" i="33"/>
  <c r="O118" i="33" s="1"/>
  <c r="K118" i="33"/>
  <c r="L118" i="33" s="1"/>
  <c r="I118" i="33"/>
  <c r="J118" i="33" s="1"/>
  <c r="G118" i="33"/>
  <c r="H118" i="33" s="1"/>
  <c r="C118" i="33"/>
  <c r="D118" i="33" s="1"/>
  <c r="AE115" i="33"/>
  <c r="AF115" i="33" s="1"/>
  <c r="AC115" i="33"/>
  <c r="AD115" i="33" s="1"/>
  <c r="V115" i="33"/>
  <c r="W115" i="33" s="1"/>
  <c r="T115" i="33"/>
  <c r="U115" i="33" s="1"/>
  <c r="R115" i="33"/>
  <c r="S115" i="33" s="1"/>
  <c r="N115" i="33"/>
  <c r="O115" i="33" s="1"/>
  <c r="K115" i="33"/>
  <c r="L115" i="33" s="1"/>
  <c r="I115" i="33"/>
  <c r="J115" i="33" s="1"/>
  <c r="G115" i="33"/>
  <c r="H115" i="33" s="1"/>
  <c r="C115" i="33"/>
  <c r="D115" i="33" s="1"/>
  <c r="AE113" i="33"/>
  <c r="AF113" i="33" s="1"/>
  <c r="AC113" i="33"/>
  <c r="AD113" i="33" s="1"/>
  <c r="V113" i="33"/>
  <c r="W113" i="33" s="1"/>
  <c r="T113" i="33"/>
  <c r="U113" i="33" s="1"/>
  <c r="R113" i="33"/>
  <c r="S113" i="33" s="1"/>
  <c r="N113" i="33"/>
  <c r="O113" i="33" s="1"/>
  <c r="K113" i="33"/>
  <c r="L113" i="33" s="1"/>
  <c r="I113" i="33"/>
  <c r="J113" i="33" s="1"/>
  <c r="G113" i="33"/>
  <c r="H113" i="33" s="1"/>
  <c r="C113" i="33"/>
  <c r="D113" i="33" s="1"/>
  <c r="AE112" i="33"/>
  <c r="AF112" i="33" s="1"/>
  <c r="AC112" i="33"/>
  <c r="AD112" i="33" s="1"/>
  <c r="V112" i="33"/>
  <c r="T112" i="33"/>
  <c r="R112" i="33"/>
  <c r="N112" i="33"/>
  <c r="O112" i="33" s="1"/>
  <c r="K112" i="33"/>
  <c r="L112" i="33" s="1"/>
  <c r="I112" i="33"/>
  <c r="J112" i="33" s="1"/>
  <c r="G112" i="33"/>
  <c r="H112" i="33" s="1"/>
  <c r="C112" i="33"/>
  <c r="D112" i="33" s="1"/>
  <c r="AE111" i="33"/>
  <c r="AF111" i="33" s="1"/>
  <c r="AC111" i="33"/>
  <c r="AD111" i="33" s="1"/>
  <c r="V111" i="33"/>
  <c r="W111" i="33" s="1"/>
  <c r="T111" i="33"/>
  <c r="U111" i="33" s="1"/>
  <c r="R111" i="33"/>
  <c r="S111" i="33" s="1"/>
  <c r="N111" i="33"/>
  <c r="K111" i="33"/>
  <c r="I111" i="33"/>
  <c r="J111" i="33" s="1"/>
  <c r="G111" i="33"/>
  <c r="C111" i="33"/>
  <c r="D111" i="33" s="1"/>
  <c r="AH79" i="33"/>
  <c r="AF79" i="33"/>
  <c r="AD79" i="33"/>
  <c r="AB79" i="33"/>
  <c r="Z79" i="33"/>
  <c r="W79" i="33"/>
  <c r="U79" i="33"/>
  <c r="S79" i="33"/>
  <c r="Q79" i="33"/>
  <c r="O79" i="33"/>
  <c r="L79" i="33"/>
  <c r="J79" i="33"/>
  <c r="H79" i="33"/>
  <c r="F79" i="33"/>
  <c r="D79" i="33"/>
  <c r="AH78" i="33"/>
  <c r="AF78" i="33"/>
  <c r="AD78" i="33"/>
  <c r="AB78" i="33"/>
  <c r="Z78" i="33"/>
  <c r="W78" i="33"/>
  <c r="U78" i="33"/>
  <c r="S78" i="33"/>
  <c r="Q78" i="33"/>
  <c r="O78" i="33"/>
  <c r="L78" i="33"/>
  <c r="J78" i="33"/>
  <c r="H78" i="33"/>
  <c r="F78" i="33"/>
  <c r="D78" i="33"/>
  <c r="AH77" i="33"/>
  <c r="AF77" i="33"/>
  <c r="AD77" i="33"/>
  <c r="AB77" i="33"/>
  <c r="Z77" i="33"/>
  <c r="W77" i="33"/>
  <c r="U77" i="33"/>
  <c r="S77" i="33"/>
  <c r="Q77" i="33"/>
  <c r="O77" i="33"/>
  <c r="L77" i="33"/>
  <c r="J77" i="33"/>
  <c r="H77" i="33"/>
  <c r="F77" i="33"/>
  <c r="D77" i="33"/>
  <c r="AH76" i="33"/>
  <c r="AF76" i="33"/>
  <c r="AD76" i="33"/>
  <c r="AB76" i="33"/>
  <c r="Z76" i="33"/>
  <c r="W76" i="33"/>
  <c r="U76" i="33"/>
  <c r="S76" i="33"/>
  <c r="Q76" i="33"/>
  <c r="O76" i="33"/>
  <c r="L76" i="33"/>
  <c r="J76" i="33"/>
  <c r="H76" i="33"/>
  <c r="F76" i="33"/>
  <c r="D76" i="33"/>
  <c r="AH75" i="33"/>
  <c r="AF75" i="33"/>
  <c r="AD75" i="33"/>
  <c r="AB75" i="33"/>
  <c r="Z75" i="33"/>
  <c r="W75" i="33"/>
  <c r="U75" i="33"/>
  <c r="S75" i="33"/>
  <c r="Q75" i="33"/>
  <c r="O75" i="33"/>
  <c r="L75" i="33"/>
  <c r="J75" i="33"/>
  <c r="H75" i="33"/>
  <c r="F75" i="33"/>
  <c r="D75" i="33"/>
  <c r="AH74" i="33"/>
  <c r="AF74" i="33"/>
  <c r="AD74" i="33"/>
  <c r="AB74" i="33"/>
  <c r="Z74" i="33"/>
  <c r="W74" i="33"/>
  <c r="U74" i="33"/>
  <c r="S74" i="33"/>
  <c r="Q74" i="33"/>
  <c r="O74" i="33"/>
  <c r="L74" i="33"/>
  <c r="J74" i="33"/>
  <c r="H74" i="33"/>
  <c r="F74" i="33"/>
  <c r="D74" i="33"/>
  <c r="AH73" i="33"/>
  <c r="AF73" i="33"/>
  <c r="AD73" i="33"/>
  <c r="AB73" i="33"/>
  <c r="Z73" i="33"/>
  <c r="W73" i="33"/>
  <c r="U73" i="33"/>
  <c r="S73" i="33"/>
  <c r="Q73" i="33"/>
  <c r="O73" i="33"/>
  <c r="L73" i="33"/>
  <c r="J73" i="33"/>
  <c r="H73" i="33"/>
  <c r="F73" i="33"/>
  <c r="D73" i="33"/>
  <c r="AH72" i="33"/>
  <c r="AF72" i="33"/>
  <c r="AD72" i="33"/>
  <c r="AB72" i="33"/>
  <c r="Z72" i="33"/>
  <c r="W72" i="33"/>
  <c r="U72" i="33"/>
  <c r="S72" i="33"/>
  <c r="Q72" i="33"/>
  <c r="O72" i="33"/>
  <c r="L72" i="33"/>
  <c r="J72" i="33"/>
  <c r="H72" i="33"/>
  <c r="F72" i="33"/>
  <c r="D72" i="33"/>
  <c r="AH71" i="33"/>
  <c r="AF71" i="33"/>
  <c r="AD71" i="33"/>
  <c r="AB71" i="33"/>
  <c r="Z71" i="33"/>
  <c r="W71" i="33"/>
  <c r="U71" i="33"/>
  <c r="S71" i="33"/>
  <c r="Q71" i="33"/>
  <c r="O71" i="33"/>
  <c r="L71" i="33"/>
  <c r="J71" i="33"/>
  <c r="H71" i="33"/>
  <c r="F71" i="33"/>
  <c r="D71" i="33"/>
  <c r="AH70" i="33"/>
  <c r="AF70" i="33"/>
  <c r="AD70" i="33"/>
  <c r="AB70" i="33"/>
  <c r="Z70" i="33"/>
  <c r="W70" i="33"/>
  <c r="U70" i="33"/>
  <c r="S70" i="33"/>
  <c r="Q70" i="33"/>
  <c r="O70" i="33"/>
  <c r="L70" i="33"/>
  <c r="J70" i="33"/>
  <c r="H70" i="33"/>
  <c r="F70" i="33"/>
  <c r="D70" i="33"/>
  <c r="AH69" i="33"/>
  <c r="AF69" i="33"/>
  <c r="AD69" i="33"/>
  <c r="AB69" i="33"/>
  <c r="Z69" i="33"/>
  <c r="W69" i="33"/>
  <c r="U69" i="33"/>
  <c r="S69" i="33"/>
  <c r="Q69" i="33"/>
  <c r="O69" i="33"/>
  <c r="L69" i="33"/>
  <c r="J69" i="33"/>
  <c r="H69" i="33"/>
  <c r="F69" i="33"/>
  <c r="D69" i="33"/>
  <c r="AH68" i="33"/>
  <c r="AF68" i="33"/>
  <c r="AD68" i="33"/>
  <c r="AB68" i="33"/>
  <c r="Z68" i="33"/>
  <c r="W68" i="33"/>
  <c r="U68" i="33"/>
  <c r="S68" i="33"/>
  <c r="Q68" i="33"/>
  <c r="O68" i="33"/>
  <c r="L68" i="33"/>
  <c r="J68" i="33"/>
  <c r="H68" i="33"/>
  <c r="F68" i="33"/>
  <c r="D68" i="33"/>
  <c r="AH67" i="33"/>
  <c r="AF67" i="33"/>
  <c r="AD67" i="33"/>
  <c r="AB67" i="33"/>
  <c r="Z67" i="33"/>
  <c r="W67" i="33"/>
  <c r="U67" i="33"/>
  <c r="S67" i="33"/>
  <c r="Q67" i="33"/>
  <c r="O67" i="33"/>
  <c r="L67" i="33"/>
  <c r="J67" i="33"/>
  <c r="H67" i="33"/>
  <c r="F67" i="33"/>
  <c r="D67" i="33"/>
  <c r="AH66" i="33"/>
  <c r="AF66" i="33"/>
  <c r="AD66" i="33"/>
  <c r="AB66" i="33"/>
  <c r="Z66" i="33"/>
  <c r="W66" i="33"/>
  <c r="U66" i="33"/>
  <c r="S66" i="33"/>
  <c r="Q66" i="33"/>
  <c r="O66" i="33"/>
  <c r="L66" i="33"/>
  <c r="J66" i="33"/>
  <c r="H66" i="33"/>
  <c r="F66" i="33"/>
  <c r="D66" i="33"/>
  <c r="AH65" i="33"/>
  <c r="AF65" i="33"/>
  <c r="AD65" i="33"/>
  <c r="AB65" i="33"/>
  <c r="Z65" i="33"/>
  <c r="W65" i="33"/>
  <c r="U65" i="33"/>
  <c r="S65" i="33"/>
  <c r="Q65" i="33"/>
  <c r="O65" i="33"/>
  <c r="L65" i="33"/>
  <c r="J65" i="33"/>
  <c r="H65" i="33"/>
  <c r="F65" i="33"/>
  <c r="D65" i="33"/>
  <c r="AH64" i="33"/>
  <c r="AF64" i="33"/>
  <c r="AD64" i="33"/>
  <c r="AB64" i="33"/>
  <c r="Z64" i="33"/>
  <c r="W64" i="33"/>
  <c r="U64" i="33"/>
  <c r="S64" i="33"/>
  <c r="Q64" i="33"/>
  <c r="O64" i="33"/>
  <c r="L64" i="33"/>
  <c r="J64" i="33"/>
  <c r="H64" i="33"/>
  <c r="F64" i="33"/>
  <c r="D64" i="33"/>
  <c r="E54" i="33"/>
  <c r="E118" i="33" s="1"/>
  <c r="F118" i="33" s="1"/>
  <c r="E51" i="33"/>
  <c r="C51" i="33"/>
  <c r="C108" i="33" s="1"/>
  <c r="AH49" i="33"/>
  <c r="AF49" i="33"/>
  <c r="AD49" i="33"/>
  <c r="AB49" i="33"/>
  <c r="Z49" i="33"/>
  <c r="W49" i="33"/>
  <c r="U49" i="33"/>
  <c r="S49" i="33"/>
  <c r="Q49" i="33"/>
  <c r="O49" i="33"/>
  <c r="L49" i="33"/>
  <c r="J49" i="33"/>
  <c r="H49" i="33"/>
  <c r="F49" i="33"/>
  <c r="E49" i="33"/>
  <c r="E115" i="33" s="1"/>
  <c r="F115" i="33" s="1"/>
  <c r="D49" i="33"/>
  <c r="AG48" i="33"/>
  <c r="AE48" i="33"/>
  <c r="AC48" i="33"/>
  <c r="AC50" i="33" s="1"/>
  <c r="V48" i="33"/>
  <c r="V50" i="33" s="1"/>
  <c r="T48" i="33"/>
  <c r="T50" i="33" s="1"/>
  <c r="R48" i="33"/>
  <c r="R50" i="33" s="1"/>
  <c r="N48" i="33"/>
  <c r="N50" i="33" s="1"/>
  <c r="K48" i="33"/>
  <c r="I48" i="33"/>
  <c r="I50" i="33" s="1"/>
  <c r="G48" i="33"/>
  <c r="G50" i="33" s="1"/>
  <c r="C48" i="33"/>
  <c r="C50" i="33" s="1"/>
  <c r="AG47" i="33"/>
  <c r="AE47" i="33"/>
  <c r="AC47" i="33"/>
  <c r="V47" i="33"/>
  <c r="T47" i="33"/>
  <c r="N47" i="33"/>
  <c r="P47" i="33" s="1"/>
  <c r="K47" i="33"/>
  <c r="I47" i="33"/>
  <c r="G47" i="33"/>
  <c r="C47" i="33"/>
  <c r="E47" i="33" s="1"/>
  <c r="E46" i="33"/>
  <c r="E45" i="33"/>
  <c r="E44" i="33"/>
  <c r="E43" i="33"/>
  <c r="E42" i="33"/>
  <c r="E41" i="33"/>
  <c r="E40" i="33"/>
  <c r="E39" i="33"/>
  <c r="E113" i="33" s="1"/>
  <c r="F113" i="33" s="1"/>
  <c r="AG38" i="33"/>
  <c r="AE38" i="33"/>
  <c r="AC38" i="33"/>
  <c r="V38" i="33"/>
  <c r="K38" i="33"/>
  <c r="T38" i="33"/>
  <c r="N38" i="33"/>
  <c r="P38" i="33" s="1"/>
  <c r="I38" i="33"/>
  <c r="G38" i="33"/>
  <c r="C38" i="33"/>
  <c r="E38" i="33" s="1"/>
  <c r="E37" i="33"/>
  <c r="E36" i="33"/>
  <c r="E35" i="33"/>
  <c r="E34" i="33"/>
  <c r="E33" i="33"/>
  <c r="E32" i="33"/>
  <c r="E31" i="33"/>
  <c r="E112" i="33" s="1"/>
  <c r="F112" i="33" s="1"/>
  <c r="AG30" i="33"/>
  <c r="AE30" i="33"/>
  <c r="AC30" i="33"/>
  <c r="V30" i="33"/>
  <c r="T30" i="33"/>
  <c r="N30" i="33"/>
  <c r="P30" i="33" s="1"/>
  <c r="K30" i="33"/>
  <c r="I30" i="33"/>
  <c r="G30" i="33"/>
  <c r="C30" i="33"/>
  <c r="E30" i="33" s="1"/>
  <c r="E29" i="33"/>
  <c r="E28" i="33"/>
  <c r="E27" i="33"/>
  <c r="E26" i="33"/>
  <c r="E25" i="33"/>
  <c r="E24" i="33"/>
  <c r="E23" i="33"/>
  <c r="E22" i="33"/>
  <c r="E21" i="33"/>
  <c r="E20" i="33"/>
  <c r="E19" i="33"/>
  <c r="E18" i="33"/>
  <c r="E17" i="33"/>
  <c r="AE16" i="33"/>
  <c r="V16" i="33"/>
  <c r="T16" i="33"/>
  <c r="R16" i="33"/>
  <c r="P16" i="33"/>
  <c r="K16" i="33"/>
  <c r="I16" i="33"/>
  <c r="G16" i="33"/>
  <c r="E16" i="33"/>
  <c r="Y8" i="33"/>
  <c r="Y121" i="33" s="1"/>
  <c r="N8" i="33"/>
  <c r="N121" i="33" s="1"/>
  <c r="C8" i="33"/>
  <c r="C121" i="33" s="1"/>
  <c r="C4" i="33"/>
  <c r="C1" i="33"/>
  <c r="AG117" i="46"/>
  <c r="AH117" i="46" s="1"/>
  <c r="AE117" i="46"/>
  <c r="AF117" i="46" s="1"/>
  <c r="AC117" i="46"/>
  <c r="AD117" i="46" s="1"/>
  <c r="Y117" i="46"/>
  <c r="Z117" i="46" s="1"/>
  <c r="V117" i="46"/>
  <c r="W117" i="46" s="1"/>
  <c r="T117" i="46"/>
  <c r="U117" i="46" s="1"/>
  <c r="R117" i="46"/>
  <c r="S117" i="46" s="1"/>
  <c r="N117" i="46"/>
  <c r="O117" i="46" s="1"/>
  <c r="K117" i="46"/>
  <c r="L117" i="46" s="1"/>
  <c r="I117" i="46"/>
  <c r="J117" i="46" s="1"/>
  <c r="G117" i="46"/>
  <c r="H117" i="46" s="1"/>
  <c r="C117" i="46"/>
  <c r="D117" i="46" s="1"/>
  <c r="AE114" i="46"/>
  <c r="AF114" i="46" s="1"/>
  <c r="AC114" i="46"/>
  <c r="AD114" i="46" s="1"/>
  <c r="V114" i="46"/>
  <c r="W114" i="46" s="1"/>
  <c r="T114" i="46"/>
  <c r="U114" i="46" s="1"/>
  <c r="R114" i="46"/>
  <c r="S114" i="46" s="1"/>
  <c r="N114" i="46"/>
  <c r="O114" i="46" s="1"/>
  <c r="K114" i="46"/>
  <c r="L114" i="46" s="1"/>
  <c r="I114" i="46"/>
  <c r="J114" i="46" s="1"/>
  <c r="G114" i="46"/>
  <c r="H114" i="46" s="1"/>
  <c r="C114" i="46"/>
  <c r="D114" i="46" s="1"/>
  <c r="AE112" i="46"/>
  <c r="AF112" i="46" s="1"/>
  <c r="AC112" i="46"/>
  <c r="AD112" i="46" s="1"/>
  <c r="V112" i="46"/>
  <c r="W112" i="46" s="1"/>
  <c r="T112" i="46"/>
  <c r="U112" i="46" s="1"/>
  <c r="R112" i="46"/>
  <c r="S112" i="46" s="1"/>
  <c r="N112" i="46"/>
  <c r="O112" i="46" s="1"/>
  <c r="K112" i="46"/>
  <c r="L112" i="46" s="1"/>
  <c r="I112" i="46"/>
  <c r="J112" i="46" s="1"/>
  <c r="G112" i="46"/>
  <c r="H112" i="46" s="1"/>
  <c r="C112" i="46"/>
  <c r="D112" i="46" s="1"/>
  <c r="AE111" i="46"/>
  <c r="AF111" i="46" s="1"/>
  <c r="AC111" i="46"/>
  <c r="AD111" i="46" s="1"/>
  <c r="V111" i="46"/>
  <c r="T111" i="46"/>
  <c r="U111" i="46" s="1"/>
  <c r="R111" i="46"/>
  <c r="S111" i="46" s="1"/>
  <c r="N111" i="46"/>
  <c r="O111" i="46" s="1"/>
  <c r="K111" i="46"/>
  <c r="L111" i="46" s="1"/>
  <c r="I111" i="46"/>
  <c r="G111" i="46"/>
  <c r="C111" i="46"/>
  <c r="D111" i="46" s="1"/>
  <c r="AE110" i="46"/>
  <c r="AF110" i="46" s="1"/>
  <c r="AC110" i="46"/>
  <c r="AD110" i="46" s="1"/>
  <c r="V110" i="46"/>
  <c r="W110" i="46" s="1"/>
  <c r="T110" i="46"/>
  <c r="U110" i="46" s="1"/>
  <c r="R110" i="46"/>
  <c r="S110" i="46" s="1"/>
  <c r="N110" i="46"/>
  <c r="O110" i="46" s="1"/>
  <c r="K110" i="46"/>
  <c r="I110" i="46"/>
  <c r="J110" i="46" s="1"/>
  <c r="G110" i="46"/>
  <c r="H110" i="46" s="1"/>
  <c r="C110" i="46"/>
  <c r="D110" i="46" s="1"/>
  <c r="Z78" i="46"/>
  <c r="O78" i="46"/>
  <c r="D78" i="46"/>
  <c r="Z77" i="46"/>
  <c r="O77" i="46"/>
  <c r="D77" i="46"/>
  <c r="Z76" i="46"/>
  <c r="O76" i="46"/>
  <c r="D76" i="46"/>
  <c r="Z75" i="46"/>
  <c r="O75" i="46"/>
  <c r="D75" i="46"/>
  <c r="Z74" i="46"/>
  <c r="O74" i="46"/>
  <c r="D74" i="46"/>
  <c r="Z73" i="46"/>
  <c r="O73" i="46"/>
  <c r="D73" i="46"/>
  <c r="Z72" i="46"/>
  <c r="O72" i="46"/>
  <c r="D72" i="46"/>
  <c r="Z71" i="46"/>
  <c r="O71" i="46"/>
  <c r="D71" i="46"/>
  <c r="Z70" i="46"/>
  <c r="O70" i="46"/>
  <c r="D70" i="46"/>
  <c r="Z69" i="46"/>
  <c r="O69" i="46"/>
  <c r="D69" i="46"/>
  <c r="Z68" i="46"/>
  <c r="O68" i="46"/>
  <c r="D68" i="46"/>
  <c r="Z67" i="46"/>
  <c r="O67" i="46"/>
  <c r="D67" i="46"/>
  <c r="Z66" i="46"/>
  <c r="O66" i="46"/>
  <c r="D66" i="46"/>
  <c r="Z65" i="46"/>
  <c r="O65" i="46"/>
  <c r="D65" i="46"/>
  <c r="Z64" i="46"/>
  <c r="O64" i="46"/>
  <c r="D64" i="46"/>
  <c r="Z63" i="46"/>
  <c r="O63" i="46"/>
  <c r="D63" i="46"/>
  <c r="Y78" i="46"/>
  <c r="Z48" i="46"/>
  <c r="O48" i="46"/>
  <c r="D48" i="46"/>
  <c r="N47" i="46"/>
  <c r="N49" i="46" s="1"/>
  <c r="N62" i="46" s="1"/>
  <c r="C47" i="46"/>
  <c r="C49" i="46" s="1"/>
  <c r="C62" i="46" s="1"/>
  <c r="K62" i="46" s="1"/>
  <c r="AN62" i="46" s="1"/>
  <c r="N46" i="46"/>
  <c r="C46" i="46"/>
  <c r="N37" i="46"/>
  <c r="C37" i="46"/>
  <c r="N29" i="46"/>
  <c r="C29" i="46"/>
  <c r="Y8" i="46"/>
  <c r="N8" i="46"/>
  <c r="C8" i="46"/>
  <c r="C4" i="46"/>
  <c r="C1" i="46"/>
  <c r="AG118" i="41"/>
  <c r="AH118" i="41" s="1"/>
  <c r="AE118" i="41"/>
  <c r="AF118" i="41" s="1"/>
  <c r="AC118" i="41"/>
  <c r="AD118" i="41" s="1"/>
  <c r="Y118" i="41"/>
  <c r="Z118" i="41" s="1"/>
  <c r="V118" i="41"/>
  <c r="W118" i="41" s="1"/>
  <c r="T118" i="41"/>
  <c r="U118" i="41" s="1"/>
  <c r="R118" i="41"/>
  <c r="S118" i="41" s="1"/>
  <c r="N118" i="41"/>
  <c r="O118" i="41" s="1"/>
  <c r="K118" i="41"/>
  <c r="L118" i="41" s="1"/>
  <c r="I118" i="41"/>
  <c r="J118" i="41" s="1"/>
  <c r="G118" i="41"/>
  <c r="H118" i="41" s="1"/>
  <c r="C118" i="41"/>
  <c r="D118" i="41" s="1"/>
  <c r="AE115" i="41"/>
  <c r="AF115" i="41" s="1"/>
  <c r="AC115" i="41"/>
  <c r="AD115" i="41" s="1"/>
  <c r="V115" i="41"/>
  <c r="W115" i="41" s="1"/>
  <c r="T115" i="41"/>
  <c r="U115" i="41" s="1"/>
  <c r="R115" i="41"/>
  <c r="S115" i="41" s="1"/>
  <c r="N115" i="41"/>
  <c r="O115" i="41" s="1"/>
  <c r="K115" i="41"/>
  <c r="I115" i="41"/>
  <c r="J115" i="41" s="1"/>
  <c r="G115" i="41"/>
  <c r="H115" i="41" s="1"/>
  <c r="C115" i="41"/>
  <c r="D115" i="41" s="1"/>
  <c r="AE113" i="41"/>
  <c r="AF113" i="41" s="1"/>
  <c r="AC113" i="41"/>
  <c r="AD113" i="41" s="1"/>
  <c r="V113" i="41"/>
  <c r="T113" i="41"/>
  <c r="U113" i="41" s="1"/>
  <c r="R113" i="41"/>
  <c r="S113" i="41" s="1"/>
  <c r="N113" i="41"/>
  <c r="O113" i="41" s="1"/>
  <c r="K113" i="41"/>
  <c r="L113" i="41" s="1"/>
  <c r="I113" i="41"/>
  <c r="J113" i="41" s="1"/>
  <c r="G113" i="41"/>
  <c r="H113" i="41" s="1"/>
  <c r="C113" i="41"/>
  <c r="D113" i="41" s="1"/>
  <c r="AE112" i="41"/>
  <c r="AC112" i="41"/>
  <c r="AD112" i="41" s="1"/>
  <c r="V112" i="41"/>
  <c r="W112" i="41" s="1"/>
  <c r="T112" i="41"/>
  <c r="U112" i="41" s="1"/>
  <c r="R112" i="41"/>
  <c r="N112" i="41"/>
  <c r="K112" i="41"/>
  <c r="L112" i="41" s="1"/>
  <c r="I112" i="41"/>
  <c r="J112" i="41" s="1"/>
  <c r="G112" i="41"/>
  <c r="C112" i="41"/>
  <c r="D112" i="41" s="1"/>
  <c r="AE111" i="41"/>
  <c r="AF111" i="41" s="1"/>
  <c r="AC111" i="41"/>
  <c r="AD111" i="41" s="1"/>
  <c r="V111" i="41"/>
  <c r="W111" i="41" s="1"/>
  <c r="T111" i="41"/>
  <c r="U111" i="41" s="1"/>
  <c r="R111" i="41"/>
  <c r="S111" i="41" s="1"/>
  <c r="N111" i="41"/>
  <c r="O111" i="41" s="1"/>
  <c r="K111" i="41"/>
  <c r="L111" i="41" s="1"/>
  <c r="I111" i="41"/>
  <c r="J111" i="41" s="1"/>
  <c r="G111" i="41"/>
  <c r="H111" i="41" s="1"/>
  <c r="C111" i="41"/>
  <c r="D111" i="41" s="1"/>
  <c r="O79" i="41"/>
  <c r="Q79" i="41" s="1"/>
  <c r="S79" i="41" s="1"/>
  <c r="U79" i="41" s="1"/>
  <c r="D79" i="41"/>
  <c r="O78" i="41"/>
  <c r="Q78" i="41" s="1"/>
  <c r="S78" i="41" s="1"/>
  <c r="U78" i="41" s="1"/>
  <c r="D78" i="41"/>
  <c r="O77" i="41"/>
  <c r="Q77" i="41" s="1"/>
  <c r="S77" i="41" s="1"/>
  <c r="U77" i="41" s="1"/>
  <c r="D77" i="41"/>
  <c r="O76" i="41"/>
  <c r="Q76" i="41" s="1"/>
  <c r="S76" i="41" s="1"/>
  <c r="U76" i="41" s="1"/>
  <c r="D76" i="41"/>
  <c r="O75" i="41"/>
  <c r="Q75" i="41" s="1"/>
  <c r="S75" i="41" s="1"/>
  <c r="U75" i="41" s="1"/>
  <c r="D75" i="41"/>
  <c r="O74" i="41"/>
  <c r="Q74" i="41" s="1"/>
  <c r="S74" i="41" s="1"/>
  <c r="U74" i="41" s="1"/>
  <c r="D74" i="41"/>
  <c r="O73" i="41"/>
  <c r="Q73" i="41" s="1"/>
  <c r="S73" i="41" s="1"/>
  <c r="U73" i="41" s="1"/>
  <c r="D73" i="41"/>
  <c r="O72" i="41"/>
  <c r="Q72" i="41" s="1"/>
  <c r="S72" i="41" s="1"/>
  <c r="U72" i="41" s="1"/>
  <c r="D72" i="41"/>
  <c r="O71" i="41"/>
  <c r="Q71" i="41" s="1"/>
  <c r="S71" i="41" s="1"/>
  <c r="U71" i="41" s="1"/>
  <c r="D71" i="41"/>
  <c r="O70" i="41"/>
  <c r="Q70" i="41" s="1"/>
  <c r="S70" i="41" s="1"/>
  <c r="U70" i="41" s="1"/>
  <c r="D70" i="41"/>
  <c r="O69" i="41"/>
  <c r="Q69" i="41" s="1"/>
  <c r="S69" i="41" s="1"/>
  <c r="U69" i="41" s="1"/>
  <c r="D69" i="41"/>
  <c r="O68" i="41"/>
  <c r="Q68" i="41" s="1"/>
  <c r="S68" i="41" s="1"/>
  <c r="U68" i="41" s="1"/>
  <c r="D68" i="41"/>
  <c r="O67" i="41"/>
  <c r="Q67" i="41" s="1"/>
  <c r="S67" i="41" s="1"/>
  <c r="U67" i="41" s="1"/>
  <c r="D67" i="41"/>
  <c r="O66" i="41"/>
  <c r="Q66" i="41" s="1"/>
  <c r="S66" i="41" s="1"/>
  <c r="U66" i="41" s="1"/>
  <c r="D66" i="41"/>
  <c r="O65" i="41"/>
  <c r="Q65" i="41" s="1"/>
  <c r="S65" i="41" s="1"/>
  <c r="U65" i="41" s="1"/>
  <c r="D65" i="41"/>
  <c r="O64" i="41"/>
  <c r="Q64" i="41" s="1"/>
  <c r="S64" i="41" s="1"/>
  <c r="U64" i="41" s="1"/>
  <c r="D64" i="41"/>
  <c r="O55" i="41"/>
  <c r="Q55" i="41" s="1"/>
  <c r="S55" i="41" s="1"/>
  <c r="U55" i="41" s="1"/>
  <c r="D55" i="41"/>
  <c r="C51" i="41"/>
  <c r="O49" i="41"/>
  <c r="O51" i="41" s="1"/>
  <c r="Q51" i="41" s="1"/>
  <c r="S51" i="41" s="1"/>
  <c r="U51" i="41" s="1"/>
  <c r="D49" i="41"/>
  <c r="D51" i="41" s="1"/>
  <c r="N48" i="41"/>
  <c r="N50" i="41" s="1"/>
  <c r="C48" i="41"/>
  <c r="C50" i="41" s="1"/>
  <c r="N47" i="41"/>
  <c r="C47" i="41"/>
  <c r="N38" i="41"/>
  <c r="C38" i="41"/>
  <c r="N30" i="41"/>
  <c r="C30" i="41"/>
  <c r="Y16" i="41"/>
  <c r="AC16" i="41" s="1"/>
  <c r="Y8" i="41"/>
  <c r="N8" i="41"/>
  <c r="C8" i="41"/>
  <c r="C4" i="41"/>
  <c r="C1" i="41"/>
  <c r="AG118" i="40"/>
  <c r="AH118" i="40" s="1"/>
  <c r="AE118" i="40"/>
  <c r="AF118" i="40" s="1"/>
  <c r="AC118" i="40"/>
  <c r="AD118" i="40" s="1"/>
  <c r="Y118" i="40"/>
  <c r="Z118" i="40" s="1"/>
  <c r="V118" i="40"/>
  <c r="T118" i="40"/>
  <c r="U118" i="40" s="1"/>
  <c r="R118" i="40"/>
  <c r="S118" i="40" s="1"/>
  <c r="N118" i="40"/>
  <c r="O118" i="40" s="1"/>
  <c r="K118" i="40"/>
  <c r="L118" i="40" s="1"/>
  <c r="I118" i="40"/>
  <c r="J118" i="40" s="1"/>
  <c r="G118" i="40"/>
  <c r="H118" i="40" s="1"/>
  <c r="AE115" i="40"/>
  <c r="AF115" i="40" s="1"/>
  <c r="AC115" i="40"/>
  <c r="AD115" i="40" s="1"/>
  <c r="V115" i="40"/>
  <c r="W115" i="40" s="1"/>
  <c r="T115" i="40"/>
  <c r="U115" i="40" s="1"/>
  <c r="R115" i="40"/>
  <c r="S115" i="40" s="1"/>
  <c r="N115" i="40"/>
  <c r="O115" i="40" s="1"/>
  <c r="K115" i="40"/>
  <c r="L115" i="40" s="1"/>
  <c r="I115" i="40"/>
  <c r="J115" i="40" s="1"/>
  <c r="G115" i="40"/>
  <c r="H115" i="40" s="1"/>
  <c r="C115" i="40"/>
  <c r="D115" i="40" s="1"/>
  <c r="AE113" i="40"/>
  <c r="AC113" i="40"/>
  <c r="AD113" i="40" s="1"/>
  <c r="V113" i="40"/>
  <c r="W113" i="40" s="1"/>
  <c r="T113" i="40"/>
  <c r="U113" i="40" s="1"/>
  <c r="R113" i="40"/>
  <c r="S113" i="40" s="1"/>
  <c r="N113" i="40"/>
  <c r="O113" i="40" s="1"/>
  <c r="K113" i="40"/>
  <c r="L113" i="40" s="1"/>
  <c r="I113" i="40"/>
  <c r="J113" i="40" s="1"/>
  <c r="G113" i="40"/>
  <c r="H113" i="40" s="1"/>
  <c r="C113" i="40"/>
  <c r="D113" i="40" s="1"/>
  <c r="AE112" i="40"/>
  <c r="AF112" i="40" s="1"/>
  <c r="AC112" i="40"/>
  <c r="AD112" i="40" s="1"/>
  <c r="V112" i="40"/>
  <c r="T112" i="40"/>
  <c r="U112" i="40" s="1"/>
  <c r="R112" i="40"/>
  <c r="N112" i="40"/>
  <c r="O112" i="40" s="1"/>
  <c r="K112" i="40"/>
  <c r="I112" i="40"/>
  <c r="J112" i="40" s="1"/>
  <c r="G112" i="40"/>
  <c r="H112" i="40" s="1"/>
  <c r="C112" i="40"/>
  <c r="D112" i="40" s="1"/>
  <c r="AE111" i="40"/>
  <c r="AF111" i="40" s="1"/>
  <c r="AC111" i="40"/>
  <c r="V111" i="40"/>
  <c r="W111" i="40" s="1"/>
  <c r="T111" i="40"/>
  <c r="U111" i="40" s="1"/>
  <c r="R111" i="40"/>
  <c r="S111" i="40" s="1"/>
  <c r="N111" i="40"/>
  <c r="O111" i="40" s="1"/>
  <c r="K111" i="40"/>
  <c r="I111" i="40"/>
  <c r="G111" i="40"/>
  <c r="H111" i="40" s="1"/>
  <c r="C111" i="40"/>
  <c r="D111" i="40" s="1"/>
  <c r="Z79" i="40"/>
  <c r="O79" i="40"/>
  <c r="D79" i="40"/>
  <c r="Z78" i="40"/>
  <c r="O78" i="40"/>
  <c r="D78" i="40"/>
  <c r="Z77" i="40"/>
  <c r="O77" i="40"/>
  <c r="D77" i="40"/>
  <c r="Z76" i="40"/>
  <c r="O76" i="40"/>
  <c r="D76" i="40"/>
  <c r="Z75" i="40"/>
  <c r="O75" i="40"/>
  <c r="D75" i="40"/>
  <c r="Z74" i="40"/>
  <c r="O74" i="40"/>
  <c r="D74" i="40"/>
  <c r="Z73" i="40"/>
  <c r="O73" i="40"/>
  <c r="D73" i="40"/>
  <c r="Z72" i="40"/>
  <c r="O72" i="40"/>
  <c r="D72" i="40"/>
  <c r="Z71" i="40"/>
  <c r="O71" i="40"/>
  <c r="D71" i="40"/>
  <c r="Z70" i="40"/>
  <c r="O70" i="40"/>
  <c r="D70" i="40"/>
  <c r="Z69" i="40"/>
  <c r="O69" i="40"/>
  <c r="D69" i="40"/>
  <c r="Z68" i="40"/>
  <c r="O68" i="40"/>
  <c r="D68" i="40"/>
  <c r="Z67" i="40"/>
  <c r="O67" i="40"/>
  <c r="D67" i="40"/>
  <c r="Z66" i="40"/>
  <c r="O66" i="40"/>
  <c r="D66" i="40"/>
  <c r="Z65" i="40"/>
  <c r="O65" i="40"/>
  <c r="D65" i="40"/>
  <c r="Z64" i="40"/>
  <c r="O64" i="40"/>
  <c r="D64" i="40"/>
  <c r="D55" i="40"/>
  <c r="E51" i="40"/>
  <c r="E108" i="40" s="1"/>
  <c r="Z49" i="40"/>
  <c r="O49" i="40"/>
  <c r="D49" i="40"/>
  <c r="N48" i="40"/>
  <c r="N50" i="40" s="1"/>
  <c r="C48" i="40"/>
  <c r="C50" i="40" s="1"/>
  <c r="N47" i="40"/>
  <c r="C47" i="40"/>
  <c r="N38" i="40"/>
  <c r="C38" i="40"/>
  <c r="N30" i="40"/>
  <c r="C30" i="40"/>
  <c r="Y16" i="40"/>
  <c r="AC16" i="40" s="1"/>
  <c r="Y8" i="40"/>
  <c r="N120" i="46" s="1"/>
  <c r="N8" i="40"/>
  <c r="N121" i="41" s="1"/>
  <c r="C8" i="40"/>
  <c r="C5" i="40"/>
  <c r="C1" i="40"/>
  <c r="AC16" i="51"/>
  <c r="AA16" i="51"/>
  <c r="AG16" i="51"/>
  <c r="AE16" i="51"/>
  <c r="AG16" i="33"/>
  <c r="AC16" i="33"/>
  <c r="AP95" i="33"/>
  <c r="AN95" i="33"/>
  <c r="AP93" i="33"/>
  <c r="AO93" i="33"/>
  <c r="AN93" i="33"/>
  <c r="AR4" i="33"/>
  <c r="AP21" i="33" s="1"/>
  <c r="AP94" i="46"/>
  <c r="AO94" i="46"/>
  <c r="AN94" i="46"/>
  <c r="AP92" i="46"/>
  <c r="AO92" i="46"/>
  <c r="AN92" i="46"/>
  <c r="AN23" i="46"/>
  <c r="AN59" i="46"/>
  <c r="AO95" i="41"/>
  <c r="AP93" i="41"/>
  <c r="AO93" i="41"/>
  <c r="AN93" i="41"/>
  <c r="AR4" i="41"/>
  <c r="AN37" i="41" s="1"/>
  <c r="AP95" i="40"/>
  <c r="AN95" i="40"/>
  <c r="AP93" i="40"/>
  <c r="AO93" i="40"/>
  <c r="AN93" i="40"/>
  <c r="AN73" i="40"/>
  <c r="Z66" i="49"/>
  <c r="AB66" i="49" s="1"/>
  <c r="AD66" i="49" s="1"/>
  <c r="AF66" i="49" s="1"/>
  <c r="AH66" i="49" s="1"/>
  <c r="Z67" i="49"/>
  <c r="AB67" i="49" s="1"/>
  <c r="AD67" i="49" s="1"/>
  <c r="AF67" i="49" s="1"/>
  <c r="AH67" i="49" s="1"/>
  <c r="Z68" i="49"/>
  <c r="AB68" i="49" s="1"/>
  <c r="AD68" i="49" s="1"/>
  <c r="AF68" i="49" s="1"/>
  <c r="AH68" i="49" s="1"/>
  <c r="Z69" i="49"/>
  <c r="AB69" i="49" s="1"/>
  <c r="AD69" i="49" s="1"/>
  <c r="AF69" i="49" s="1"/>
  <c r="AH69" i="49" s="1"/>
  <c r="Z70" i="49"/>
  <c r="AB70" i="49" s="1"/>
  <c r="AD70" i="49" s="1"/>
  <c r="AF70" i="49" s="1"/>
  <c r="AH70" i="49" s="1"/>
  <c r="Z71" i="49"/>
  <c r="AB71" i="49" s="1"/>
  <c r="AD71" i="49" s="1"/>
  <c r="AF71" i="49" s="1"/>
  <c r="AH71" i="49" s="1"/>
  <c r="Z72" i="49"/>
  <c r="AB72" i="49" s="1"/>
  <c r="AD72" i="49" s="1"/>
  <c r="AF72" i="49" s="1"/>
  <c r="AH72" i="49" s="1"/>
  <c r="Z73" i="49"/>
  <c r="AB73" i="49" s="1"/>
  <c r="AD73" i="49" s="1"/>
  <c r="AF73" i="49" s="1"/>
  <c r="AH73" i="49" s="1"/>
  <c r="Z74" i="49"/>
  <c r="AB74" i="49" s="1"/>
  <c r="AD74" i="49" s="1"/>
  <c r="AF74" i="49" s="1"/>
  <c r="AH74" i="49" s="1"/>
  <c r="Z75" i="49"/>
  <c r="AB75" i="49" s="1"/>
  <c r="AD75" i="49" s="1"/>
  <c r="AF75" i="49" s="1"/>
  <c r="AH75" i="49" s="1"/>
  <c r="Z76" i="49"/>
  <c r="AB76" i="49" s="1"/>
  <c r="AD76" i="49" s="1"/>
  <c r="AF76" i="49" s="1"/>
  <c r="AH76" i="49" s="1"/>
  <c r="Z77" i="49"/>
  <c r="AB77" i="49" s="1"/>
  <c r="AD77" i="49" s="1"/>
  <c r="AF77" i="49" s="1"/>
  <c r="AH77" i="49" s="1"/>
  <c r="Z78" i="49"/>
  <c r="AB78" i="49" s="1"/>
  <c r="AD78" i="49" s="1"/>
  <c r="AF78" i="49" s="1"/>
  <c r="AH78" i="49" s="1"/>
  <c r="Z79" i="49"/>
  <c r="AB79" i="49" s="1"/>
  <c r="AD79" i="49" s="1"/>
  <c r="AF79" i="49" s="1"/>
  <c r="AH79" i="49" s="1"/>
  <c r="Z80" i="49"/>
  <c r="AB80" i="49" s="1"/>
  <c r="AD80" i="49" s="1"/>
  <c r="AF80" i="49" s="1"/>
  <c r="AH80" i="49" s="1"/>
  <c r="Z65" i="49"/>
  <c r="AB65" i="49" s="1"/>
  <c r="AD65" i="49" s="1"/>
  <c r="AF65" i="49" s="1"/>
  <c r="AH65" i="49" s="1"/>
  <c r="Z56" i="49"/>
  <c r="Z50" i="49"/>
  <c r="Z52" i="49" s="1"/>
  <c r="AB52" i="49" s="1"/>
  <c r="AD52" i="49" s="1"/>
  <c r="AF52" i="49" s="1"/>
  <c r="AH52" i="49" s="1"/>
  <c r="O66" i="49"/>
  <c r="Q66" i="49" s="1"/>
  <c r="S66" i="49" s="1"/>
  <c r="U66" i="49" s="1"/>
  <c r="W66" i="49" s="1"/>
  <c r="O67" i="49"/>
  <c r="Q67" i="49" s="1"/>
  <c r="S67" i="49" s="1"/>
  <c r="U67" i="49" s="1"/>
  <c r="W67" i="49" s="1"/>
  <c r="O68" i="49"/>
  <c r="Q68" i="49" s="1"/>
  <c r="S68" i="49" s="1"/>
  <c r="U68" i="49" s="1"/>
  <c r="W68" i="49" s="1"/>
  <c r="O69" i="49"/>
  <c r="Q69" i="49" s="1"/>
  <c r="S69" i="49" s="1"/>
  <c r="U69" i="49" s="1"/>
  <c r="W69" i="49" s="1"/>
  <c r="O70" i="49"/>
  <c r="Q70" i="49" s="1"/>
  <c r="S70" i="49" s="1"/>
  <c r="U70" i="49" s="1"/>
  <c r="W70" i="49" s="1"/>
  <c r="O71" i="49"/>
  <c r="Q71" i="49" s="1"/>
  <c r="S71" i="49" s="1"/>
  <c r="U71" i="49" s="1"/>
  <c r="W71" i="49" s="1"/>
  <c r="O72" i="49"/>
  <c r="Q72" i="49" s="1"/>
  <c r="S72" i="49" s="1"/>
  <c r="U72" i="49" s="1"/>
  <c r="W72" i="49" s="1"/>
  <c r="O73" i="49"/>
  <c r="Q73" i="49" s="1"/>
  <c r="S73" i="49" s="1"/>
  <c r="U73" i="49" s="1"/>
  <c r="W73" i="49" s="1"/>
  <c r="O74" i="49"/>
  <c r="Q74" i="49" s="1"/>
  <c r="S74" i="49" s="1"/>
  <c r="U74" i="49" s="1"/>
  <c r="W74" i="49" s="1"/>
  <c r="O75" i="49"/>
  <c r="Q75" i="49" s="1"/>
  <c r="S75" i="49" s="1"/>
  <c r="U75" i="49" s="1"/>
  <c r="W75" i="49" s="1"/>
  <c r="O76" i="49"/>
  <c r="Q76" i="49" s="1"/>
  <c r="S76" i="49" s="1"/>
  <c r="U76" i="49" s="1"/>
  <c r="W76" i="49" s="1"/>
  <c r="O77" i="49"/>
  <c r="Q77" i="49" s="1"/>
  <c r="S77" i="49" s="1"/>
  <c r="U77" i="49" s="1"/>
  <c r="W77" i="49" s="1"/>
  <c r="O78" i="49"/>
  <c r="Q78" i="49" s="1"/>
  <c r="S78" i="49" s="1"/>
  <c r="U78" i="49" s="1"/>
  <c r="W78" i="49" s="1"/>
  <c r="O79" i="49"/>
  <c r="Q79" i="49" s="1"/>
  <c r="S79" i="49" s="1"/>
  <c r="U79" i="49" s="1"/>
  <c r="W79" i="49" s="1"/>
  <c r="O80" i="49"/>
  <c r="Q80" i="49" s="1"/>
  <c r="S80" i="49" s="1"/>
  <c r="U80" i="49" s="1"/>
  <c r="W80" i="49" s="1"/>
  <c r="O65" i="49"/>
  <c r="Q65" i="49" s="1"/>
  <c r="S65" i="49" s="1"/>
  <c r="U65" i="49" s="1"/>
  <c r="W65" i="49" s="1"/>
  <c r="D66" i="49"/>
  <c r="D67" i="49"/>
  <c r="D68" i="49"/>
  <c r="D69" i="49"/>
  <c r="D70" i="49"/>
  <c r="D71" i="49"/>
  <c r="O56" i="49"/>
  <c r="O50" i="49"/>
  <c r="Q50" i="49" s="1"/>
  <c r="S50" i="49" s="1"/>
  <c r="U50" i="49" s="1"/>
  <c r="W50" i="49" s="1"/>
  <c r="D50" i="49"/>
  <c r="D52" i="49" s="1"/>
  <c r="O52" i="49" s="1"/>
  <c r="Q52" i="49" s="1"/>
  <c r="S52" i="49" s="1"/>
  <c r="U52" i="49" s="1"/>
  <c r="W52" i="49" s="1"/>
  <c r="D65" i="49"/>
  <c r="D72" i="49"/>
  <c r="D73" i="49"/>
  <c r="D74" i="49"/>
  <c r="D75" i="49"/>
  <c r="D76" i="49"/>
  <c r="D77" i="49"/>
  <c r="D78" i="49"/>
  <c r="D79" i="49"/>
  <c r="D80" i="49"/>
  <c r="AO69" i="46"/>
  <c r="AN18" i="46"/>
  <c r="AN22" i="46"/>
  <c r="AO26" i="46"/>
  <c r="AO28" i="46"/>
  <c r="AN35" i="46"/>
  <c r="AO35" i="46"/>
  <c r="AP27" i="46"/>
  <c r="AP18" i="46"/>
  <c r="AO23" i="46"/>
  <c r="AN39" i="46"/>
  <c r="AP23" i="46"/>
  <c r="AP41" i="46"/>
  <c r="AN20" i="46"/>
  <c r="AN25" i="46"/>
  <c r="AN30" i="46"/>
  <c r="AP25" i="46"/>
  <c r="AO32" i="46"/>
  <c r="AN16" i="46"/>
  <c r="AN21" i="46"/>
  <c r="AN26" i="46"/>
  <c r="AP32" i="46"/>
  <c r="AO95" i="33"/>
  <c r="AO17" i="46"/>
  <c r="AO19" i="46"/>
  <c r="AO21" i="46"/>
  <c r="AN24" i="46"/>
  <c r="AP26" i="46"/>
  <c r="AO30" i="46"/>
  <c r="AN33" i="46"/>
  <c r="AP35" i="46"/>
  <c r="AO39" i="46"/>
  <c r="AN42" i="46"/>
  <c r="AP44" i="46"/>
  <c r="AN45" i="46"/>
  <c r="AN48" i="46"/>
  <c r="AN57" i="46"/>
  <c r="AO58" i="46"/>
  <c r="AP17" i="46"/>
  <c r="AP19" i="46"/>
  <c r="AP21" i="46"/>
  <c r="AO24" i="46"/>
  <c r="AN27" i="46"/>
  <c r="AP30" i="46"/>
  <c r="AO33" i="46"/>
  <c r="AN36" i="46"/>
  <c r="AP39" i="46"/>
  <c r="AO42" i="46"/>
  <c r="AO45" i="46"/>
  <c r="AP48" i="46"/>
  <c r="AO57" i="46"/>
  <c r="AP58" i="46"/>
  <c r="AP79" i="46"/>
  <c r="AO74" i="46"/>
  <c r="AN69" i="46"/>
  <c r="AP68" i="46"/>
  <c r="AN74" i="46"/>
  <c r="AP73" i="46"/>
  <c r="AO68" i="46"/>
  <c r="AO79" i="46"/>
  <c r="AO73" i="46"/>
  <c r="AN68" i="46"/>
  <c r="AP67" i="46"/>
  <c r="AP64" i="46"/>
  <c r="AN73" i="46"/>
  <c r="AP72" i="46"/>
  <c r="AO67" i="46"/>
  <c r="AO64" i="46"/>
  <c r="AP90" i="46"/>
  <c r="AP77" i="46"/>
  <c r="AO72" i="46"/>
  <c r="AN67" i="46"/>
  <c r="AN64" i="46"/>
  <c r="AP63" i="46"/>
  <c r="AP59" i="46"/>
  <c r="AO90" i="46"/>
  <c r="AO77" i="46"/>
  <c r="AP75" i="46"/>
  <c r="AN72" i="46"/>
  <c r="AP71" i="46"/>
  <c r="AO63" i="46"/>
  <c r="AO59" i="46"/>
  <c r="AP57" i="46"/>
  <c r="AO48" i="46"/>
  <c r="AN90" i="46"/>
  <c r="AN77" i="46"/>
  <c r="AO75" i="46"/>
  <c r="AO71" i="46"/>
  <c r="AP69" i="46"/>
  <c r="AP24" i="46"/>
  <c r="AO27" i="46"/>
  <c r="AN31" i="46"/>
  <c r="AP33" i="46"/>
  <c r="AO36" i="46"/>
  <c r="AN40" i="46"/>
  <c r="AP42" i="46"/>
  <c r="AP45" i="46"/>
  <c r="AO31" i="46"/>
  <c r="AN34" i="46"/>
  <c r="AP36" i="46"/>
  <c r="AO40" i="46"/>
  <c r="AN43" i="46"/>
  <c r="AO16" i="46"/>
  <c r="AO18" i="46"/>
  <c r="AO20" i="46"/>
  <c r="AO22" i="46"/>
  <c r="AO25" i="46"/>
  <c r="AN28" i="46"/>
  <c r="AP31" i="46"/>
  <c r="AO34" i="46"/>
  <c r="AN38" i="46"/>
  <c r="AP40" i="46"/>
  <c r="AO43" i="46"/>
  <c r="AN63" i="46"/>
  <c r="AP74" i="46"/>
  <c r="AN75" i="46"/>
  <c r="AN32" i="46"/>
  <c r="AP34" i="46"/>
  <c r="AO38" i="46"/>
  <c r="AN41" i="46"/>
  <c r="AP43" i="46"/>
  <c r="AP38" i="46"/>
  <c r="AO41" i="46"/>
  <c r="AN44" i="46"/>
  <c r="AN71" i="46"/>
  <c r="AN79" i="46"/>
  <c r="AN95" i="41"/>
  <c r="AP95" i="41"/>
  <c r="AO95" i="40"/>
  <c r="AO61" i="46"/>
  <c r="AP61" i="46"/>
  <c r="AN61" i="46"/>
  <c r="Y10" i="49"/>
  <c r="Y123" i="49" s="1"/>
  <c r="AE101" i="33" s="1"/>
  <c r="N10" i="49"/>
  <c r="N123" i="49" s="1"/>
  <c r="AO83" i="46"/>
  <c r="AP83" i="46"/>
  <c r="AE119" i="49"/>
  <c r="AF119" i="49" s="1"/>
  <c r="AC119" i="49"/>
  <c r="AD119" i="49" s="1"/>
  <c r="AE116" i="49"/>
  <c r="AC116" i="49"/>
  <c r="AD116" i="49" s="1"/>
  <c r="AE114" i="49"/>
  <c r="AF114" i="49" s="1"/>
  <c r="AC114" i="49"/>
  <c r="AD114" i="49" s="1"/>
  <c r="AE113" i="49"/>
  <c r="AF113" i="49" s="1"/>
  <c r="AC113" i="49"/>
  <c r="AD113" i="49" s="1"/>
  <c r="AE112" i="49"/>
  <c r="AC112" i="49"/>
  <c r="AD112" i="49" s="1"/>
  <c r="Y80" i="49"/>
  <c r="AG119" i="49"/>
  <c r="AH119" i="49" s="1"/>
  <c r="Y17" i="49"/>
  <c r="AA17" i="49" s="1"/>
  <c r="P105" i="33"/>
  <c r="T119" i="49"/>
  <c r="U119" i="49" s="1"/>
  <c r="R119" i="49"/>
  <c r="S119" i="49" s="1"/>
  <c r="T116" i="49"/>
  <c r="U116" i="49" s="1"/>
  <c r="R116" i="49"/>
  <c r="S116" i="49" s="1"/>
  <c r="T114" i="49"/>
  <c r="U114" i="49" s="1"/>
  <c r="R114" i="49"/>
  <c r="S114" i="49" s="1"/>
  <c r="T113" i="49"/>
  <c r="U113" i="49" s="1"/>
  <c r="R113" i="49"/>
  <c r="S113" i="49" s="1"/>
  <c r="T112" i="49"/>
  <c r="R112" i="49"/>
  <c r="S112" i="49" s="1"/>
  <c r="V119" i="49"/>
  <c r="W119" i="49" s="1"/>
  <c r="Y119" i="49"/>
  <c r="Z119" i="49" s="1"/>
  <c r="N119" i="49"/>
  <c r="O119" i="49" s="1"/>
  <c r="BB80" i="41"/>
  <c r="BA80" i="41"/>
  <c r="AZ80" i="41"/>
  <c r="AP93" i="49"/>
  <c r="AO93" i="49"/>
  <c r="AN93" i="49"/>
  <c r="BC4" i="41"/>
  <c r="AZ23" i="41" s="1"/>
  <c r="AP61" i="49"/>
  <c r="AO63" i="49"/>
  <c r="AO32" i="49"/>
  <c r="AO78" i="49"/>
  <c r="AO19" i="49"/>
  <c r="AO24" i="49"/>
  <c r="AN23" i="49"/>
  <c r="AN63" i="49"/>
  <c r="AN43" i="49"/>
  <c r="AP78" i="49"/>
  <c r="AP22" i="49"/>
  <c r="AP38" i="49"/>
  <c r="AO75" i="49"/>
  <c r="AO50" i="49"/>
  <c r="AO33" i="49"/>
  <c r="AN60" i="49"/>
  <c r="AN72" i="49"/>
  <c r="AN33" i="49"/>
  <c r="AP64" i="49"/>
  <c r="AP41" i="49"/>
  <c r="AP46" i="49"/>
  <c r="AP40" i="49"/>
  <c r="AO69" i="49"/>
  <c r="AO56" i="49"/>
  <c r="AO40" i="49"/>
  <c r="AN21" i="49"/>
  <c r="AN47" i="49"/>
  <c r="AN25" i="49"/>
  <c r="AP18" i="49"/>
  <c r="AP37" i="49"/>
  <c r="AP70" i="49"/>
  <c r="AO29" i="49"/>
  <c r="AO72" i="49"/>
  <c r="AO22" i="49"/>
  <c r="AO35" i="49"/>
  <c r="AN42" i="49"/>
  <c r="AN35" i="49"/>
  <c r="AP47" i="49"/>
  <c r="AP20" i="49"/>
  <c r="AP24" i="49"/>
  <c r="AO21" i="49"/>
  <c r="AO28" i="49"/>
  <c r="AO74" i="49"/>
  <c r="AO60" i="49"/>
  <c r="AN69" i="49"/>
  <c r="AN74" i="49"/>
  <c r="AN22" i="49"/>
  <c r="AP43" i="49"/>
  <c r="AP69" i="49"/>
  <c r="AP73" i="49"/>
  <c r="AP28" i="49"/>
  <c r="AN50" i="49"/>
  <c r="AP44" i="49"/>
  <c r="AN44" i="49"/>
  <c r="AO64" i="49"/>
  <c r="AO55" i="49"/>
  <c r="AP65" i="49"/>
  <c r="AP59" i="49"/>
  <c r="AN56" i="49"/>
  <c r="AN24" i="49"/>
  <c r="AO18" i="49"/>
  <c r="AP45" i="49"/>
  <c r="AN38" i="49"/>
  <c r="AN32" i="49"/>
  <c r="AO73" i="49"/>
  <c r="AO46" i="49"/>
  <c r="R3" i="48"/>
  <c r="J3" i="48"/>
  <c r="B3" i="48"/>
  <c r="I119" i="49"/>
  <c r="J119" i="49" s="1"/>
  <c r="G119" i="49"/>
  <c r="H119" i="49" s="1"/>
  <c r="I116" i="49"/>
  <c r="J116" i="49" s="1"/>
  <c r="G116" i="49"/>
  <c r="H116" i="49" s="1"/>
  <c r="I114" i="49"/>
  <c r="J114" i="49" s="1"/>
  <c r="G114" i="49"/>
  <c r="H114" i="49" s="1"/>
  <c r="I113" i="49"/>
  <c r="G113" i="49"/>
  <c r="H113" i="49" s="1"/>
  <c r="I112" i="49"/>
  <c r="J112" i="49" s="1"/>
  <c r="G112" i="49"/>
  <c r="H112" i="49" s="1"/>
  <c r="C5" i="49"/>
  <c r="C1" i="49"/>
  <c r="C119" i="49"/>
  <c r="D119" i="49" s="1"/>
  <c r="K119" i="49"/>
  <c r="L119" i="49" s="1"/>
  <c r="E7" i="24"/>
  <c r="B7" i="7" s="1"/>
  <c r="H45" i="31"/>
  <c r="H44" i="31"/>
  <c r="F45" i="31"/>
  <c r="F44" i="31"/>
  <c r="D45" i="31"/>
  <c r="D44" i="31"/>
  <c r="B45" i="31"/>
  <c r="B44" i="31"/>
  <c r="E12" i="45"/>
  <c r="E13" i="45"/>
  <c r="D27" i="45"/>
  <c r="D26" i="45"/>
  <c r="D25" i="45"/>
  <c r="D24" i="45"/>
  <c r="D20" i="45"/>
  <c r="D19" i="45"/>
  <c r="D18" i="45"/>
  <c r="D17" i="45"/>
  <c r="D11" i="45"/>
  <c r="D12" i="45"/>
  <c r="D13" i="45"/>
  <c r="D10" i="45"/>
  <c r="I27" i="45"/>
  <c r="R54" i="24" s="1"/>
  <c r="H27" i="45"/>
  <c r="Q54" i="24" s="1"/>
  <c r="E27" i="45"/>
  <c r="I26" i="45"/>
  <c r="R53" i="24" s="1"/>
  <c r="H26" i="45"/>
  <c r="Q53" i="24" s="1"/>
  <c r="E26" i="45"/>
  <c r="I25" i="45"/>
  <c r="R52" i="24" s="1"/>
  <c r="H25" i="45"/>
  <c r="Q52" i="24" s="1"/>
  <c r="E25" i="45"/>
  <c r="I24" i="45"/>
  <c r="R51" i="24" s="1"/>
  <c r="H24" i="45"/>
  <c r="Q51" i="24" s="1"/>
  <c r="E24" i="45"/>
  <c r="I20" i="45"/>
  <c r="L54" i="24" s="1"/>
  <c r="H20" i="45"/>
  <c r="K54" i="24" s="1"/>
  <c r="E20" i="45"/>
  <c r="I19" i="45"/>
  <c r="L53" i="24" s="1"/>
  <c r="H19" i="45"/>
  <c r="K53" i="24" s="1"/>
  <c r="H18" i="45"/>
  <c r="K52" i="24" s="1"/>
  <c r="E18" i="45"/>
  <c r="H17" i="45"/>
  <c r="K51" i="24" s="1"/>
  <c r="E17" i="45"/>
  <c r="H10" i="45"/>
  <c r="E51" i="24" s="1"/>
  <c r="H11" i="45"/>
  <c r="E52" i="24" s="1"/>
  <c r="H12" i="45"/>
  <c r="E53" i="24" s="1"/>
  <c r="I12" i="45"/>
  <c r="F53" i="24" s="1"/>
  <c r="H13" i="45"/>
  <c r="E54" i="24" s="1"/>
  <c r="I13" i="45"/>
  <c r="F54" i="24" s="1"/>
  <c r="H5" i="44"/>
  <c r="H6" i="44"/>
  <c r="I6" i="44" s="1"/>
  <c r="H7" i="44"/>
  <c r="I7" i="44" s="1"/>
  <c r="H8" i="44"/>
  <c r="I8" i="44" s="1"/>
  <c r="H9" i="44"/>
  <c r="I9" i="44" s="1"/>
  <c r="H10" i="44"/>
  <c r="I10" i="44" s="1"/>
  <c r="H4" i="44"/>
  <c r="I4" i="44" s="1"/>
  <c r="I11" i="43"/>
  <c r="I10" i="43"/>
  <c r="J10" i="43" s="1"/>
  <c r="I3" i="43"/>
  <c r="J3" i="43" s="1"/>
  <c r="G3" i="43"/>
  <c r="J7" i="34"/>
  <c r="J3" i="34"/>
  <c r="V61" i="24"/>
  <c r="D11" i="44"/>
  <c r="F5" i="44"/>
  <c r="F6" i="44"/>
  <c r="F9" i="44"/>
  <c r="F7" i="44"/>
  <c r="F8" i="44"/>
  <c r="F10" i="44"/>
  <c r="F4" i="44"/>
  <c r="C12" i="43"/>
  <c r="F11" i="43"/>
  <c r="G10" i="43"/>
  <c r="G11" i="43"/>
  <c r="J2" i="42"/>
  <c r="F2" i="42"/>
  <c r="V17" i="24"/>
  <c r="L66" i="39"/>
  <c r="BB84" i="41"/>
  <c r="BA84" i="41"/>
  <c r="AZ84" i="41"/>
  <c r="P102" i="20"/>
  <c r="P101" i="20"/>
  <c r="J102" i="20"/>
  <c r="J101" i="20"/>
  <c r="D102" i="20"/>
  <c r="D101" i="20"/>
  <c r="BA96" i="41"/>
  <c r="AZ96" i="41"/>
  <c r="BB96" i="41"/>
  <c r="B9" i="24"/>
  <c r="F2" i="16" s="1"/>
  <c r="B10" i="24"/>
  <c r="O10" i="24" s="1"/>
  <c r="D234" i="47" s="1"/>
  <c r="O133" i="12"/>
  <c r="I133" i="12"/>
  <c r="C133" i="12"/>
  <c r="N108" i="12"/>
  <c r="N164" i="12" s="1"/>
  <c r="H108" i="12"/>
  <c r="H164" i="12" s="1"/>
  <c r="B108" i="12"/>
  <c r="B164" i="12" s="1"/>
  <c r="J1" i="37"/>
  <c r="F1" i="37"/>
  <c r="B1" i="37"/>
  <c r="E11" i="45"/>
  <c r="E3" i="34"/>
  <c r="G7" i="34"/>
  <c r="N8" i="24"/>
  <c r="N9" i="24"/>
  <c r="N10" i="24"/>
  <c r="H1" i="31" s="1"/>
  <c r="H24" i="31" s="1"/>
  <c r="Q8" i="24"/>
  <c r="D7" i="31" s="1"/>
  <c r="R8" i="24"/>
  <c r="D8" i="31" s="1"/>
  <c r="R7" i="24"/>
  <c r="B8" i="31" s="1"/>
  <c r="Q9" i="24"/>
  <c r="F7" i="31" s="1"/>
  <c r="R9" i="24"/>
  <c r="F8" i="31" s="1"/>
  <c r="Q10" i="24"/>
  <c r="H7" i="31" s="1"/>
  <c r="Q7" i="24"/>
  <c r="R10" i="24"/>
  <c r="H8" i="31" s="1"/>
  <c r="L9" i="24"/>
  <c r="F8" i="30" s="1"/>
  <c r="K9" i="24"/>
  <c r="F7" i="30" s="1"/>
  <c r="L10" i="24"/>
  <c r="H8" i="30" s="1"/>
  <c r="K10" i="24"/>
  <c r="H7" i="30" s="1"/>
  <c r="K8" i="24"/>
  <c r="D7" i="30" s="1"/>
  <c r="K7" i="24"/>
  <c r="B7" i="30" s="1"/>
  <c r="F10" i="24"/>
  <c r="H8" i="7" s="1"/>
  <c r="E10" i="24"/>
  <c r="H7" i="7" s="1"/>
  <c r="F9" i="24"/>
  <c r="F8" i="7" s="1"/>
  <c r="E9" i="24"/>
  <c r="F7" i="7" s="1"/>
  <c r="C79" i="33"/>
  <c r="AA51" i="41"/>
  <c r="C116" i="49"/>
  <c r="D116" i="49" s="1"/>
  <c r="V116" i="49"/>
  <c r="W116" i="49" s="1"/>
  <c r="N116" i="49"/>
  <c r="O116" i="49" s="1"/>
  <c r="K116" i="49"/>
  <c r="L116" i="49" s="1"/>
  <c r="V114" i="49"/>
  <c r="N48" i="49"/>
  <c r="N114" i="49"/>
  <c r="O114" i="49" s="1"/>
  <c r="V113" i="49"/>
  <c r="W113" i="49" s="1"/>
  <c r="N39" i="49"/>
  <c r="N113" i="49"/>
  <c r="N49" i="49"/>
  <c r="N64" i="49" s="1"/>
  <c r="N112" i="49"/>
  <c r="O112" i="49" s="1"/>
  <c r="N31" i="49"/>
  <c r="V112" i="49"/>
  <c r="BB92" i="41"/>
  <c r="BA92" i="41"/>
  <c r="AZ92" i="41"/>
  <c r="C48" i="49"/>
  <c r="K114" i="49"/>
  <c r="L114" i="49" s="1"/>
  <c r="C114" i="49"/>
  <c r="D114" i="49" s="1"/>
  <c r="K113" i="49"/>
  <c r="C113" i="49"/>
  <c r="D113" i="49" s="1"/>
  <c r="C39" i="49"/>
  <c r="C60" i="32"/>
  <c r="C22" i="45" s="1"/>
  <c r="C53" i="32"/>
  <c r="C15" i="45" s="1"/>
  <c r="C46" i="32"/>
  <c r="C8" i="45" s="1"/>
  <c r="B2" i="42" s="1"/>
  <c r="AA51" i="40"/>
  <c r="D3" i="7"/>
  <c r="F3" i="7"/>
  <c r="H3" i="7"/>
  <c r="D3" i="30"/>
  <c r="B3" i="30"/>
  <c r="F3" i="30"/>
  <c r="H3" i="30"/>
  <c r="D3" i="31"/>
  <c r="B3" i="31"/>
  <c r="F3" i="31"/>
  <c r="H3" i="31"/>
  <c r="B3" i="7"/>
  <c r="N79" i="51"/>
  <c r="Y79" i="51"/>
  <c r="C79" i="51"/>
  <c r="C79" i="41"/>
  <c r="Y79" i="41"/>
  <c r="N79" i="41"/>
  <c r="C79" i="40"/>
  <c r="N79" i="40"/>
  <c r="Y79" i="40"/>
  <c r="Y112" i="40"/>
  <c r="Z112" i="40" s="1"/>
  <c r="Y38" i="40"/>
  <c r="AG112" i="40"/>
  <c r="AH112" i="40" s="1"/>
  <c r="Y47" i="33"/>
  <c r="Y113" i="41"/>
  <c r="Z113" i="41" s="1"/>
  <c r="Y39" i="49"/>
  <c r="AG113" i="49"/>
  <c r="Y113" i="49"/>
  <c r="Z113" i="49" s="1"/>
  <c r="Y115" i="33"/>
  <c r="Z115" i="33" s="1"/>
  <c r="AG115" i="33"/>
  <c r="Y115" i="40"/>
  <c r="Z115" i="40" s="1"/>
  <c r="AG115" i="40"/>
  <c r="Y114" i="46"/>
  <c r="Z114" i="46" s="1"/>
  <c r="AG114" i="46"/>
  <c r="Y113" i="33"/>
  <c r="Z113" i="33" s="1"/>
  <c r="AG112" i="33"/>
  <c r="AH112" i="33" s="1"/>
  <c r="Y38" i="33"/>
  <c r="Y112" i="33"/>
  <c r="Z112" i="33" s="1"/>
  <c r="Y115" i="41"/>
  <c r="Z115" i="41" s="1"/>
  <c r="AG115" i="41"/>
  <c r="AH115" i="41" s="1"/>
  <c r="Y113" i="40"/>
  <c r="Z113" i="40" s="1"/>
  <c r="AG113" i="40"/>
  <c r="Y47" i="40"/>
  <c r="AG111" i="46"/>
  <c r="AH111" i="46" s="1"/>
  <c r="Y111" i="46"/>
  <c r="Z111" i="46" s="1"/>
  <c r="Y37" i="46"/>
  <c r="Y116" i="49"/>
  <c r="Z116" i="49" s="1"/>
  <c r="AG116" i="49"/>
  <c r="AH116" i="49" s="1"/>
  <c r="Y112" i="41"/>
  <c r="Z112" i="41" s="1"/>
  <c r="AG112" i="41"/>
  <c r="Y38" i="41"/>
  <c r="Y48" i="49"/>
  <c r="Y114" i="49"/>
  <c r="Z114" i="49" s="1"/>
  <c r="AG114" i="49"/>
  <c r="AH114" i="49" s="1"/>
  <c r="Y47" i="41"/>
  <c r="AG113" i="41"/>
  <c r="AH113" i="41" s="1"/>
  <c r="AG112" i="46"/>
  <c r="AH112" i="46" s="1"/>
  <c r="Y46" i="46"/>
  <c r="AG113" i="33"/>
  <c r="AH113" i="33" s="1"/>
  <c r="Y112" i="46"/>
  <c r="Z112" i="46" s="1"/>
  <c r="Y30" i="40"/>
  <c r="Y48" i="40"/>
  <c r="Y50" i="40" s="1"/>
  <c r="Y111" i="40"/>
  <c r="Z111" i="40" s="1"/>
  <c r="AG111" i="40"/>
  <c r="Y112" i="49"/>
  <c r="Z112" i="49" s="1"/>
  <c r="Y31" i="49"/>
  <c r="Y49" i="49"/>
  <c r="Y51" i="49" s="1"/>
  <c r="AG112" i="49"/>
  <c r="AH112" i="49" s="1"/>
  <c r="Y48" i="41"/>
  <c r="Y50" i="41" s="1"/>
  <c r="AG111" i="41"/>
  <c r="Y111" i="41"/>
  <c r="Z111" i="41" s="1"/>
  <c r="Y30" i="41"/>
  <c r="Y29" i="46"/>
  <c r="Y47" i="46"/>
  <c r="Y49" i="46" s="1"/>
  <c r="AG110" i="46"/>
  <c r="Y110" i="46"/>
  <c r="Z110" i="46" s="1"/>
  <c r="Y111" i="33"/>
  <c r="Y30" i="33"/>
  <c r="Y48" i="33"/>
  <c r="Y50" i="33" s="1"/>
  <c r="AG111" i="33"/>
  <c r="AH111" i="33" s="1"/>
  <c r="K112" i="49"/>
  <c r="L112" i="49" s="1"/>
  <c r="C112" i="49"/>
  <c r="D112" i="49" s="1"/>
  <c r="C49" i="49"/>
  <c r="C64" i="49" s="1"/>
  <c r="E64" i="49" s="1"/>
  <c r="C31" i="49"/>
  <c r="E25" i="49"/>
  <c r="AZK1" i="52"/>
  <c r="AVP1" i="52"/>
  <c r="AMX1" i="52"/>
  <c r="AYV1" i="52"/>
  <c r="AWI1" i="52"/>
  <c r="AVJ1" i="52"/>
  <c r="ATZ1" i="52"/>
  <c r="AQV1" i="52"/>
  <c r="AOT1" i="52"/>
  <c r="AMR1" i="52"/>
  <c r="AKX1" i="52"/>
  <c r="AGX1" i="52"/>
  <c r="ARK1" i="52"/>
  <c r="ALM1" i="52"/>
  <c r="AKA1" i="52"/>
  <c r="AJR1" i="52"/>
  <c r="AIG1" i="52"/>
  <c r="AYR1" i="52"/>
  <c r="ASB1" i="52"/>
  <c r="ANX1" i="52"/>
  <c r="ANF1" i="52"/>
  <c r="ALT1" i="52"/>
  <c r="AKR1" i="52"/>
  <c r="AKJ1" i="52"/>
  <c r="AIP1" i="52"/>
  <c r="AHD1" i="52"/>
  <c r="AYY1" i="52"/>
  <c r="AYI1" i="52"/>
  <c r="AYA1" i="52"/>
  <c r="AXJ1" i="52"/>
  <c r="AUC1" i="52"/>
  <c r="ASS1" i="52"/>
  <c r="ASK1" i="52"/>
  <c r="ANM1" i="52"/>
  <c r="AKI1" i="52"/>
  <c r="ATJ1" i="52"/>
  <c r="AOD1" i="52"/>
  <c r="ANL1" i="52"/>
  <c r="AMB1" i="52"/>
  <c r="AKP1" i="52"/>
  <c r="AHL1" i="52"/>
  <c r="AFZ1" i="52"/>
  <c r="AZE1" i="52"/>
  <c r="AXP1" i="52"/>
  <c r="AWZ1" i="52"/>
  <c r="AWR1" i="52"/>
  <c r="AWB1" i="52"/>
  <c r="AVS1" i="52"/>
  <c r="AUA1" i="52"/>
  <c r="APW1" i="52"/>
  <c r="AOU1" i="52"/>
  <c r="ANK1" i="52"/>
  <c r="AMI1" i="52"/>
  <c r="AJE1" i="52"/>
  <c r="AGQ1" i="52"/>
  <c r="AFO1" i="52"/>
  <c r="AFG1" i="52"/>
  <c r="AJL1" i="52"/>
  <c r="AGH1" i="52"/>
  <c r="AFX1" i="52"/>
  <c r="AXF1" i="52"/>
  <c r="AWH1" i="52"/>
  <c r="AVZ1" i="52"/>
  <c r="AVQ1" i="52"/>
  <c r="AVA1" i="52"/>
  <c r="ARM1" i="52"/>
  <c r="AQC1" i="52"/>
  <c r="AOA1" i="52"/>
  <c r="ALE1" i="52"/>
  <c r="AKC1" i="52"/>
  <c r="AJU1" i="52"/>
  <c r="AGO1" i="52"/>
  <c r="AGF1" i="52"/>
  <c r="AYZ1" i="52"/>
  <c r="AYG1" i="52"/>
  <c r="AWX1" i="52"/>
  <c r="AWQ1" i="52"/>
  <c r="AO44" i="46"/>
  <c r="AP28" i="46"/>
  <c r="AN17" i="46"/>
  <c r="AN58" i="46"/>
  <c r="AP22" i="46"/>
  <c r="AP16" i="46"/>
  <c r="AN19" i="46"/>
  <c r="AP20" i="46"/>
  <c r="AP27" i="49"/>
  <c r="AP36" i="49"/>
  <c r="AP35" i="49"/>
  <c r="AO45" i="49"/>
  <c r="AO68" i="49"/>
  <c r="AN78" i="49"/>
  <c r="AN68" i="49"/>
  <c r="AP42" i="49"/>
  <c r="AN59" i="49"/>
  <c r="AN75" i="49"/>
  <c r="AP72" i="49"/>
  <c r="AP55" i="49"/>
  <c r="AO37" i="49"/>
  <c r="AN70" i="49"/>
  <c r="AO59" i="49"/>
  <c r="AP25" i="49"/>
  <c r="AO41" i="49"/>
  <c r="AP79" i="49"/>
  <c r="AN29" i="49"/>
  <c r="AP32" i="49"/>
  <c r="AO76" i="49"/>
  <c r="AP33" i="49"/>
  <c r="AN79" i="49"/>
  <c r="AN45" i="49"/>
  <c r="AN41" i="49"/>
  <c r="AO79" i="49"/>
  <c r="AO27" i="49"/>
  <c r="AO26" i="49"/>
  <c r="AO30" i="49"/>
  <c r="AO65" i="49"/>
  <c r="AN30" i="49"/>
  <c r="AN34" i="49"/>
  <c r="AP29" i="49"/>
  <c r="AO44" i="49"/>
  <c r="AN46" i="49"/>
  <c r="AP26" i="49"/>
  <c r="AO43" i="49"/>
  <c r="AP63" i="49"/>
  <c r="AN26" i="49"/>
  <c r="AN64" i="49"/>
  <c r="AO38" i="49"/>
  <c r="AN18" i="49"/>
  <c r="AO25" i="49"/>
  <c r="AN65" i="49"/>
  <c r="AO34" i="49"/>
  <c r="AN27" i="49"/>
  <c r="AO70" i="49"/>
  <c r="AP74" i="49"/>
  <c r="AN37" i="49"/>
  <c r="AP21" i="49"/>
  <c r="AN19" i="49"/>
  <c r="AO36" i="49"/>
  <c r="AN55" i="49"/>
  <c r="AP50" i="49"/>
  <c r="AN73" i="49"/>
  <c r="AN28" i="49"/>
  <c r="AO23" i="49"/>
  <c r="AP68" i="49"/>
  <c r="AN40" i="49"/>
  <c r="AP76" i="49"/>
  <c r="AN36" i="49"/>
  <c r="AO42" i="49"/>
  <c r="AN76" i="49"/>
  <c r="AO61" i="49"/>
  <c r="AO20" i="49"/>
  <c r="AP34" i="49"/>
  <c r="AP19" i="49"/>
  <c r="AO47" i="49"/>
  <c r="AN61" i="49"/>
  <c r="AN20" i="49"/>
  <c r="AP23" i="49"/>
  <c r="AP60" i="49"/>
  <c r="AP56" i="49"/>
  <c r="AP75" i="49"/>
  <c r="AP30" i="49"/>
  <c r="AG115" i="51"/>
  <c r="AA49" i="51"/>
  <c r="AA115" i="51" s="1"/>
  <c r="AB115" i="51" s="1"/>
  <c r="Y115" i="51"/>
  <c r="Z115" i="51" s="1"/>
  <c r="F7" i="24"/>
  <c r="B8" i="7" s="1"/>
  <c r="I10" i="45"/>
  <c r="F51" i="24" s="1"/>
  <c r="I11" i="45"/>
  <c r="F52" i="24" s="1"/>
  <c r="L8" i="24"/>
  <c r="D8" i="30" s="1"/>
  <c r="L7" i="24"/>
  <c r="B8" i="30" s="1"/>
  <c r="I18" i="45"/>
  <c r="L52" i="24" s="1"/>
  <c r="F8" i="24"/>
  <c r="D8" i="7" s="1"/>
  <c r="I17" i="45"/>
  <c r="L51" i="24" s="1"/>
  <c r="AG113" i="51"/>
  <c r="AH113" i="51" s="1"/>
  <c r="Y47" i="51"/>
  <c r="AA39" i="51"/>
  <c r="Y113" i="51"/>
  <c r="Z113" i="51" s="1"/>
  <c r="AG112" i="51"/>
  <c r="Y38" i="51"/>
  <c r="AA31" i="51"/>
  <c r="AA38" i="51" s="1"/>
  <c r="Y112" i="51"/>
  <c r="Z112" i="51" s="1"/>
  <c r="Y30" i="51"/>
  <c r="Y111" i="51"/>
  <c r="Z111" i="51" s="1"/>
  <c r="AA24" i="51"/>
  <c r="Y48" i="51"/>
  <c r="Y50" i="51" s="1"/>
  <c r="AG111" i="51"/>
  <c r="AA51" i="51"/>
  <c r="AA51" i="33"/>
  <c r="B24" i="9"/>
  <c r="E24" i="9" s="1"/>
  <c r="E101" i="33"/>
  <c r="AP27" i="40"/>
  <c r="AO60" i="40"/>
  <c r="AP75" i="40"/>
  <c r="AN39" i="40"/>
  <c r="AO31" i="40"/>
  <c r="AMP1" i="52"/>
  <c r="AHK1" i="52"/>
  <c r="AMH1" i="52"/>
  <c r="AHZ1" i="52"/>
  <c r="AIO1" i="52"/>
  <c r="AJS1" i="52"/>
  <c r="ANE1" i="52"/>
  <c r="AMV1" i="52"/>
  <c r="AWN1" i="52"/>
  <c r="ARR1" i="52"/>
  <c r="AHQ1" i="52"/>
  <c r="APB1" i="52"/>
  <c r="AFM1" i="52"/>
  <c r="AXL1" i="52"/>
  <c r="AXU1" i="52"/>
  <c r="AKN1" i="52"/>
  <c r="AOB1" i="52"/>
  <c r="AGD1" i="52"/>
  <c r="AIN1" i="52"/>
  <c r="ARA1" i="52"/>
  <c r="AYK1" i="52"/>
  <c r="AND1" i="52"/>
  <c r="ATQ1" i="52"/>
  <c r="AJJ1" i="52"/>
  <c r="APP1" i="52"/>
  <c r="AIS1" i="52"/>
  <c r="AHH1" i="52"/>
  <c r="ASZ1" i="52"/>
  <c r="AKG1" i="52"/>
  <c r="ASI1" i="52"/>
  <c r="ALI1" i="52"/>
  <c r="APY1" i="52"/>
  <c r="AQA1" i="52"/>
  <c r="ATH1" i="52"/>
  <c r="AFE1" i="52"/>
  <c r="AIU1" i="52"/>
  <c r="ATU1" i="52"/>
  <c r="AGK1" i="52"/>
  <c r="ALC1" i="52"/>
  <c r="AQX1" i="52"/>
  <c r="ASO1" i="52"/>
  <c r="AYC1" i="52"/>
  <c r="AHJ1" i="52"/>
  <c r="AVK1" i="52"/>
  <c r="AUL1" i="52"/>
  <c r="ASF1" i="52"/>
  <c r="AUR1" i="52"/>
  <c r="ANZ1" i="52"/>
  <c r="AMO1" i="52"/>
  <c r="APX1" i="52"/>
  <c r="APO1" i="52"/>
  <c r="AUN1" i="52"/>
  <c r="AIZ1" i="52"/>
  <c r="ANT1" i="52"/>
  <c r="AYS1" i="52"/>
  <c r="AFJ1" i="52"/>
  <c r="AWV1" i="52"/>
  <c r="ANH1" i="52"/>
  <c r="ARZ1" i="52"/>
  <c r="AFT1" i="52"/>
  <c r="AOX1" i="52"/>
  <c r="ALW1" i="52"/>
  <c r="AQM1" i="52"/>
  <c r="ARW1" i="52"/>
  <c r="AVT1" i="52"/>
  <c r="ATE1" i="52"/>
  <c r="AXG1" i="52"/>
  <c r="APE1" i="52"/>
  <c r="ANN1" i="52"/>
  <c r="ASL1" i="52"/>
  <c r="ATM1" i="52"/>
  <c r="AVL1" i="52"/>
  <c r="AWA1" i="52"/>
  <c r="AUS1" i="52"/>
  <c r="AMD1" i="52"/>
  <c r="ARD1" i="52"/>
  <c r="AGP1" i="52"/>
  <c r="AFQ1" i="52"/>
  <c r="AXI1" i="52"/>
  <c r="AHN1" i="52"/>
  <c r="AIR1" i="52"/>
  <c r="AHV1" i="52"/>
  <c r="AOP1" i="52"/>
  <c r="AKB1" i="52"/>
  <c r="ALQ1" i="52"/>
  <c r="AIT1" i="52"/>
  <c r="AGL1" i="52"/>
  <c r="AGC1" i="52"/>
  <c r="ATG1" i="52"/>
  <c r="AKF1" i="52"/>
  <c r="API1" i="52"/>
  <c r="AYL1" i="52"/>
  <c r="ARY1" i="52"/>
  <c r="AQQ1" i="52"/>
  <c r="AGT1" i="52"/>
  <c r="AZI1" i="52"/>
  <c r="AZG1" i="52"/>
  <c r="AXC1" i="52"/>
  <c r="ASX1" i="52"/>
  <c r="AHX1" i="52"/>
  <c r="AQH1" i="52"/>
  <c r="AUW1" i="52"/>
  <c r="AUF1" i="52"/>
  <c r="AIM1" i="52"/>
  <c r="AJQ1" i="52"/>
  <c r="ALY1" i="52"/>
  <c r="ASG1" i="52"/>
  <c r="AQY1" i="52"/>
  <c r="AN17" i="40"/>
  <c r="AN69" i="40"/>
  <c r="AN76" i="40"/>
  <c r="AP22" i="40"/>
  <c r="AP42" i="40"/>
  <c r="AP17" i="40"/>
  <c r="AO39" i="40"/>
  <c r="AN35" i="40"/>
  <c r="AO49" i="40"/>
  <c r="AO37" i="40"/>
  <c r="AN23" i="40"/>
  <c r="AO34" i="40"/>
  <c r="O13" i="9"/>
  <c r="I5" i="22"/>
  <c r="I35" i="22" s="1"/>
  <c r="D28" i="7"/>
  <c r="H56" i="41"/>
  <c r="J56" i="41" s="1"/>
  <c r="L56" i="41" s="1"/>
  <c r="C108" i="40"/>
  <c r="B36" i="22"/>
  <c r="E36" i="22" s="1"/>
  <c r="P101" i="33"/>
  <c r="T89" i="40"/>
  <c r="V89" i="40"/>
  <c r="AYH1" i="52"/>
  <c r="AZV1" i="52"/>
  <c r="AAB1" i="52"/>
  <c r="AAJ1" i="52"/>
  <c r="AAZ1" i="52"/>
  <c r="ABH1" i="52"/>
  <c r="WV1" i="52"/>
  <c r="AUM1" i="52"/>
  <c r="ND1" i="52"/>
  <c r="ALJ1" i="52"/>
  <c r="KG1" i="52"/>
  <c r="AIQ1" i="52"/>
  <c r="ADY1" i="52"/>
  <c r="AEO1" i="52"/>
  <c r="BCE1" i="52"/>
  <c r="YF1" i="52"/>
  <c r="AVV1" i="52"/>
  <c r="WL1" i="52"/>
  <c r="AUD1" i="52"/>
  <c r="UT1" i="52"/>
  <c r="ASN1" i="52"/>
  <c r="SW1" i="52"/>
  <c r="AQT1" i="52"/>
  <c r="LR1" i="52"/>
  <c r="AJZ1" i="52"/>
  <c r="ID1" i="52"/>
  <c r="AGR1" i="52"/>
  <c r="AEN1" i="52"/>
  <c r="BCD1" i="52"/>
  <c r="AXS1" i="52"/>
  <c r="YT1" i="52"/>
  <c r="AWJ1" i="52"/>
  <c r="SV1" i="52"/>
  <c r="AQS1" i="52"/>
  <c r="RG1" i="52"/>
  <c r="APF1" i="52"/>
  <c r="LQ1" i="52"/>
  <c r="AJY1" i="52"/>
  <c r="KM1" i="52"/>
  <c r="AIW1" i="52"/>
  <c r="JW1" i="52"/>
  <c r="AIH1" i="52"/>
  <c r="BBQ1" i="52"/>
  <c r="AEA1" i="52"/>
  <c r="ACD1" i="52"/>
  <c r="AZQ1" i="52"/>
  <c r="WZ1" i="52"/>
  <c r="AUQ1" i="52"/>
  <c r="TS1" i="52"/>
  <c r="ARO1" i="52"/>
  <c r="RM1" i="52"/>
  <c r="APL1" i="52"/>
  <c r="NQ1" i="52"/>
  <c r="ALV1" i="52"/>
  <c r="ML1" i="52"/>
  <c r="AKS1" i="52"/>
  <c r="KL1" i="52"/>
  <c r="AIV1" i="52"/>
  <c r="IR1" i="52"/>
  <c r="AHE1" i="52"/>
  <c r="HC1" i="52"/>
  <c r="AFS1" i="52"/>
  <c r="AEG1" i="52"/>
  <c r="BBW1" i="52"/>
  <c r="AFA1" i="52"/>
  <c r="BCQ1" i="52"/>
  <c r="AAX1" i="52"/>
  <c r="AYN1" i="52"/>
  <c r="VM1" i="52"/>
  <c r="ATF1" i="52"/>
  <c r="TR1" i="52"/>
  <c r="ARN1" i="52"/>
  <c r="PO1" i="52"/>
  <c r="ANQ1" i="52"/>
  <c r="OZ1" i="52"/>
  <c r="ANC1" i="52"/>
  <c r="AEF1" i="52"/>
  <c r="BBV1" i="52"/>
  <c r="WB1" i="52"/>
  <c r="ATT1" i="52"/>
  <c r="VS1" i="52"/>
  <c r="ATL1" i="52"/>
  <c r="MJ1" i="52"/>
  <c r="AKQ1" i="52"/>
  <c r="LN1" i="52"/>
  <c r="AJV1" i="52"/>
  <c r="AEK1" i="52"/>
  <c r="BCA1" i="52"/>
  <c r="ZL1" i="52"/>
  <c r="AXB1" i="52"/>
  <c r="PM1" i="52"/>
  <c r="ANO1" i="52"/>
  <c r="OJ1" i="52"/>
  <c r="AMN1" i="52"/>
  <c r="JD1" i="52"/>
  <c r="AHP1" i="52"/>
  <c r="AEJ1" i="52"/>
  <c r="BBZ1" i="52"/>
  <c r="ZR1" i="52"/>
  <c r="AXH1" i="52"/>
  <c r="OI1" i="52"/>
  <c r="AMM1" i="52"/>
  <c r="NM1" i="52"/>
  <c r="ALR1" i="52"/>
  <c r="JK1" i="52"/>
  <c r="AHW1" i="52"/>
  <c r="JC1" i="52"/>
  <c r="AHO1" i="52"/>
  <c r="AWY1" i="52"/>
  <c r="AWM1" i="52"/>
  <c r="AWG1" i="52"/>
  <c r="AVN1" i="52"/>
  <c r="AVC1" i="52"/>
  <c r="ATW1" i="52"/>
  <c r="ASM1" i="52"/>
  <c r="ASE1" i="52"/>
  <c r="AQR1" i="52"/>
  <c r="AQE1" i="52"/>
  <c r="AOH1" i="52"/>
  <c r="ANG1" i="52"/>
  <c r="ANB1" i="52"/>
  <c r="AMF1" i="52"/>
  <c r="ALU1" i="52"/>
  <c r="AJX1" i="52"/>
  <c r="AZY1" i="52"/>
  <c r="AZO1" i="52"/>
  <c r="AZL1" i="52"/>
  <c r="AZF1" i="52"/>
  <c r="AVM1" i="52"/>
  <c r="AVG1" i="52"/>
  <c r="AUT1" i="52"/>
  <c r="ASQ1" i="52"/>
  <c r="AQD1" i="52"/>
  <c r="ANR1" i="52"/>
  <c r="ANA1" i="52"/>
  <c r="AME1" i="52"/>
  <c r="AKT1" i="52"/>
  <c r="AJW1" i="52"/>
  <c r="AJK1" i="52"/>
  <c r="AIX1" i="52"/>
  <c r="AHF1" i="52"/>
  <c r="AGS1" i="52"/>
  <c r="BCF1" i="52"/>
  <c r="BCB1" i="52"/>
  <c r="AWW1" i="52"/>
  <c r="AWE1" i="52"/>
  <c r="AVR1" i="52"/>
  <c r="ATN1" i="52"/>
  <c r="ASV1" i="52"/>
  <c r="ARV1" i="52"/>
  <c r="ARJ1" i="52"/>
  <c r="AQP1" i="52"/>
  <c r="AOY1" i="52"/>
  <c r="AOR1" i="52"/>
  <c r="AOF1" i="52"/>
  <c r="AMT1" i="52"/>
  <c r="AMJ1" i="52"/>
  <c r="AKY1" i="52"/>
  <c r="AKM1" i="52"/>
  <c r="LG1" i="52"/>
  <c r="AJP1" i="52"/>
  <c r="KZ1" i="52"/>
  <c r="AJI1" i="52"/>
  <c r="AJB1" i="52"/>
  <c r="KR1" i="52"/>
  <c r="AIB1" i="52"/>
  <c r="JQ1" i="52"/>
  <c r="HL1" i="52"/>
  <c r="AGA1" i="52"/>
  <c r="GV1" i="52"/>
  <c r="AFL1" i="52"/>
  <c r="ARE1" i="52"/>
  <c r="AQN1" i="52"/>
  <c r="APS1" i="52"/>
  <c r="APM1" i="52"/>
  <c r="APH1" i="52"/>
  <c r="APD1" i="52"/>
  <c r="AOW1" i="52"/>
  <c r="AMW1" i="52"/>
  <c r="ALO1" i="52"/>
  <c r="NJ1" i="52"/>
  <c r="MP1" i="52"/>
  <c r="AKW1" i="52"/>
  <c r="AJO1" i="52"/>
  <c r="LF1" i="52"/>
  <c r="AJA1" i="52"/>
  <c r="KQ1" i="52"/>
  <c r="JX1" i="52"/>
  <c r="AII1" i="52"/>
  <c r="AHI1" i="52"/>
  <c r="IV1" i="52"/>
  <c r="AER1" i="52"/>
  <c r="BCH1" i="52"/>
  <c r="AEZ1" i="52"/>
  <c r="BCP1" i="52"/>
  <c r="AXA1" i="52"/>
  <c r="AWL1" i="52"/>
  <c r="AOC1" i="52"/>
  <c r="ANW1" i="52"/>
  <c r="NI1" i="52"/>
  <c r="ALN1" i="52"/>
  <c r="MV1" i="52"/>
  <c r="ALB1" i="52"/>
  <c r="LW1" i="52"/>
  <c r="AKE1" i="52"/>
  <c r="AJN1" i="52"/>
  <c r="LE1" i="52"/>
  <c r="KX1" i="52"/>
  <c r="AJG1" i="52"/>
  <c r="JI1" i="52"/>
  <c r="AHU1" i="52"/>
  <c r="IH1" i="52"/>
  <c r="AGV1" i="52"/>
  <c r="ACH1" i="52"/>
  <c r="AZU1" i="52"/>
  <c r="AXE1" i="52"/>
  <c r="AWU1" i="52"/>
  <c r="AWP1" i="52"/>
  <c r="AVF1" i="52"/>
  <c r="AVB1" i="52"/>
  <c r="ATV1" i="52"/>
  <c r="ATK1" i="52"/>
  <c r="ASP1" i="52"/>
  <c r="ARX1" i="52"/>
  <c r="ART1" i="52"/>
  <c r="AQB1" i="52"/>
  <c r="APQ1" i="52"/>
  <c r="APG1" i="52"/>
  <c r="AOV1" i="52"/>
  <c r="AOQ1" i="52"/>
  <c r="AOM1" i="52"/>
  <c r="AOG1" i="52"/>
  <c r="ANJ1" i="52"/>
  <c r="AMC1" i="52"/>
  <c r="ALX1" i="52"/>
  <c r="ALS1" i="52"/>
  <c r="ALA1" i="52"/>
  <c r="MU1" i="52"/>
  <c r="AKU1" i="52"/>
  <c r="LV1" i="52"/>
  <c r="AKD1" i="52"/>
  <c r="KW1" i="52"/>
  <c r="AJF1" i="52"/>
  <c r="JH1" i="52"/>
  <c r="AHT1" i="52"/>
  <c r="AHB1" i="52"/>
  <c r="IO1" i="52"/>
  <c r="ADP1" i="52"/>
  <c r="BBF1" i="52"/>
  <c r="ADH1" i="52"/>
  <c r="BAX1" i="52"/>
  <c r="ACZ1" i="52"/>
  <c r="BAP1" i="52"/>
  <c r="ACR1" i="52"/>
  <c r="BAH1" i="52"/>
  <c r="ACJ1" i="52"/>
  <c r="AZZ1" i="52"/>
  <c r="AWK1" i="52"/>
  <c r="AWF1" i="52"/>
  <c r="AVU1" i="52"/>
  <c r="AVO1" i="52"/>
  <c r="AUU1" i="52"/>
  <c r="AUP1" i="52"/>
  <c r="AUK1" i="52"/>
  <c r="AUE1" i="52"/>
  <c r="ATO1" i="52"/>
  <c r="AST1" i="52"/>
  <c r="ASC1" i="52"/>
  <c r="ARH1" i="52"/>
  <c r="AQF1" i="52"/>
  <c r="APV1" i="52"/>
  <c r="APK1" i="52"/>
  <c r="AOZ1" i="52"/>
  <c r="ANP1" i="52"/>
  <c r="AMZ1" i="52"/>
  <c r="AMU1" i="52"/>
  <c r="AMQ1" i="52"/>
  <c r="AML1" i="52"/>
  <c r="AMG1" i="52"/>
  <c r="NA1" i="52"/>
  <c r="ALG1" i="52"/>
  <c r="MT1" i="52"/>
  <c r="AKO1" i="52"/>
  <c r="AIF1" i="52"/>
  <c r="JU1" i="52"/>
  <c r="JG1" i="52"/>
  <c r="AHS1" i="52"/>
  <c r="HZ1" i="52"/>
  <c r="AGN1" i="52"/>
  <c r="ACC1" i="52"/>
  <c r="AZP1" i="52"/>
  <c r="ARL1" i="52"/>
  <c r="ARC1" i="52"/>
  <c r="AQU1" i="52"/>
  <c r="NF1" i="52"/>
  <c r="ALL1" i="52"/>
  <c r="JM1" i="52"/>
  <c r="AHY1" i="52"/>
  <c r="IM1" i="52"/>
  <c r="AGZ1" i="52"/>
  <c r="AEV1" i="52"/>
  <c r="BCL1" i="52"/>
  <c r="KA1" i="52"/>
  <c r="AIL1" i="52"/>
  <c r="JS1" i="52"/>
  <c r="AID1" i="52"/>
  <c r="AFV1" i="52"/>
  <c r="HG1" i="52"/>
  <c r="BBT1" i="52"/>
  <c r="AED1" i="52"/>
  <c r="BBL1" i="52"/>
  <c r="ADV1" i="52"/>
  <c r="ACG1" i="52"/>
  <c r="AZT1" i="52"/>
  <c r="AWS1" i="52"/>
  <c r="AVY1" i="52"/>
  <c r="AVH1" i="52"/>
  <c r="AVD1" i="52"/>
  <c r="AUY1" i="52"/>
  <c r="AUJ1" i="52"/>
  <c r="ATX1" i="52"/>
  <c r="ATC1" i="52"/>
  <c r="ASR1" i="52"/>
  <c r="ASA1" i="52"/>
  <c r="ARF1" i="52"/>
  <c r="AQO1" i="52"/>
  <c r="AQJ1" i="52"/>
  <c r="APZ1" i="52"/>
  <c r="APU1" i="52"/>
  <c r="APN1" i="52"/>
  <c r="AOS1" i="52"/>
  <c r="AOI1" i="52"/>
  <c r="AOE1" i="52"/>
  <c r="ANY1" i="52"/>
  <c r="ALD1" i="52"/>
  <c r="LZ1" i="52"/>
  <c r="AKH1" i="52"/>
  <c r="KS1" i="52"/>
  <c r="AJC1" i="52"/>
  <c r="JZ1" i="52"/>
  <c r="AIK1" i="52"/>
  <c r="AIC1" i="52"/>
  <c r="JR1" i="52"/>
  <c r="ADL1" i="52"/>
  <c r="BBB1" i="52"/>
  <c r="ADD1" i="52"/>
  <c r="BAT1" i="52"/>
  <c r="ACV1" i="52"/>
  <c r="BAL1" i="52"/>
  <c r="ACN1" i="52"/>
  <c r="BAD1" i="52"/>
  <c r="AJM1" i="52"/>
  <c r="AJH1" i="52"/>
  <c r="AJD1" i="52"/>
  <c r="AIJ1" i="52"/>
  <c r="AIE1" i="52"/>
  <c r="AHR1" i="52"/>
  <c r="AHM1" i="52"/>
  <c r="AHC1" i="52"/>
  <c r="AGY1" i="52"/>
  <c r="AGU1" i="52"/>
  <c r="AGJ1" i="52"/>
  <c r="AGB1" i="52"/>
  <c r="AFW1" i="52"/>
  <c r="AFK1" i="52"/>
  <c r="BBE1" i="52"/>
  <c r="BBA1" i="52"/>
  <c r="BAW1" i="52"/>
  <c r="BAS1" i="52"/>
  <c r="BAO1" i="52"/>
  <c r="BAK1" i="52"/>
  <c r="BAG1" i="52"/>
  <c r="BAC1" i="52"/>
  <c r="BCI1" i="52"/>
  <c r="BCM1" i="52"/>
  <c r="HF1" i="52"/>
  <c r="ADM1" i="52"/>
  <c r="ADX1" i="52"/>
  <c r="BBH1" i="52"/>
  <c r="BBD1" i="52"/>
  <c r="BAZ1" i="52"/>
  <c r="BAV1" i="52"/>
  <c r="BAR1" i="52"/>
  <c r="BAN1" i="52"/>
  <c r="BAJ1" i="52"/>
  <c r="BAF1" i="52"/>
  <c r="BAB1" i="52"/>
  <c r="BCJ1" i="52"/>
  <c r="BCN1" i="52"/>
  <c r="BCR1" i="52"/>
  <c r="AZR1" i="52"/>
  <c r="AZN1" i="52"/>
  <c r="AHA1" i="52"/>
  <c r="AGW1" i="52"/>
  <c r="AGM1" i="52"/>
  <c r="AFD1" i="52"/>
  <c r="BBG1" i="52"/>
  <c r="BAY1" i="52"/>
  <c r="BAU1" i="52"/>
  <c r="BAQ1" i="52"/>
  <c r="BAM1" i="52"/>
  <c r="BAI1" i="52"/>
  <c r="BAE1" i="52"/>
  <c r="BAA1" i="52"/>
  <c r="BCG1" i="52"/>
  <c r="BCK1" i="52"/>
  <c r="BCO1" i="52"/>
  <c r="AZM1" i="52"/>
  <c r="ADZ1" i="52"/>
  <c r="N114" i="19"/>
  <c r="P114" i="19" s="1"/>
  <c r="E10" i="45"/>
  <c r="N124" i="11" l="1"/>
  <c r="Q124" i="11" s="1"/>
  <c r="Q125" i="11" s="1"/>
  <c r="AB10" i="33"/>
  <c r="Z38" i="33" s="1"/>
  <c r="H66" i="16"/>
  <c r="F66" i="16"/>
  <c r="D66" i="16"/>
  <c r="B66" i="16"/>
  <c r="H39" i="16"/>
  <c r="F39" i="16"/>
  <c r="D39" i="16"/>
  <c r="B39" i="16"/>
  <c r="H12" i="16"/>
  <c r="F12" i="16"/>
  <c r="D12" i="16"/>
  <c r="B12" i="16"/>
  <c r="AB9" i="46"/>
  <c r="U33" i="46" s="1"/>
  <c r="D726" i="47"/>
  <c r="AAT2" i="52" s="1"/>
  <c r="D35" i="47"/>
  <c r="D729" i="47"/>
  <c r="AAW2" i="52" s="1"/>
  <c r="D36" i="47"/>
  <c r="N53" i="24"/>
  <c r="V4" i="48" s="1"/>
  <c r="V13" i="48" s="1"/>
  <c r="D611" i="47" s="1"/>
  <c r="AUD2" i="52" s="1"/>
  <c r="D40" i="47"/>
  <c r="B53" i="24"/>
  <c r="F4" i="48" s="1"/>
  <c r="F33" i="48" s="1"/>
  <c r="D32" i="47"/>
  <c r="H51" i="24"/>
  <c r="J4" i="55" s="1"/>
  <c r="J83" i="55" s="1"/>
  <c r="D34" i="47"/>
  <c r="H54" i="24"/>
  <c r="P4" i="48" s="1"/>
  <c r="P104" i="48" s="1"/>
  <c r="D37" i="47"/>
  <c r="N54" i="24"/>
  <c r="X4" i="48" s="1"/>
  <c r="X25" i="48" s="1"/>
  <c r="D41" i="47"/>
  <c r="D739" i="47"/>
  <c r="ABG2" i="52" s="1"/>
  <c r="D39" i="47"/>
  <c r="AA112" i="33"/>
  <c r="AB112" i="33" s="1"/>
  <c r="D713" i="47"/>
  <c r="D31" i="47"/>
  <c r="H112" i="9"/>
  <c r="K112" i="9" s="1"/>
  <c r="AL63" i="41"/>
  <c r="AZ54" i="46"/>
  <c r="N113" i="9"/>
  <c r="Q113" i="9" s="1"/>
  <c r="Q114" i="9" s="1"/>
  <c r="Q115" i="9" s="1"/>
  <c r="Q117" i="9" s="1"/>
  <c r="H16" i="11"/>
  <c r="H64" i="11" s="1"/>
  <c r="H112" i="11" s="1"/>
  <c r="B1" i="16"/>
  <c r="P117" i="33"/>
  <c r="Q117" i="33" s="1"/>
  <c r="H52" i="24"/>
  <c r="L4" i="55" s="1"/>
  <c r="AE86" i="40"/>
  <c r="AE99" i="40" s="1"/>
  <c r="Y99" i="40"/>
  <c r="H29" i="26"/>
  <c r="AP90" i="49"/>
  <c r="D745" i="47"/>
  <c r="ABM2" i="52" s="1"/>
  <c r="BB54" i="46"/>
  <c r="AO47" i="46"/>
  <c r="AO90" i="49"/>
  <c r="B113" i="9"/>
  <c r="E113" i="9" s="1"/>
  <c r="P112" i="41"/>
  <c r="Q112" i="41" s="1"/>
  <c r="H86" i="22"/>
  <c r="K86" i="22" s="1"/>
  <c r="N86" i="22"/>
  <c r="Q86" i="22" s="1"/>
  <c r="H69" i="9"/>
  <c r="K69" i="9" s="1"/>
  <c r="K70" i="9" s="1"/>
  <c r="K71" i="9" s="1"/>
  <c r="K73" i="9" s="1"/>
  <c r="AL51" i="40"/>
  <c r="AE16" i="40"/>
  <c r="N52" i="24"/>
  <c r="T4" i="48" s="1"/>
  <c r="T106" i="48" s="1"/>
  <c r="AXD2" i="52"/>
  <c r="G16" i="51"/>
  <c r="I89" i="41"/>
  <c r="AO40" i="33"/>
  <c r="Q10" i="33"/>
  <c r="Q34" i="33" s="1"/>
  <c r="T117" i="51"/>
  <c r="U117" i="51" s="1"/>
  <c r="AA112" i="49"/>
  <c r="AB112" i="49" s="1"/>
  <c r="AA49" i="49"/>
  <c r="AA51" i="49" s="1"/>
  <c r="I88" i="33"/>
  <c r="D698" i="47"/>
  <c r="ZT2" i="52" s="1"/>
  <c r="AC97" i="41"/>
  <c r="H34" i="1"/>
  <c r="H45" i="1" s="1"/>
  <c r="H80" i="1" s="1"/>
  <c r="AA30" i="40"/>
  <c r="E112" i="41"/>
  <c r="F112" i="41" s="1"/>
  <c r="G118" i="49"/>
  <c r="H118" i="49" s="1"/>
  <c r="AE86" i="41"/>
  <c r="AE97" i="41" s="1"/>
  <c r="AO27" i="41"/>
  <c r="AXG2" i="52"/>
  <c r="B157" i="12"/>
  <c r="B120" i="12" s="1"/>
  <c r="E120" i="12" s="1"/>
  <c r="A5" i="12"/>
  <c r="A28" i="12" s="1"/>
  <c r="B51" i="12"/>
  <c r="B89" i="9"/>
  <c r="B111" i="9" s="1"/>
  <c r="AP17" i="33"/>
  <c r="Y113" i="46"/>
  <c r="Z113" i="46" s="1"/>
  <c r="T116" i="46"/>
  <c r="U116" i="46" s="1"/>
  <c r="P108" i="33"/>
  <c r="P113" i="49"/>
  <c r="Q113" i="49" s="1"/>
  <c r="AP30" i="33"/>
  <c r="AP35" i="33"/>
  <c r="P117" i="40"/>
  <c r="Q117" i="40" s="1"/>
  <c r="R108" i="40"/>
  <c r="AN32" i="33"/>
  <c r="R116" i="46"/>
  <c r="S116" i="46" s="1"/>
  <c r="AP79" i="33"/>
  <c r="Y98" i="40"/>
  <c r="B86" i="22"/>
  <c r="E86" i="22" s="1"/>
  <c r="AG86" i="40"/>
  <c r="AG97" i="40" s="1"/>
  <c r="AO76" i="33"/>
  <c r="AC61" i="33"/>
  <c r="AC81" i="33" s="1"/>
  <c r="AP74" i="33"/>
  <c r="B134" i="22"/>
  <c r="E134" i="22" s="1"/>
  <c r="AL79" i="33"/>
  <c r="AN47" i="46"/>
  <c r="B76" i="11"/>
  <c r="E76" i="11" s="1"/>
  <c r="E77" i="11" s="1"/>
  <c r="E79" i="11" s="1"/>
  <c r="AP47" i="46"/>
  <c r="AP48" i="33"/>
  <c r="P117" i="41"/>
  <c r="Q117" i="41" s="1"/>
  <c r="G109" i="49"/>
  <c r="P116" i="46"/>
  <c r="Q116" i="46" s="1"/>
  <c r="I60" i="46"/>
  <c r="I80" i="46" s="1"/>
  <c r="R60" i="46"/>
  <c r="R80" i="46" s="1"/>
  <c r="H50" i="22"/>
  <c r="H54" i="22" s="1"/>
  <c r="H102" i="22" s="1"/>
  <c r="H29" i="16"/>
  <c r="H37" i="16" s="1"/>
  <c r="H17" i="30" s="1"/>
  <c r="D66" i="24"/>
  <c r="E89" i="33" s="1"/>
  <c r="B75" i="11"/>
  <c r="E75" i="11" s="1"/>
  <c r="H1" i="10"/>
  <c r="H4" i="10" s="1"/>
  <c r="N1" i="11"/>
  <c r="N5" i="11" s="1"/>
  <c r="N13" i="9"/>
  <c r="N57" i="9" s="1"/>
  <c r="N101" i="9" s="1"/>
  <c r="E48" i="41"/>
  <c r="E50" i="41" s="1"/>
  <c r="H89" i="9"/>
  <c r="H111" i="9" s="1"/>
  <c r="P118" i="49"/>
  <c r="Q118" i="49" s="1"/>
  <c r="AA48" i="49"/>
  <c r="H1" i="18"/>
  <c r="H19" i="18" s="1"/>
  <c r="B17" i="22"/>
  <c r="B66" i="22" s="1"/>
  <c r="B114" i="22" s="1"/>
  <c r="N123" i="11"/>
  <c r="Q123" i="11" s="1"/>
  <c r="H76" i="11"/>
  <c r="K76" i="11" s="1"/>
  <c r="K77" i="11" s="1"/>
  <c r="K79" i="11" s="1"/>
  <c r="K91" i="49"/>
  <c r="AO91" i="49" s="1"/>
  <c r="AL115" i="51"/>
  <c r="AM115" i="51" s="1"/>
  <c r="AO46" i="46"/>
  <c r="AP48" i="49"/>
  <c r="H133" i="22"/>
  <c r="K133" i="22" s="1"/>
  <c r="N85" i="22"/>
  <c r="Q85" i="22" s="1"/>
  <c r="K78" i="46"/>
  <c r="AP78" i="46" s="1"/>
  <c r="AO48" i="49"/>
  <c r="AC61" i="40"/>
  <c r="AC81" i="40" s="1"/>
  <c r="H1" i="30"/>
  <c r="H44" i="30" s="1"/>
  <c r="AN46" i="46"/>
  <c r="K79" i="41"/>
  <c r="AN79" i="41" s="1"/>
  <c r="AA48" i="41"/>
  <c r="AA50" i="41" s="1"/>
  <c r="R118" i="49"/>
  <c r="S118" i="49" s="1"/>
  <c r="C32" i="24"/>
  <c r="C73" i="24" s="1"/>
  <c r="E111" i="40"/>
  <c r="F111" i="40" s="1"/>
  <c r="AA110" i="46"/>
  <c r="AB110" i="46" s="1"/>
  <c r="H85" i="22"/>
  <c r="K85" i="22" s="1"/>
  <c r="G117" i="41"/>
  <c r="H117" i="41" s="1"/>
  <c r="Q10" i="41"/>
  <c r="O52" i="41" s="1"/>
  <c r="Q52" i="41" s="1"/>
  <c r="S52" i="41" s="1"/>
  <c r="U52" i="41" s="1"/>
  <c r="B34" i="1"/>
  <c r="B37" i="1" s="1"/>
  <c r="H134" i="22"/>
  <c r="K134" i="22" s="1"/>
  <c r="D25" i="24"/>
  <c r="I6" i="31" s="1"/>
  <c r="K88" i="33"/>
  <c r="H68" i="9"/>
  <c r="K68" i="9" s="1"/>
  <c r="AE117" i="41"/>
  <c r="AF117" i="41" s="1"/>
  <c r="Y121" i="41"/>
  <c r="Y101" i="41" s="1"/>
  <c r="AO31" i="33"/>
  <c r="AO39" i="33"/>
  <c r="AN43" i="33"/>
  <c r="AP49" i="33"/>
  <c r="AO19" i="41"/>
  <c r="T118" i="49"/>
  <c r="U118" i="49" s="1"/>
  <c r="AN37" i="46"/>
  <c r="K107" i="46"/>
  <c r="B85" i="22"/>
  <c r="E85" i="22" s="1"/>
  <c r="AL30" i="40"/>
  <c r="AN78" i="33"/>
  <c r="AO18" i="33"/>
  <c r="AC116" i="46"/>
  <c r="AD116" i="46" s="1"/>
  <c r="AP22" i="33"/>
  <c r="AP39" i="33"/>
  <c r="AP29" i="33"/>
  <c r="AP46" i="33"/>
  <c r="AO17" i="33"/>
  <c r="AP62" i="33"/>
  <c r="AP32" i="33"/>
  <c r="AO33" i="33"/>
  <c r="AN59" i="33"/>
  <c r="AP25" i="33"/>
  <c r="AP41" i="33"/>
  <c r="K114" i="41"/>
  <c r="K116" i="41" s="1"/>
  <c r="AO80" i="33"/>
  <c r="AP43" i="33"/>
  <c r="AN91" i="33"/>
  <c r="AN27" i="33"/>
  <c r="AO37" i="33"/>
  <c r="AP18" i="33"/>
  <c r="AO84" i="33"/>
  <c r="AP58" i="33"/>
  <c r="AP51" i="33"/>
  <c r="AP37" i="46"/>
  <c r="I61" i="33"/>
  <c r="I81" i="33" s="1"/>
  <c r="AL15" i="46"/>
  <c r="AP76" i="33"/>
  <c r="AO68" i="41"/>
  <c r="AN42" i="33"/>
  <c r="AP80" i="33"/>
  <c r="AN65" i="33"/>
  <c r="AN22" i="33"/>
  <c r="AN75" i="33"/>
  <c r="AN17" i="33"/>
  <c r="AN19" i="33"/>
  <c r="AO24" i="33"/>
  <c r="AO64" i="33"/>
  <c r="AN49" i="33"/>
  <c r="AO20" i="33"/>
  <c r="AN25" i="33"/>
  <c r="AN36" i="33"/>
  <c r="AO45" i="33"/>
  <c r="AO47" i="33"/>
  <c r="AP31" i="33"/>
  <c r="AO36" i="33"/>
  <c r="G116" i="46"/>
  <c r="H116" i="46" s="1"/>
  <c r="N89" i="51"/>
  <c r="T89" i="51" s="1"/>
  <c r="AP23" i="41"/>
  <c r="AO59" i="33"/>
  <c r="AN79" i="33"/>
  <c r="AO75" i="33"/>
  <c r="AN21" i="33"/>
  <c r="P48" i="33"/>
  <c r="P50" i="33" s="1"/>
  <c r="AP20" i="41"/>
  <c r="AP64" i="33"/>
  <c r="AN74" i="33"/>
  <c r="AN34" i="33"/>
  <c r="AO60" i="33"/>
  <c r="AP69" i="33"/>
  <c r="AO28" i="33"/>
  <c r="AP31" i="41"/>
  <c r="AP75" i="33"/>
  <c r="AN70" i="33"/>
  <c r="AP40" i="33"/>
  <c r="AO29" i="33"/>
  <c r="AO65" i="33"/>
  <c r="AN80" i="33"/>
  <c r="AN29" i="33"/>
  <c r="AP73" i="33"/>
  <c r="K118" i="49"/>
  <c r="L118" i="49" s="1"/>
  <c r="AP63" i="33"/>
  <c r="AO63" i="33"/>
  <c r="AO68" i="33"/>
  <c r="AO21" i="33"/>
  <c r="AO58" i="33"/>
  <c r="AN44" i="33"/>
  <c r="AN41" i="41"/>
  <c r="AP59" i="33"/>
  <c r="AO69" i="33"/>
  <c r="AN33" i="33"/>
  <c r="Y120" i="46"/>
  <c r="Y100" i="46" s="1"/>
  <c r="AP26" i="41"/>
  <c r="AP84" i="33"/>
  <c r="AO41" i="33"/>
  <c r="AP47" i="33"/>
  <c r="AO43" i="33"/>
  <c r="AP44" i="33"/>
  <c r="AN73" i="33"/>
  <c r="AO70" i="33"/>
  <c r="AP70" i="33"/>
  <c r="AN69" i="33"/>
  <c r="AO30" i="33"/>
  <c r="AN28" i="33"/>
  <c r="AP28" i="33"/>
  <c r="AN35" i="33"/>
  <c r="AC113" i="46"/>
  <c r="AD113" i="46" s="1"/>
  <c r="AN30" i="33"/>
  <c r="AN76" i="33"/>
  <c r="AN62" i="33"/>
  <c r="AP27" i="33"/>
  <c r="AO27" i="33"/>
  <c r="AP24" i="33"/>
  <c r="AN20" i="33"/>
  <c r="AN89" i="41"/>
  <c r="P117" i="51"/>
  <c r="Q117" i="51" s="1"/>
  <c r="AB10" i="51"/>
  <c r="Z44" i="51" s="1"/>
  <c r="AN31" i="33"/>
  <c r="AN40" i="33"/>
  <c r="AP37" i="33"/>
  <c r="AO19" i="33"/>
  <c r="AO44" i="33"/>
  <c r="AN58" i="33"/>
  <c r="AO78" i="33"/>
  <c r="AN64" i="33"/>
  <c r="AN63" i="33"/>
  <c r="E111" i="46"/>
  <c r="F111" i="46" s="1"/>
  <c r="AP33" i="33"/>
  <c r="AN46" i="33"/>
  <c r="AO74" i="33"/>
  <c r="AN24" i="33"/>
  <c r="AN68" i="33"/>
  <c r="AP23" i="33"/>
  <c r="AN18" i="33"/>
  <c r="AN45" i="33"/>
  <c r="AA47" i="33"/>
  <c r="I117" i="51"/>
  <c r="J117" i="51" s="1"/>
  <c r="AL80" i="49"/>
  <c r="E117" i="40"/>
  <c r="F117" i="40" s="1"/>
  <c r="T60" i="46"/>
  <c r="T80" i="46" s="1"/>
  <c r="G61" i="51"/>
  <c r="I61" i="51"/>
  <c r="D68" i="24"/>
  <c r="B4" i="18"/>
  <c r="B41" i="18" s="1"/>
  <c r="B45" i="9"/>
  <c r="B67" i="9" s="1"/>
  <c r="B5" i="22"/>
  <c r="B54" i="22" s="1"/>
  <c r="B102" i="22" s="1"/>
  <c r="B25" i="22"/>
  <c r="B74" i="22" s="1"/>
  <c r="B122" i="22" s="1"/>
  <c r="B5" i="11"/>
  <c r="B1" i="36"/>
  <c r="B5" i="12"/>
  <c r="D67" i="24"/>
  <c r="N16" i="11"/>
  <c r="N64" i="11" s="1"/>
  <c r="N112" i="11" s="1"/>
  <c r="C4" i="24"/>
  <c r="B49" i="11"/>
  <c r="B74" i="11" s="1"/>
  <c r="B13" i="9"/>
  <c r="B57" i="9" s="1"/>
  <c r="B101" i="9" s="1"/>
  <c r="H13" i="9"/>
  <c r="H57" i="9" s="1"/>
  <c r="H101" i="9" s="1"/>
  <c r="B50" i="22"/>
  <c r="B84" i="22" s="1"/>
  <c r="B1" i="1"/>
  <c r="B4" i="1" s="1"/>
  <c r="B1" i="22"/>
  <c r="B35" i="22" s="1"/>
  <c r="H25" i="22"/>
  <c r="H74" i="22" s="1"/>
  <c r="H122" i="22" s="1"/>
  <c r="B97" i="11"/>
  <c r="B122" i="11" s="1"/>
  <c r="B98" i="22"/>
  <c r="B132" i="22" s="1"/>
  <c r="AL51" i="51"/>
  <c r="P38" i="40"/>
  <c r="AL111" i="33"/>
  <c r="AM111" i="33" s="1"/>
  <c r="AL47" i="33"/>
  <c r="AC117" i="33"/>
  <c r="AD117" i="33" s="1"/>
  <c r="AA116" i="46"/>
  <c r="AB116" i="46" s="1"/>
  <c r="G61" i="41"/>
  <c r="G81" i="41" s="1"/>
  <c r="AL47" i="41"/>
  <c r="AL48" i="49"/>
  <c r="AL38" i="51"/>
  <c r="G117" i="51"/>
  <c r="H117" i="51" s="1"/>
  <c r="S4" i="37"/>
  <c r="AA117" i="41"/>
  <c r="AB117" i="41" s="1"/>
  <c r="C113" i="46"/>
  <c r="D113" i="46" s="1"/>
  <c r="I61" i="41"/>
  <c r="I81" i="41" s="1"/>
  <c r="V62" i="49"/>
  <c r="V82" i="49" s="1"/>
  <c r="AG62" i="49"/>
  <c r="K4" i="42"/>
  <c r="AE16" i="41"/>
  <c r="K114" i="51"/>
  <c r="L114" i="51" s="1"/>
  <c r="AA16" i="41"/>
  <c r="I117" i="33"/>
  <c r="J117" i="33" s="1"/>
  <c r="AE60" i="46"/>
  <c r="AE80" i="46" s="1"/>
  <c r="G60" i="46"/>
  <c r="G80" i="46" s="1"/>
  <c r="E47" i="41"/>
  <c r="R61" i="40"/>
  <c r="R81" i="40" s="1"/>
  <c r="G62" i="49"/>
  <c r="G82" i="49" s="1"/>
  <c r="AL38" i="41"/>
  <c r="I62" i="49"/>
  <c r="I82" i="49" s="1"/>
  <c r="AB10" i="41"/>
  <c r="Z46" i="41" s="1"/>
  <c r="AB46" i="41" s="1"/>
  <c r="AD46" i="41" s="1"/>
  <c r="AF46" i="41" s="1"/>
  <c r="AH46" i="41" s="1"/>
  <c r="AG16" i="41"/>
  <c r="AN47" i="33"/>
  <c r="R117" i="41"/>
  <c r="S117" i="41" s="1"/>
  <c r="K90" i="33"/>
  <c r="AO90" i="33" s="1"/>
  <c r="I108" i="33"/>
  <c r="P48" i="51"/>
  <c r="P50" i="51" s="1"/>
  <c r="AN62" i="41"/>
  <c r="H69" i="19"/>
  <c r="J69" i="19" s="1"/>
  <c r="H123" i="11"/>
  <c r="K123" i="11" s="1"/>
  <c r="AI16" i="51"/>
  <c r="B133" i="22"/>
  <c r="E133" i="22" s="1"/>
  <c r="P48" i="40"/>
  <c r="P50" i="40" s="1"/>
  <c r="C114" i="41"/>
  <c r="D114" i="41" s="1"/>
  <c r="AO36" i="41"/>
  <c r="AN80" i="41"/>
  <c r="AH115" i="51"/>
  <c r="AE117" i="33"/>
  <c r="AF117" i="33" s="1"/>
  <c r="B16" i="11"/>
  <c r="B64" i="11" s="1"/>
  <c r="B112" i="11" s="1"/>
  <c r="B1" i="9"/>
  <c r="B5" i="9" s="1"/>
  <c r="B1" i="10"/>
  <c r="B12" i="10" s="1"/>
  <c r="I107" i="46"/>
  <c r="F10" i="51"/>
  <c r="S57" i="51" s="1"/>
  <c r="B141" i="12"/>
  <c r="E141" i="12" s="1"/>
  <c r="N81" i="1"/>
  <c r="P81" i="1" s="1"/>
  <c r="AO62" i="46"/>
  <c r="AA117" i="33"/>
  <c r="AB117" i="33" s="1"/>
  <c r="D27" i="24"/>
  <c r="G8" i="31" s="1"/>
  <c r="AP84" i="41"/>
  <c r="AP41" i="41"/>
  <c r="AO63" i="41"/>
  <c r="AO49" i="46"/>
  <c r="AO35" i="33"/>
  <c r="AP72" i="33"/>
  <c r="AP20" i="33"/>
  <c r="AN37" i="33"/>
  <c r="AO46" i="33"/>
  <c r="AO51" i="33"/>
  <c r="AN23" i="33"/>
  <c r="AO91" i="33"/>
  <c r="AP19" i="33"/>
  <c r="AP65" i="33"/>
  <c r="AP68" i="33"/>
  <c r="E111" i="51"/>
  <c r="F111" i="51" s="1"/>
  <c r="E62" i="46"/>
  <c r="E78" i="46" s="1"/>
  <c r="E48" i="40"/>
  <c r="E50" i="40" s="1"/>
  <c r="T114" i="41"/>
  <c r="T116" i="41" s="1"/>
  <c r="N68" i="9"/>
  <c r="Q68" i="9" s="1"/>
  <c r="J8" i="34"/>
  <c r="E108" i="33"/>
  <c r="AL31" i="49"/>
  <c r="AN49" i="46"/>
  <c r="AN31" i="49"/>
  <c r="H113" i="19"/>
  <c r="J113" i="19" s="1"/>
  <c r="B66" i="20"/>
  <c r="E66" i="20" s="1"/>
  <c r="H75" i="11"/>
  <c r="K75" i="11" s="1"/>
  <c r="AG114" i="51"/>
  <c r="AG116" i="51" s="1"/>
  <c r="Y89" i="51"/>
  <c r="AO40" i="41"/>
  <c r="AN25" i="41"/>
  <c r="P47" i="51"/>
  <c r="B69" i="19"/>
  <c r="D69" i="19" s="1"/>
  <c r="B1" i="20"/>
  <c r="B12" i="20" s="1"/>
  <c r="B55" i="20" s="1"/>
  <c r="B99" i="20" s="1"/>
  <c r="B1" i="18"/>
  <c r="B38" i="18" s="1"/>
  <c r="B1" i="11"/>
  <c r="B26" i="11" s="1"/>
  <c r="AE116" i="46"/>
  <c r="AF116" i="46" s="1"/>
  <c r="H81" i="1"/>
  <c r="J81" i="1" s="1"/>
  <c r="AP62" i="46"/>
  <c r="B70" i="19"/>
  <c r="D70" i="19" s="1"/>
  <c r="F9" i="46"/>
  <c r="L59" i="46" s="1"/>
  <c r="AL49" i="49"/>
  <c r="E118" i="49"/>
  <c r="F118" i="49" s="1"/>
  <c r="AP22" i="41"/>
  <c r="AN60" i="41"/>
  <c r="E112" i="51"/>
  <c r="F112" i="51" s="1"/>
  <c r="C78" i="46"/>
  <c r="E47" i="51"/>
  <c r="AA112" i="46"/>
  <c r="AB112" i="46" s="1"/>
  <c r="AL46" i="46"/>
  <c r="B67" i="10"/>
  <c r="E67" i="10" s="1"/>
  <c r="B46" i="1"/>
  <c r="D46" i="1" s="1"/>
  <c r="AN78" i="41"/>
  <c r="AP59" i="41"/>
  <c r="AO41" i="41"/>
  <c r="C114" i="51"/>
  <c r="C116" i="51" s="1"/>
  <c r="H29" i="36"/>
  <c r="H43" i="36" s="1"/>
  <c r="N134" i="22"/>
  <c r="Q134" i="22" s="1"/>
  <c r="B81" i="1"/>
  <c r="D81" i="1" s="1"/>
  <c r="B1" i="12"/>
  <c r="B57" i="12" s="1"/>
  <c r="B61" i="12" s="1"/>
  <c r="B117" i="12" s="1"/>
  <c r="R115" i="49"/>
  <c r="S115" i="49" s="1"/>
  <c r="AC50" i="41"/>
  <c r="AC61" i="41" s="1"/>
  <c r="AC81" i="41" s="1"/>
  <c r="AN32" i="41"/>
  <c r="AO62" i="41"/>
  <c r="E48" i="51"/>
  <c r="E50" i="51" s="1"/>
  <c r="L111" i="51"/>
  <c r="AP88" i="49"/>
  <c r="AO88" i="49"/>
  <c r="G61" i="40"/>
  <c r="G81" i="40" s="1"/>
  <c r="AL38" i="40"/>
  <c r="B111" i="10"/>
  <c r="E111" i="10" s="1"/>
  <c r="AP45" i="41"/>
  <c r="AO33" i="41"/>
  <c r="AL118" i="33"/>
  <c r="AM118" i="33" s="1"/>
  <c r="AP42" i="41"/>
  <c r="AWQ2" i="52"/>
  <c r="AO74" i="41"/>
  <c r="AP78" i="41"/>
  <c r="T88" i="33"/>
  <c r="AO73" i="41"/>
  <c r="B22" i="18"/>
  <c r="N25" i="22"/>
  <c r="N74" i="22" s="1"/>
  <c r="N122" i="22" s="1"/>
  <c r="H114" i="19"/>
  <c r="J114" i="19" s="1"/>
  <c r="I108" i="41"/>
  <c r="H124" i="11"/>
  <c r="K124" i="11" s="1"/>
  <c r="K125" i="11" s="1"/>
  <c r="K127" i="11" s="1"/>
  <c r="P111" i="40"/>
  <c r="Q111" i="40" s="1"/>
  <c r="AP64" i="41"/>
  <c r="AN19" i="41"/>
  <c r="AN70" i="41"/>
  <c r="AL117" i="46"/>
  <c r="AM117" i="46" s="1"/>
  <c r="AN72" i="33"/>
  <c r="AP34" i="33"/>
  <c r="AO72" i="33"/>
  <c r="AO25" i="33"/>
  <c r="AO79" i="33"/>
  <c r="AP45" i="33"/>
  <c r="AP42" i="33"/>
  <c r="AO22" i="33"/>
  <c r="AP26" i="33"/>
  <c r="AO34" i="33"/>
  <c r="AO23" i="33"/>
  <c r="AO32" i="33"/>
  <c r="AP31" i="49"/>
  <c r="AA112" i="41"/>
  <c r="AB112" i="41" s="1"/>
  <c r="AL48" i="41"/>
  <c r="BA65" i="41"/>
  <c r="AL47" i="40"/>
  <c r="K61" i="51"/>
  <c r="K81" i="51" s="1"/>
  <c r="B110" i="20"/>
  <c r="E110" i="20" s="1"/>
  <c r="G117" i="40"/>
  <c r="H117" i="40" s="1"/>
  <c r="V61" i="51"/>
  <c r="AO34" i="41"/>
  <c r="AP72" i="41"/>
  <c r="B69" i="1"/>
  <c r="B72" i="1" s="1"/>
  <c r="AO52" i="49"/>
  <c r="AP80" i="41"/>
  <c r="AP73" i="41"/>
  <c r="AN73" i="41"/>
  <c r="AO42" i="33"/>
  <c r="AN39" i="33"/>
  <c r="AP60" i="33"/>
  <c r="AO26" i="33"/>
  <c r="AN60" i="33"/>
  <c r="AO73" i="33"/>
  <c r="AO49" i="33"/>
  <c r="AN26" i="33"/>
  <c r="AP78" i="33"/>
  <c r="AO62" i="33"/>
  <c r="AN41" i="33"/>
  <c r="AP91" i="33"/>
  <c r="AO84" i="41"/>
  <c r="P111" i="51"/>
  <c r="Q111" i="51" s="1"/>
  <c r="AG60" i="46"/>
  <c r="AG80" i="46" s="1"/>
  <c r="J68" i="24"/>
  <c r="D742" i="47"/>
  <c r="ABJ2" i="52" s="1"/>
  <c r="F43" i="41"/>
  <c r="H43" i="41" s="1"/>
  <c r="J43" i="41" s="1"/>
  <c r="L43" i="41" s="1"/>
  <c r="N46" i="1"/>
  <c r="P46" i="1" s="1"/>
  <c r="Y100" i="49"/>
  <c r="AE87" i="49"/>
  <c r="AE98" i="49" s="1"/>
  <c r="I114" i="33"/>
  <c r="Q49" i="41"/>
  <c r="S49" i="41" s="1"/>
  <c r="U49" i="41" s="1"/>
  <c r="AP35" i="41"/>
  <c r="AN23" i="41"/>
  <c r="AP34" i="41"/>
  <c r="AO55" i="41"/>
  <c r="AN47" i="41"/>
  <c r="AO45" i="41"/>
  <c r="AN27" i="41"/>
  <c r="AP65" i="41"/>
  <c r="AN58" i="41"/>
  <c r="AP48" i="41"/>
  <c r="AO28" i="41"/>
  <c r="AP18" i="41"/>
  <c r="AN46" i="41"/>
  <c r="AP70" i="41"/>
  <c r="AO25" i="41"/>
  <c r="AO43" i="41"/>
  <c r="AN59" i="41"/>
  <c r="BB62" i="41"/>
  <c r="AO24" i="41"/>
  <c r="AZ59" i="41"/>
  <c r="AP75" i="41"/>
  <c r="AP63" i="41"/>
  <c r="AO29" i="41"/>
  <c r="AN43" i="41"/>
  <c r="AN39" i="41"/>
  <c r="AP60" i="41"/>
  <c r="AO65" i="41"/>
  <c r="AN76" i="41"/>
  <c r="AP89" i="41"/>
  <c r="AN22" i="41"/>
  <c r="AN68" i="41"/>
  <c r="AN74" i="41"/>
  <c r="AN20" i="41"/>
  <c r="AN44" i="41"/>
  <c r="AN35" i="41"/>
  <c r="AN21" i="41"/>
  <c r="AN49" i="41"/>
  <c r="AO23" i="41"/>
  <c r="BA50" i="41"/>
  <c r="AN91" i="41"/>
  <c r="AO17" i="41"/>
  <c r="AO35" i="41"/>
  <c r="AP62" i="41"/>
  <c r="AP24" i="41"/>
  <c r="AN18" i="41"/>
  <c r="AN31" i="41"/>
  <c r="AN48" i="41"/>
  <c r="AP55" i="41"/>
  <c r="AN33" i="41"/>
  <c r="AN38" i="41"/>
  <c r="AP76" i="41"/>
  <c r="AP25" i="41"/>
  <c r="AP40" i="41"/>
  <c r="AP46" i="41"/>
  <c r="AN17" i="41"/>
  <c r="AO76" i="41"/>
  <c r="AO22" i="41"/>
  <c r="AO32" i="41"/>
  <c r="AN36" i="41"/>
  <c r="AZ61" i="41"/>
  <c r="AP47" i="41"/>
  <c r="AO47" i="41"/>
  <c r="AP44" i="41"/>
  <c r="BA70" i="41"/>
  <c r="AN50" i="41"/>
  <c r="AP50" i="41"/>
  <c r="AO69" i="41"/>
  <c r="AN24" i="41"/>
  <c r="AO91" i="41"/>
  <c r="AP38" i="41"/>
  <c r="AP74" i="41"/>
  <c r="AN55" i="41"/>
  <c r="AN28" i="41"/>
  <c r="AO46" i="41"/>
  <c r="AP58" i="41"/>
  <c r="AP49" i="41"/>
  <c r="AN45" i="41"/>
  <c r="AN29" i="41"/>
  <c r="AP19" i="41"/>
  <c r="BA31" i="41"/>
  <c r="BA60" i="41"/>
  <c r="AP37" i="41"/>
  <c r="AN63" i="41"/>
  <c r="AN72" i="41"/>
  <c r="AO20" i="41"/>
  <c r="AN69" i="41"/>
  <c r="AN65" i="41"/>
  <c r="AO18" i="41"/>
  <c r="AP28" i="41"/>
  <c r="AO37" i="41"/>
  <c r="AN64" i="41"/>
  <c r="AO89" i="41"/>
  <c r="AP36" i="41"/>
  <c r="AO21" i="41"/>
  <c r="AN75" i="41"/>
  <c r="AO48" i="41"/>
  <c r="AP68" i="41"/>
  <c r="AO42" i="41"/>
  <c r="BA12" i="41"/>
  <c r="AO75" i="41"/>
  <c r="AP27" i="41"/>
  <c r="AP39" i="41"/>
  <c r="BA55" i="41"/>
  <c r="AO26" i="41"/>
  <c r="AP69" i="41"/>
  <c r="AP43" i="41"/>
  <c r="AN34" i="41"/>
  <c r="AP29" i="41"/>
  <c r="AO51" i="41"/>
  <c r="AO72" i="41"/>
  <c r="AO59" i="41"/>
  <c r="AO50" i="41"/>
  <c r="AP17" i="41"/>
  <c r="AO58" i="41"/>
  <c r="AO60" i="41"/>
  <c r="AO64" i="41"/>
  <c r="AO78" i="41"/>
  <c r="AO70" i="41"/>
  <c r="AP33" i="41"/>
  <c r="AO49" i="41"/>
  <c r="AN40" i="41"/>
  <c r="AO39" i="41"/>
  <c r="AN26" i="41"/>
  <c r="AO44" i="41"/>
  <c r="AP21" i="41"/>
  <c r="AO38" i="41"/>
  <c r="AP32" i="41"/>
  <c r="AP91" i="41"/>
  <c r="AN42" i="41"/>
  <c r="BA18" i="41"/>
  <c r="AO80" i="41"/>
  <c r="AO31" i="41"/>
  <c r="E114" i="49"/>
  <c r="F114" i="49" s="1"/>
  <c r="N51" i="49"/>
  <c r="C115" i="49"/>
  <c r="C117" i="49" s="1"/>
  <c r="AYF2" i="52"/>
  <c r="C25" i="24"/>
  <c r="C31" i="24" s="1"/>
  <c r="AWK2" i="52"/>
  <c r="YG2" i="52"/>
  <c r="R61" i="33"/>
  <c r="R81" i="33" s="1"/>
  <c r="R4" i="37"/>
  <c r="D647" i="47" s="1"/>
  <c r="XV2" i="52" s="1"/>
  <c r="O9" i="24"/>
  <c r="D218" i="47" s="1"/>
  <c r="HI2" i="52" s="1"/>
  <c r="AG16" i="40"/>
  <c r="AL16" i="40" s="1"/>
  <c r="AC115" i="49"/>
  <c r="AC117" i="49" s="1"/>
  <c r="R113" i="46"/>
  <c r="S113" i="46" s="1"/>
  <c r="AP52" i="49"/>
  <c r="BB67" i="41"/>
  <c r="BB75" i="41"/>
  <c r="BB14" i="41"/>
  <c r="AZ20" i="41"/>
  <c r="G12" i="43"/>
  <c r="AC60" i="46"/>
  <c r="AC80" i="46" s="1"/>
  <c r="AL30" i="51"/>
  <c r="E79" i="51"/>
  <c r="AA79" i="51"/>
  <c r="G4" i="42"/>
  <c r="H4" i="42"/>
  <c r="O4" i="42"/>
  <c r="BB12" i="41"/>
  <c r="F1" i="7"/>
  <c r="F35" i="7" s="1"/>
  <c r="H56" i="16"/>
  <c r="H68" i="16" s="1"/>
  <c r="D229" i="47" s="1"/>
  <c r="HT2" i="52" s="1"/>
  <c r="Y97" i="40"/>
  <c r="AA16" i="40"/>
  <c r="BB70" i="41"/>
  <c r="AZ14" i="41"/>
  <c r="BA13" i="41"/>
  <c r="AZ52" i="41"/>
  <c r="I118" i="49"/>
  <c r="J118" i="49" s="1"/>
  <c r="AO80" i="49"/>
  <c r="P67" i="24"/>
  <c r="AP80" i="49"/>
  <c r="AA80" i="49"/>
  <c r="AB50" i="49"/>
  <c r="AD50" i="49" s="1"/>
  <c r="AF50" i="49" s="1"/>
  <c r="AH50" i="49" s="1"/>
  <c r="T114" i="40"/>
  <c r="T116" i="40" s="1"/>
  <c r="E113" i="40"/>
  <c r="F113" i="40" s="1"/>
  <c r="AC114" i="41"/>
  <c r="AD114" i="41" s="1"/>
  <c r="BA58" i="41"/>
  <c r="AZ58" i="41"/>
  <c r="BB15" i="41"/>
  <c r="F11" i="44"/>
  <c r="N117" i="41"/>
  <c r="O117" i="41" s="1"/>
  <c r="R117" i="40"/>
  <c r="S117" i="40" s="1"/>
  <c r="AE61" i="41"/>
  <c r="BB39" i="41"/>
  <c r="BA76" i="41"/>
  <c r="BB19" i="41"/>
  <c r="BA21" i="41"/>
  <c r="BB50" i="41"/>
  <c r="AL113" i="33"/>
  <c r="AM113" i="33" s="1"/>
  <c r="Y122" i="40"/>
  <c r="Y101" i="40" s="1"/>
  <c r="C114" i="33"/>
  <c r="D114" i="33" s="1"/>
  <c r="BA59" i="41"/>
  <c r="BB60" i="41"/>
  <c r="BB72" i="41"/>
  <c r="R61" i="41"/>
  <c r="R81" i="41" s="1"/>
  <c r="G114" i="40"/>
  <c r="H114" i="40" s="1"/>
  <c r="K117" i="33"/>
  <c r="L117" i="33" s="1"/>
  <c r="BA22" i="41"/>
  <c r="BB21" i="41"/>
  <c r="BA53" i="41"/>
  <c r="AZ76" i="41"/>
  <c r="AZ78" i="41"/>
  <c r="H56" i="36"/>
  <c r="H70" i="36" s="1"/>
  <c r="AL16" i="33"/>
  <c r="AL118" i="41"/>
  <c r="AM118" i="41" s="1"/>
  <c r="AL116" i="49"/>
  <c r="AM116" i="49" s="1"/>
  <c r="AC114" i="33"/>
  <c r="AD114" i="33" s="1"/>
  <c r="AZ60" i="41"/>
  <c r="BA51" i="41"/>
  <c r="AZ66" i="41"/>
  <c r="AZ75" i="41"/>
  <c r="BB23" i="41"/>
  <c r="BA63" i="41"/>
  <c r="BB13" i="41"/>
  <c r="P108" i="41"/>
  <c r="AA79" i="41"/>
  <c r="G6" i="54"/>
  <c r="J3" i="27"/>
  <c r="K2" i="27"/>
  <c r="K3" i="27" s="1"/>
  <c r="V117" i="33"/>
  <c r="W117" i="33" s="1"/>
  <c r="T117" i="33"/>
  <c r="U117" i="33" s="1"/>
  <c r="AL51" i="33"/>
  <c r="AA37" i="46"/>
  <c r="AA47" i="46"/>
  <c r="AA49" i="46" s="1"/>
  <c r="AA111" i="46"/>
  <c r="AB111" i="46" s="1"/>
  <c r="AN29" i="46"/>
  <c r="AO29" i="46"/>
  <c r="D4" i="42"/>
  <c r="R107" i="46"/>
  <c r="T89" i="46"/>
  <c r="AP89" i="40"/>
  <c r="N114" i="40"/>
  <c r="O114" i="40" s="1"/>
  <c r="AO38" i="40"/>
  <c r="AO46" i="40"/>
  <c r="AN32" i="40"/>
  <c r="AE113" i="46"/>
  <c r="AC117" i="41"/>
  <c r="AD117" i="41" s="1"/>
  <c r="AA48" i="33"/>
  <c r="AA30" i="33"/>
  <c r="AL52" i="49"/>
  <c r="AE118" i="49"/>
  <c r="AF118" i="49" s="1"/>
  <c r="AL16" i="51"/>
  <c r="Y105" i="33"/>
  <c r="AE105" i="33"/>
  <c r="AE103" i="33" s="1"/>
  <c r="W112" i="40"/>
  <c r="V114" i="40"/>
  <c r="AB40" i="33"/>
  <c r="AB44" i="33"/>
  <c r="AF38" i="33"/>
  <c r="T108" i="40"/>
  <c r="V90" i="40"/>
  <c r="V108" i="40" s="1"/>
  <c r="K114" i="40"/>
  <c r="L114" i="40" s="1"/>
  <c r="L111" i="40"/>
  <c r="AB60" i="33"/>
  <c r="AP18" i="40"/>
  <c r="AN44" i="40"/>
  <c r="AN46" i="40"/>
  <c r="AP28" i="40"/>
  <c r="AP55" i="40"/>
  <c r="AO62" i="40"/>
  <c r="AN25" i="40"/>
  <c r="AO27" i="40"/>
  <c r="AN19" i="40"/>
  <c r="AP33" i="40"/>
  <c r="AO78" i="40"/>
  <c r="AN75" i="40"/>
  <c r="AP44" i="40"/>
  <c r="AO17" i="40"/>
  <c r="AO55" i="40"/>
  <c r="AO72" i="40"/>
  <c r="AO84" i="40"/>
  <c r="AN55" i="40"/>
  <c r="AP74" i="40"/>
  <c r="AO68" i="40"/>
  <c r="AN40" i="40"/>
  <c r="AP59" i="40"/>
  <c r="AN49" i="40"/>
  <c r="AO26" i="40"/>
  <c r="AP37" i="40"/>
  <c r="AP79" i="40"/>
  <c r="AP62" i="40"/>
  <c r="AP64" i="40"/>
  <c r="AP91" i="40"/>
  <c r="AN47" i="40"/>
  <c r="AP60" i="40"/>
  <c r="AN42" i="40"/>
  <c r="AP38" i="40"/>
  <c r="AN60" i="40"/>
  <c r="AN20" i="40"/>
  <c r="AP39" i="40"/>
  <c r="AN22" i="40"/>
  <c r="AO20" i="40"/>
  <c r="AP34" i="40"/>
  <c r="AO80" i="40"/>
  <c r="AO63" i="40"/>
  <c r="AO73" i="40"/>
  <c r="AP69" i="40"/>
  <c r="AN58" i="40"/>
  <c r="AP76" i="40"/>
  <c r="AN72" i="40"/>
  <c r="AP72" i="40"/>
  <c r="AO40" i="40"/>
  <c r="AO59" i="40"/>
  <c r="AP45" i="40"/>
  <c r="AP21" i="40"/>
  <c r="AO42" i="40"/>
  <c r="AO70" i="40"/>
  <c r="AO47" i="40"/>
  <c r="AN33" i="40"/>
  <c r="AO28" i="40"/>
  <c r="AO18" i="40"/>
  <c r="AN45" i="40"/>
  <c r="AN91" i="40"/>
  <c r="AO69" i="40"/>
  <c r="AP78" i="40"/>
  <c r="AN62" i="40"/>
  <c r="AP32" i="40"/>
  <c r="AO25" i="40"/>
  <c r="AN21" i="40"/>
  <c r="AO33" i="40"/>
  <c r="AO43" i="40"/>
  <c r="AP63" i="40"/>
  <c r="AN74" i="40"/>
  <c r="AO65" i="40"/>
  <c r="AP29" i="40"/>
  <c r="AO45" i="40"/>
  <c r="AN27" i="40"/>
  <c r="AO29" i="40"/>
  <c r="AN65" i="40"/>
  <c r="AN37" i="40"/>
  <c r="AP36" i="40"/>
  <c r="AP84" i="40"/>
  <c r="AP23" i="40"/>
  <c r="AN38" i="40"/>
  <c r="AO24" i="40"/>
  <c r="AN26" i="40"/>
  <c r="AP80" i="40"/>
  <c r="AN18" i="40"/>
  <c r="AO32" i="40"/>
  <c r="AN41" i="40"/>
  <c r="AP47" i="40"/>
  <c r="AP20" i="40"/>
  <c r="AO79" i="40"/>
  <c r="AO21" i="40"/>
  <c r="AP49" i="40"/>
  <c r="AN68" i="40"/>
  <c r="AO58" i="40"/>
  <c r="AO44" i="40"/>
  <c r="AP19" i="40"/>
  <c r="AP58" i="40"/>
  <c r="AN64" i="40"/>
  <c r="AN36" i="40"/>
  <c r="AP40" i="40"/>
  <c r="AO89" i="40"/>
  <c r="AO41" i="40"/>
  <c r="AO30" i="40"/>
  <c r="AP35" i="40"/>
  <c r="AP24" i="40"/>
  <c r="AN29" i="40"/>
  <c r="AO19" i="40"/>
  <c r="AN43" i="40"/>
  <c r="AO91" i="40"/>
  <c r="AN24" i="40"/>
  <c r="AO74" i="40"/>
  <c r="AN80" i="40"/>
  <c r="AN63" i="40"/>
  <c r="AP26" i="40"/>
  <c r="AN31" i="40"/>
  <c r="AO75" i="40"/>
  <c r="AO35" i="40"/>
  <c r="H112" i="41"/>
  <c r="G114" i="41"/>
  <c r="E38" i="40"/>
  <c r="E112" i="40"/>
  <c r="J64" i="41"/>
  <c r="L64" i="41" s="1"/>
  <c r="AZ64" i="41"/>
  <c r="J111" i="46"/>
  <c r="I113" i="46"/>
  <c r="J113" i="46" s="1"/>
  <c r="AP41" i="40"/>
  <c r="AP30" i="40"/>
  <c r="AP73" i="40"/>
  <c r="AN28" i="40"/>
  <c r="AN79" i="40"/>
  <c r="AP46" i="40"/>
  <c r="AP29" i="46"/>
  <c r="AH111" i="51"/>
  <c r="AL111" i="51"/>
  <c r="AM111" i="51" s="1"/>
  <c r="AH112" i="51"/>
  <c r="AL112" i="51"/>
  <c r="AM112" i="51" s="1"/>
  <c r="C108" i="41"/>
  <c r="C117" i="41"/>
  <c r="D117" i="41" s="1"/>
  <c r="E51" i="41"/>
  <c r="R114" i="33"/>
  <c r="R116" i="33" s="1"/>
  <c r="S112" i="33"/>
  <c r="AF112" i="51"/>
  <c r="AE114" i="51"/>
  <c r="AF114" i="51" s="1"/>
  <c r="P30" i="41"/>
  <c r="P48" i="41"/>
  <c r="P50" i="41" s="1"/>
  <c r="P111" i="41"/>
  <c r="P113" i="41"/>
  <c r="Q113" i="41" s="1"/>
  <c r="P47" i="41"/>
  <c r="P79" i="41"/>
  <c r="AG50" i="41"/>
  <c r="AG61" i="41" s="1"/>
  <c r="AO49" i="49"/>
  <c r="K51" i="49"/>
  <c r="AP51" i="49" s="1"/>
  <c r="AP49" i="49"/>
  <c r="AN49" i="49"/>
  <c r="P31" i="49"/>
  <c r="P49" i="49"/>
  <c r="P51" i="49" s="1"/>
  <c r="P112" i="49"/>
  <c r="Q112" i="49" s="1"/>
  <c r="R62" i="49"/>
  <c r="R82" i="49" s="1"/>
  <c r="N118" i="49"/>
  <c r="O118" i="49" s="1"/>
  <c r="AA39" i="49"/>
  <c r="AA113" i="49"/>
  <c r="AB113" i="49" s="1"/>
  <c r="Y99" i="41"/>
  <c r="AG86" i="41"/>
  <c r="AYW2" i="52"/>
  <c r="E31" i="49"/>
  <c r="E49" i="49"/>
  <c r="E51" i="49" s="1"/>
  <c r="E112" i="49"/>
  <c r="F112" i="49" s="1"/>
  <c r="N117" i="51"/>
  <c r="O117" i="51" s="1"/>
  <c r="R117" i="51"/>
  <c r="S117" i="51" s="1"/>
  <c r="AG50" i="51"/>
  <c r="AG61" i="51" s="1"/>
  <c r="AG81" i="51" s="1"/>
  <c r="AL48" i="51"/>
  <c r="AH59" i="33"/>
  <c r="B142" i="12"/>
  <c r="E142" i="12" s="1"/>
  <c r="E143" i="12" s="1"/>
  <c r="E145" i="12" s="1"/>
  <c r="AN59" i="40"/>
  <c r="AP43" i="40"/>
  <c r="AN78" i="40"/>
  <c r="AO64" i="40"/>
  <c r="AO23" i="40"/>
  <c r="AL119" i="49"/>
  <c r="AM119" i="49" s="1"/>
  <c r="AO76" i="40"/>
  <c r="AF112" i="41"/>
  <c r="AE114" i="41"/>
  <c r="AE116" i="41" s="1"/>
  <c r="L111" i="33"/>
  <c r="K114" i="33"/>
  <c r="L114" i="33" s="1"/>
  <c r="T114" i="33"/>
  <c r="U112" i="33"/>
  <c r="C108" i="51"/>
  <c r="K117" i="51"/>
  <c r="L117" i="51" s="1"/>
  <c r="C117" i="51"/>
  <c r="D117" i="51" s="1"/>
  <c r="E51" i="51"/>
  <c r="I114" i="51"/>
  <c r="J114" i="51" s="1"/>
  <c r="J112" i="51"/>
  <c r="K116" i="46"/>
  <c r="L116" i="46" s="1"/>
  <c r="AP50" i="46"/>
  <c r="AP108" i="46" s="1"/>
  <c r="K60" i="46"/>
  <c r="AO60" i="46" s="1"/>
  <c r="AN50" i="46"/>
  <c r="AN108" i="46" s="1"/>
  <c r="AL50" i="46"/>
  <c r="AO50" i="46"/>
  <c r="AO108" i="46" s="1"/>
  <c r="AO30" i="41"/>
  <c r="AL30" i="41"/>
  <c r="AP30" i="41"/>
  <c r="AN30" i="41"/>
  <c r="K117" i="41"/>
  <c r="L117" i="41" s="1"/>
  <c r="AL51" i="41"/>
  <c r="AN51" i="41"/>
  <c r="AP51" i="41"/>
  <c r="K50" i="40"/>
  <c r="K61" i="40" s="1"/>
  <c r="AN48" i="40"/>
  <c r="AP48" i="40"/>
  <c r="AO48" i="40"/>
  <c r="AO51" i="40"/>
  <c r="AP51" i="40"/>
  <c r="K117" i="40"/>
  <c r="L117" i="40" s="1"/>
  <c r="AN51" i="40"/>
  <c r="AL48" i="40"/>
  <c r="AG50" i="40"/>
  <c r="AP39" i="49"/>
  <c r="AL39" i="49"/>
  <c r="AO39" i="49"/>
  <c r="AZ51" i="41"/>
  <c r="BB51" i="41"/>
  <c r="J51" i="41"/>
  <c r="L51" i="41" s="1"/>
  <c r="J77" i="41"/>
  <c r="L77" i="41" s="1"/>
  <c r="AZ77" i="41"/>
  <c r="J111" i="40"/>
  <c r="I114" i="40"/>
  <c r="J114" i="40" s="1"/>
  <c r="E28" i="45"/>
  <c r="R4" i="42" s="1"/>
  <c r="D699" i="47" s="1"/>
  <c r="AXK2" i="52" s="1"/>
  <c r="AL29" i="46"/>
  <c r="E117" i="33"/>
  <c r="F117" i="33" s="1"/>
  <c r="AD111" i="40"/>
  <c r="AC114" i="40"/>
  <c r="AC116" i="40" s="1"/>
  <c r="S112" i="40"/>
  <c r="R114" i="40"/>
  <c r="AN48" i="33"/>
  <c r="AO48" i="33"/>
  <c r="K50" i="33"/>
  <c r="U49" i="39" s="1"/>
  <c r="AL48" i="33"/>
  <c r="AG50" i="33"/>
  <c r="AG61" i="33" s="1"/>
  <c r="AG81" i="33" s="1"/>
  <c r="N114" i="33"/>
  <c r="O114" i="33" s="1"/>
  <c r="O111" i="33"/>
  <c r="E46" i="46"/>
  <c r="E112" i="46"/>
  <c r="F112" i="46" s="1"/>
  <c r="E47" i="46"/>
  <c r="E49" i="46" s="1"/>
  <c r="AA30" i="41"/>
  <c r="AA111" i="41"/>
  <c r="AB111" i="41" s="1"/>
  <c r="AA47" i="41"/>
  <c r="AA113" i="41"/>
  <c r="H6" i="34"/>
  <c r="E7" i="34"/>
  <c r="H7" i="34" s="1"/>
  <c r="AO90" i="41"/>
  <c r="AN90" i="41"/>
  <c r="ZD2" i="52"/>
  <c r="AWT2" i="52"/>
  <c r="ABC2" i="52"/>
  <c r="AYS2" i="52"/>
  <c r="J26" i="24"/>
  <c r="C114" i="40"/>
  <c r="D114" i="40" s="1"/>
  <c r="AO22" i="40"/>
  <c r="AP70" i="40"/>
  <c r="AP65" i="40"/>
  <c r="AN34" i="40"/>
  <c r="AN70" i="40"/>
  <c r="T113" i="46"/>
  <c r="U113" i="46" s="1"/>
  <c r="W118" i="40"/>
  <c r="AL118" i="40"/>
  <c r="AM118" i="40" s="1"/>
  <c r="R117" i="33"/>
  <c r="S117" i="33" s="1"/>
  <c r="N117" i="33"/>
  <c r="O117" i="33" s="1"/>
  <c r="AC117" i="51"/>
  <c r="AD117" i="51" s="1"/>
  <c r="AE117" i="51"/>
  <c r="AF117" i="51" s="1"/>
  <c r="L4" i="42"/>
  <c r="P4" i="42"/>
  <c r="C4" i="42"/>
  <c r="R91" i="49"/>
  <c r="T91" i="49" s="1"/>
  <c r="P109" i="49"/>
  <c r="AA108" i="41"/>
  <c r="AZ67" i="41"/>
  <c r="AZ31" i="41"/>
  <c r="BA20" i="41"/>
  <c r="BB24" i="41"/>
  <c r="AZ17" i="41"/>
  <c r="BA16" i="41"/>
  <c r="BA52" i="41"/>
  <c r="AZ50" i="41"/>
  <c r="K3" i="34"/>
  <c r="AE62" i="49"/>
  <c r="E16" i="51"/>
  <c r="T61" i="40"/>
  <c r="T81" i="40" s="1"/>
  <c r="BB78" i="41"/>
  <c r="E80" i="49"/>
  <c r="Y98" i="41"/>
  <c r="T61" i="33"/>
  <c r="T81" i="33" s="1"/>
  <c r="P107" i="46"/>
  <c r="E107" i="46"/>
  <c r="AL112" i="46"/>
  <c r="AM112" i="46" s="1"/>
  <c r="AE61" i="51"/>
  <c r="AE81" i="51" s="1"/>
  <c r="BB17" i="41"/>
  <c r="G115" i="49"/>
  <c r="G117" i="49" s="1"/>
  <c r="T61" i="41"/>
  <c r="T81" i="41" s="1"/>
  <c r="I16" i="51"/>
  <c r="AZ13" i="41"/>
  <c r="BA23" i="41"/>
  <c r="BA17" i="41"/>
  <c r="BA39" i="41"/>
  <c r="AZ53" i="41"/>
  <c r="AZ65" i="41"/>
  <c r="K61" i="41"/>
  <c r="AA117" i="51"/>
  <c r="AB117" i="51" s="1"/>
  <c r="G107" i="46"/>
  <c r="G108" i="41"/>
  <c r="BA72" i="41"/>
  <c r="BA48" i="41"/>
  <c r="AZ63" i="41"/>
  <c r="AZ16" i="41"/>
  <c r="BB58" i="41"/>
  <c r="AZ39" i="41"/>
  <c r="I114" i="41"/>
  <c r="J114" i="41" s="1"/>
  <c r="BA67" i="41"/>
  <c r="AZ62" i="41"/>
  <c r="I117" i="41"/>
  <c r="J117" i="41" s="1"/>
  <c r="AZN2" i="52"/>
  <c r="ANN2" i="52"/>
  <c r="N133" i="22"/>
  <c r="Q133" i="22" s="1"/>
  <c r="AA108" i="40"/>
  <c r="Y88" i="51"/>
  <c r="P68" i="24"/>
  <c r="P79" i="51"/>
  <c r="AL79" i="51"/>
  <c r="C80" i="49"/>
  <c r="Y114" i="40"/>
  <c r="Z114" i="40" s="1"/>
  <c r="AC114" i="51"/>
  <c r="AC116" i="51" s="1"/>
  <c r="P79" i="40"/>
  <c r="AA79" i="40"/>
  <c r="AL79" i="40"/>
  <c r="P38" i="51"/>
  <c r="AL47" i="51"/>
  <c r="C51" i="49"/>
  <c r="E79" i="41"/>
  <c r="AC61" i="51"/>
  <c r="AC81" i="51" s="1"/>
  <c r="AE114" i="33"/>
  <c r="AE116" i="33" s="1"/>
  <c r="P46" i="46"/>
  <c r="T62" i="49"/>
  <c r="T82" i="49" s="1"/>
  <c r="AA112" i="51"/>
  <c r="AB112" i="51" s="1"/>
  <c r="T61" i="51"/>
  <c r="T81" i="51" s="1"/>
  <c r="H157" i="12"/>
  <c r="H120" i="12" s="1"/>
  <c r="K120" i="12" s="1"/>
  <c r="B1" i="19"/>
  <c r="H3" i="34"/>
  <c r="Y97" i="41"/>
  <c r="J6" i="54"/>
  <c r="ASB2" i="52"/>
  <c r="OD2" i="52"/>
  <c r="Q144" i="12"/>
  <c r="Q146" i="12" s="1"/>
  <c r="Q145" i="12"/>
  <c r="N157" i="12"/>
  <c r="N120" i="12" s="1"/>
  <c r="Q120" i="12" s="1"/>
  <c r="K145" i="12"/>
  <c r="K144" i="12"/>
  <c r="K146" i="12" s="1"/>
  <c r="K88" i="12"/>
  <c r="K90" i="12" s="1"/>
  <c r="K89" i="12"/>
  <c r="E88" i="12"/>
  <c r="E90" i="12" s="1"/>
  <c r="E89" i="12"/>
  <c r="Q88" i="12"/>
  <c r="Q90" i="12" s="1"/>
  <c r="Q89" i="12"/>
  <c r="E33" i="12"/>
  <c r="E32" i="12"/>
  <c r="E34" i="12" s="1"/>
  <c r="Q32" i="12"/>
  <c r="Q34" i="12" s="1"/>
  <c r="Q33" i="12"/>
  <c r="K33" i="12"/>
  <c r="K32" i="12"/>
  <c r="K34" i="12" s="1"/>
  <c r="E127" i="11"/>
  <c r="E126" i="11"/>
  <c r="E128" i="11" s="1"/>
  <c r="Q126" i="11"/>
  <c r="Q128" i="11" s="1"/>
  <c r="Q127" i="11"/>
  <c r="Q78" i="11"/>
  <c r="Q80" i="11" s="1"/>
  <c r="Q79" i="11"/>
  <c r="E31" i="11"/>
  <c r="E30" i="11"/>
  <c r="E32" i="11" s="1"/>
  <c r="Q30" i="11"/>
  <c r="Q32" i="11" s="1"/>
  <c r="Q31" i="11"/>
  <c r="K31" i="11"/>
  <c r="K30" i="11"/>
  <c r="K32" i="11" s="1"/>
  <c r="Q71" i="9"/>
  <c r="Q73" i="9" s="1"/>
  <c r="Q72" i="9"/>
  <c r="K27" i="9"/>
  <c r="K29" i="9" s="1"/>
  <c r="K28" i="9"/>
  <c r="Q27" i="9"/>
  <c r="Q29" i="9" s="1"/>
  <c r="Q28" i="9"/>
  <c r="K115" i="9"/>
  <c r="K117" i="9" s="1"/>
  <c r="K116" i="9"/>
  <c r="I6" i="54"/>
  <c r="V15" i="48"/>
  <c r="AQC2" i="52"/>
  <c r="AAC2" i="52"/>
  <c r="AHC2" i="52"/>
  <c r="D6" i="30"/>
  <c r="B9" i="30" s="1"/>
  <c r="AG89" i="46"/>
  <c r="AG107" i="46" s="1"/>
  <c r="AE107" i="46"/>
  <c r="AE90" i="41"/>
  <c r="AG90" i="41" s="1"/>
  <c r="AG108" i="41" s="1"/>
  <c r="AC108" i="41"/>
  <c r="V88" i="33"/>
  <c r="Y99" i="49"/>
  <c r="Y87" i="51"/>
  <c r="K108" i="41"/>
  <c r="AC107" i="46"/>
  <c r="AXA2" i="52"/>
  <c r="D56" i="36"/>
  <c r="D70" i="36" s="1"/>
  <c r="Y98" i="49"/>
  <c r="AC87" i="49"/>
  <c r="AC99" i="49" s="1"/>
  <c r="AA107" i="46"/>
  <c r="P27" i="24"/>
  <c r="AC108" i="51"/>
  <c r="AE90" i="51"/>
  <c r="AG90" i="51" s="1"/>
  <c r="AG108" i="51" s="1"/>
  <c r="D1" i="31"/>
  <c r="AWX2" i="52"/>
  <c r="AMW2" i="52"/>
  <c r="E7" i="30"/>
  <c r="AWD2" i="52"/>
  <c r="D56" i="16"/>
  <c r="D64" i="16" s="1"/>
  <c r="D194" i="47" s="1"/>
  <c r="GK2" i="52" s="1"/>
  <c r="E109" i="49"/>
  <c r="O8" i="24"/>
  <c r="D2" i="31" s="1"/>
  <c r="AVK2" i="52"/>
  <c r="J27" i="24"/>
  <c r="AC99" i="41"/>
  <c r="AA108" i="51"/>
  <c r="AE91" i="49"/>
  <c r="AC109" i="49"/>
  <c r="R108" i="33"/>
  <c r="T90" i="33"/>
  <c r="G108" i="51"/>
  <c r="I90" i="51"/>
  <c r="I37" i="24"/>
  <c r="I48" i="10" s="1"/>
  <c r="I66" i="10" s="1"/>
  <c r="I36" i="24"/>
  <c r="I4" i="1" s="1"/>
  <c r="N39" i="19"/>
  <c r="B6" i="7"/>
  <c r="B9" i="7" s="1"/>
  <c r="P26" i="24"/>
  <c r="AIG2" i="52"/>
  <c r="ANL2" i="52"/>
  <c r="ATJ2" i="52"/>
  <c r="D732" i="47"/>
  <c r="AAZ2" i="52" s="1"/>
  <c r="J7" i="39"/>
  <c r="N1" i="20"/>
  <c r="N4" i="20" s="1"/>
  <c r="N50" i="22"/>
  <c r="N84" i="22" s="1"/>
  <c r="N34" i="1"/>
  <c r="N45" i="1" s="1"/>
  <c r="N80" i="1" s="1"/>
  <c r="P31" i="24"/>
  <c r="D44" i="47" s="1"/>
  <c r="AQ2" i="52" s="1"/>
  <c r="N4" i="24"/>
  <c r="Q26" i="24"/>
  <c r="N1" i="19"/>
  <c r="N23" i="19" s="1"/>
  <c r="I7" i="30"/>
  <c r="B29" i="36"/>
  <c r="B41" i="36" s="1"/>
  <c r="D309" i="47" s="1"/>
  <c r="KV2" i="52" s="1"/>
  <c r="B52" i="24"/>
  <c r="C52" i="24" s="1"/>
  <c r="D1" i="7"/>
  <c r="D2" i="16"/>
  <c r="D5" i="16" s="1"/>
  <c r="D61" i="47" s="1"/>
  <c r="BH2" i="52" s="1"/>
  <c r="AWJ2" i="52"/>
  <c r="N98" i="22"/>
  <c r="N132" i="22" s="1"/>
  <c r="Q25" i="24"/>
  <c r="P66" i="24"/>
  <c r="P72" i="24" s="1"/>
  <c r="N22" i="18"/>
  <c r="N4" i="18"/>
  <c r="N41" i="18" s="1"/>
  <c r="N1" i="1"/>
  <c r="N12" i="1" s="1"/>
  <c r="Q66" i="24"/>
  <c r="P32" i="24"/>
  <c r="P73" i="24" s="1"/>
  <c r="N69" i="1"/>
  <c r="N72" i="1" s="1"/>
  <c r="B55" i="36"/>
  <c r="N97" i="11"/>
  <c r="N122" i="11" s="1"/>
  <c r="N1" i="10"/>
  <c r="N22" i="10" s="1"/>
  <c r="Q67" i="24"/>
  <c r="Q27" i="24"/>
  <c r="Q68" i="24"/>
  <c r="B55" i="16"/>
  <c r="N1" i="18"/>
  <c r="N38" i="18" s="1"/>
  <c r="N1" i="22"/>
  <c r="N5" i="22" s="1"/>
  <c r="N1" i="12"/>
  <c r="N1" i="9"/>
  <c r="N23" i="9" s="1"/>
  <c r="N49" i="11"/>
  <c r="N53" i="11" s="1"/>
  <c r="Q7" i="39"/>
  <c r="J8" i="7"/>
  <c r="L94" i="40"/>
  <c r="N101" i="33"/>
  <c r="N103" i="33" s="1"/>
  <c r="G101" i="33"/>
  <c r="G103" i="33" s="1"/>
  <c r="D6" i="7"/>
  <c r="D9" i="7" s="1"/>
  <c r="AF29" i="33"/>
  <c r="Z37" i="33"/>
  <c r="Z45" i="33"/>
  <c r="AD28" i="33"/>
  <c r="AF33" i="33"/>
  <c r="AB58" i="33"/>
  <c r="AH46" i="33"/>
  <c r="AF37" i="33"/>
  <c r="AD32" i="33"/>
  <c r="AB25" i="33"/>
  <c r="AB37" i="33"/>
  <c r="B1" i="31"/>
  <c r="B24" i="31" s="1"/>
  <c r="B26" i="31" s="1"/>
  <c r="N53" i="12"/>
  <c r="N109" i="12"/>
  <c r="N165" i="12" s="1"/>
  <c r="N36" i="20"/>
  <c r="N41" i="19"/>
  <c r="AH43" i="33"/>
  <c r="AF44" i="33"/>
  <c r="N41" i="20"/>
  <c r="O41" i="20" s="1"/>
  <c r="AB47" i="33"/>
  <c r="AF40" i="33"/>
  <c r="Z54" i="33"/>
  <c r="AH29" i="33"/>
  <c r="AF35" i="33"/>
  <c r="Z29" i="33"/>
  <c r="AB42" i="33"/>
  <c r="AF41" i="33"/>
  <c r="AB52" i="33"/>
  <c r="AH58" i="33"/>
  <c r="AD27" i="33"/>
  <c r="AF36" i="33"/>
  <c r="AB53" i="33"/>
  <c r="AF26" i="33"/>
  <c r="AH54" i="33"/>
  <c r="AH41" i="33"/>
  <c r="Z40" i="33"/>
  <c r="AF46" i="33"/>
  <c r="Z35" i="33"/>
  <c r="AB29" i="33"/>
  <c r="AH33" i="33"/>
  <c r="AF43" i="33"/>
  <c r="Z46" i="33"/>
  <c r="Z51" i="33"/>
  <c r="AB30" i="33"/>
  <c r="Z44" i="33"/>
  <c r="AD34" i="33"/>
  <c r="Z47" i="33"/>
  <c r="Z52" i="33"/>
  <c r="Z60" i="33"/>
  <c r="Z32" i="33"/>
  <c r="AH40" i="33"/>
  <c r="AF28" i="33"/>
  <c r="AH27" i="33"/>
  <c r="Z26" i="33"/>
  <c r="AH35" i="33"/>
  <c r="Z58" i="33"/>
  <c r="AH32" i="33"/>
  <c r="Z34" i="33"/>
  <c r="AH36" i="33"/>
  <c r="AH30" i="33"/>
  <c r="AH52" i="33"/>
  <c r="AB35" i="33"/>
  <c r="AD25" i="33"/>
  <c r="AF25" i="33"/>
  <c r="Z36" i="33"/>
  <c r="AH34" i="33"/>
  <c r="Q19" i="24"/>
  <c r="O14" i="10" s="1"/>
  <c r="AD29" i="33"/>
  <c r="AD35" i="33"/>
  <c r="Z57" i="33"/>
  <c r="Z41" i="33"/>
  <c r="Z59" i="33"/>
  <c r="M51" i="22"/>
  <c r="P54" i="22" s="1"/>
  <c r="AB34" i="33"/>
  <c r="AD36" i="33"/>
  <c r="AB41" i="33"/>
  <c r="AF45" i="33"/>
  <c r="AF42" i="33"/>
  <c r="AD45" i="33"/>
  <c r="Z28" i="33"/>
  <c r="AB46" i="33"/>
  <c r="Z27" i="33"/>
  <c r="AWN2" i="52"/>
  <c r="F28" i="33"/>
  <c r="F37" i="33"/>
  <c r="D38" i="33"/>
  <c r="C9" i="24"/>
  <c r="D90" i="47" s="1"/>
  <c r="CK2" i="52" s="1"/>
  <c r="D60" i="33"/>
  <c r="L46" i="33"/>
  <c r="AD60" i="33"/>
  <c r="D51" i="33"/>
  <c r="D57" i="33"/>
  <c r="L60" i="33"/>
  <c r="D36" i="33"/>
  <c r="H36" i="33"/>
  <c r="D60" i="41"/>
  <c r="S57" i="33"/>
  <c r="J34" i="33"/>
  <c r="F34" i="33"/>
  <c r="L34" i="33"/>
  <c r="H54" i="33"/>
  <c r="D42" i="33"/>
  <c r="F32" i="41"/>
  <c r="H32" i="41" s="1"/>
  <c r="AZ32" i="41" s="1"/>
  <c r="L41" i="33"/>
  <c r="J28" i="33"/>
  <c r="F27" i="33"/>
  <c r="L28" i="33"/>
  <c r="L36" i="33"/>
  <c r="L45" i="33"/>
  <c r="L54" i="33"/>
  <c r="J41" i="33"/>
  <c r="D35" i="33"/>
  <c r="J54" i="33"/>
  <c r="AF54" i="33"/>
  <c r="J32" i="33"/>
  <c r="J51" i="33"/>
  <c r="AF51" i="33"/>
  <c r="L42" i="33"/>
  <c r="U54" i="33"/>
  <c r="L26" i="33"/>
  <c r="O59" i="33"/>
  <c r="H28" i="33"/>
  <c r="L37" i="33"/>
  <c r="L59" i="33"/>
  <c r="H30" i="33"/>
  <c r="D58" i="33"/>
  <c r="H51" i="33"/>
  <c r="D25" i="33"/>
  <c r="F54" i="33"/>
  <c r="F44" i="33"/>
  <c r="L29" i="33"/>
  <c r="H44" i="33"/>
  <c r="O60" i="33"/>
  <c r="H27" i="33"/>
  <c r="F57" i="33"/>
  <c r="D59" i="33"/>
  <c r="U57" i="33"/>
  <c r="F40" i="33"/>
  <c r="D34" i="33"/>
  <c r="L40" i="33"/>
  <c r="H46" i="33"/>
  <c r="F46" i="33"/>
  <c r="F33" i="33"/>
  <c r="F43" i="33"/>
  <c r="D43" i="33"/>
  <c r="D27" i="33"/>
  <c r="J37" i="33"/>
  <c r="H45" i="33"/>
  <c r="H57" i="33"/>
  <c r="J42" i="33"/>
  <c r="D37" i="33"/>
  <c r="H34" i="33"/>
  <c r="D41" i="33"/>
  <c r="D30" i="33"/>
  <c r="F36" i="33"/>
  <c r="D26" i="33"/>
  <c r="H33" i="33"/>
  <c r="D37" i="36"/>
  <c r="D322" i="47" s="1"/>
  <c r="AJR2" i="52" s="1"/>
  <c r="N42" i="19"/>
  <c r="N14" i="19" s="1"/>
  <c r="P14" i="19" s="1"/>
  <c r="N80" i="20"/>
  <c r="P18" i="24"/>
  <c r="Y87" i="46" s="1"/>
  <c r="M98" i="11"/>
  <c r="P101" i="11" s="1"/>
  <c r="M99" i="22"/>
  <c r="P102" i="22" s="1"/>
  <c r="O15" i="24"/>
  <c r="N51" i="12"/>
  <c r="N54" i="12" s="1"/>
  <c r="N82" i="20"/>
  <c r="M5" i="19"/>
  <c r="M23" i="19" s="1"/>
  <c r="N38" i="19"/>
  <c r="Y86" i="51"/>
  <c r="Y97" i="51" s="1"/>
  <c r="P49" i="20"/>
  <c r="P57" i="20" s="1"/>
  <c r="P93" i="20" s="1"/>
  <c r="N40" i="20"/>
  <c r="N40" i="19"/>
  <c r="N47" i="12"/>
  <c r="O47" i="12" s="1"/>
  <c r="O13" i="24"/>
  <c r="M4" i="18"/>
  <c r="M41" i="18" s="1"/>
  <c r="N100" i="12"/>
  <c r="B56" i="16"/>
  <c r="B64" i="16" s="1"/>
  <c r="D178" i="47" s="1"/>
  <c r="FU2" i="52" s="1"/>
  <c r="N85" i="19"/>
  <c r="N43" i="19"/>
  <c r="N99" i="12"/>
  <c r="N37" i="20"/>
  <c r="M4" i="20"/>
  <c r="M65" i="20" s="1"/>
  <c r="O19" i="24"/>
  <c r="N104" i="12"/>
  <c r="N66" i="12" s="1"/>
  <c r="Q66" i="12" s="1"/>
  <c r="M5" i="12"/>
  <c r="M28" i="12" s="1"/>
  <c r="O16" i="24"/>
  <c r="N87" i="40" s="1"/>
  <c r="V87" i="40" s="1"/>
  <c r="N85" i="20"/>
  <c r="O85" i="20" s="1"/>
  <c r="N103" i="12"/>
  <c r="N65" i="12" s="1"/>
  <c r="Q65" i="12" s="1"/>
  <c r="P13" i="24"/>
  <c r="N83" i="10" s="1"/>
  <c r="R13" i="24"/>
  <c r="N87" i="19"/>
  <c r="N13" i="18"/>
  <c r="AP16" i="33" s="1"/>
  <c r="N102" i="12"/>
  <c r="N64" i="12" s="1"/>
  <c r="Q64" i="12" s="1"/>
  <c r="N84" i="20"/>
  <c r="P15" i="24"/>
  <c r="N82" i="9" s="1"/>
  <c r="M2" i="22"/>
  <c r="P5" i="22" s="1"/>
  <c r="N101" i="12"/>
  <c r="N98" i="12"/>
  <c r="N45" i="12"/>
  <c r="N82" i="19"/>
  <c r="N86" i="19"/>
  <c r="N81" i="20"/>
  <c r="N39" i="20"/>
  <c r="P7" i="20"/>
  <c r="P15" i="20" s="1"/>
  <c r="N46" i="12"/>
  <c r="N8" i="12" s="1"/>
  <c r="Q8" i="12" s="1"/>
  <c r="P19" i="24"/>
  <c r="Y87" i="33" s="1"/>
  <c r="N48" i="12"/>
  <c r="N10" i="12" s="1"/>
  <c r="Q10" i="12" s="1"/>
  <c r="N44" i="12"/>
  <c r="M2" i="11"/>
  <c r="M4" i="10"/>
  <c r="M22" i="10" s="1"/>
  <c r="N84" i="19"/>
  <c r="M12" i="20"/>
  <c r="N107" i="12"/>
  <c r="N163" i="12" s="1"/>
  <c r="N118" i="12" s="1"/>
  <c r="P16" i="24"/>
  <c r="Y85" i="46" s="1"/>
  <c r="Y97" i="46" s="1"/>
  <c r="R19" i="24"/>
  <c r="N43" i="12"/>
  <c r="O14" i="24"/>
  <c r="M50" i="11"/>
  <c r="P53" i="11" s="1"/>
  <c r="N38" i="20"/>
  <c r="MX2" i="52"/>
  <c r="HZ2" i="52"/>
  <c r="D1" i="30"/>
  <c r="D29" i="16"/>
  <c r="D32" i="16" s="1"/>
  <c r="D125" i="47" s="1"/>
  <c r="DT2" i="52" s="1"/>
  <c r="I8" i="24"/>
  <c r="D2" i="30" s="1"/>
  <c r="O58" i="51"/>
  <c r="B29" i="16"/>
  <c r="B33" i="16" s="1"/>
  <c r="O53" i="46"/>
  <c r="O35" i="46"/>
  <c r="G4" i="18"/>
  <c r="G41" i="18" s="1"/>
  <c r="I7" i="24"/>
  <c r="J14" i="24" s="1"/>
  <c r="G4" i="1" s="1"/>
  <c r="G45" i="1" s="1"/>
  <c r="G80" i="1" s="1"/>
  <c r="O51" i="46"/>
  <c r="F36" i="41"/>
  <c r="H36" i="41" s="1"/>
  <c r="J36" i="41" s="1"/>
  <c r="L36" i="41" s="1"/>
  <c r="D52" i="41"/>
  <c r="F45" i="41"/>
  <c r="H45" i="41" s="1"/>
  <c r="BA45" i="41" s="1"/>
  <c r="D57" i="41"/>
  <c r="F44" i="41"/>
  <c r="H44" i="41" s="1"/>
  <c r="J44" i="41" s="1"/>
  <c r="L44" i="41" s="1"/>
  <c r="D29" i="41"/>
  <c r="F33" i="41"/>
  <c r="H33" i="41" s="1"/>
  <c r="BB33" i="41" s="1"/>
  <c r="F42" i="41"/>
  <c r="H42" i="41" s="1"/>
  <c r="BA42" i="41" s="1"/>
  <c r="D41" i="41"/>
  <c r="F54" i="41"/>
  <c r="H54" i="41" s="1"/>
  <c r="BA54" i="41" s="1"/>
  <c r="F25" i="41"/>
  <c r="H25" i="41" s="1"/>
  <c r="J25" i="41" s="1"/>
  <c r="L25" i="41" s="1"/>
  <c r="D34" i="41"/>
  <c r="D40" i="41"/>
  <c r="D30" i="41"/>
  <c r="D33" i="41"/>
  <c r="F37" i="41"/>
  <c r="H37" i="41" s="1"/>
  <c r="BA37" i="41" s="1"/>
  <c r="D54" i="33"/>
  <c r="D45" i="33"/>
  <c r="Q60" i="33"/>
  <c r="AF60" i="33"/>
  <c r="S60" i="33"/>
  <c r="F58" i="33"/>
  <c r="F60" i="33"/>
  <c r="H25" i="33"/>
  <c r="L35" i="33"/>
  <c r="J59" i="33"/>
  <c r="J40" i="33"/>
  <c r="L33" i="33"/>
  <c r="AD54" i="33"/>
  <c r="J25" i="33"/>
  <c r="L27" i="33"/>
  <c r="J44" i="33"/>
  <c r="F30" i="41"/>
  <c r="H30" i="41" s="1"/>
  <c r="AZ30" i="41" s="1"/>
  <c r="D25" i="41"/>
  <c r="F40" i="41"/>
  <c r="H40" i="41" s="1"/>
  <c r="J40" i="41" s="1"/>
  <c r="L40" i="41" s="1"/>
  <c r="L30" i="33"/>
  <c r="D53" i="33"/>
  <c r="F46" i="41"/>
  <c r="H46" i="41" s="1"/>
  <c r="BA46" i="41" s="1"/>
  <c r="D32" i="41"/>
  <c r="F47" i="41"/>
  <c r="H47" i="41" s="1"/>
  <c r="BA47" i="41" s="1"/>
  <c r="F28" i="41"/>
  <c r="H28" i="41" s="1"/>
  <c r="BB28" i="41" s="1"/>
  <c r="D26" i="41"/>
  <c r="D58" i="41"/>
  <c r="D37" i="41"/>
  <c r="J46" i="33"/>
  <c r="L51" i="33"/>
  <c r="U51" i="33"/>
  <c r="J43" i="33"/>
  <c r="AF59" i="33"/>
  <c r="L57" i="33"/>
  <c r="J45" i="33"/>
  <c r="W60" i="33"/>
  <c r="J30" i="33"/>
  <c r="H59" i="33"/>
  <c r="H41" i="33"/>
  <c r="L25" i="33"/>
  <c r="S54" i="33"/>
  <c r="AD59" i="33"/>
  <c r="F41" i="33"/>
  <c r="D32" i="33"/>
  <c r="D59" i="41"/>
  <c r="F41" i="41"/>
  <c r="H41" i="41" s="1"/>
  <c r="AZ41" i="41" s="1"/>
  <c r="D35" i="41"/>
  <c r="D28" i="33"/>
  <c r="H29" i="33"/>
  <c r="F29" i="41"/>
  <c r="H29" i="41" s="1"/>
  <c r="BA29" i="41" s="1"/>
  <c r="O59" i="41"/>
  <c r="Q59" i="41" s="1"/>
  <c r="S59" i="41" s="1"/>
  <c r="D44" i="41"/>
  <c r="D42" i="41"/>
  <c r="D40" i="33"/>
  <c r="D46" i="33"/>
  <c r="F38" i="33"/>
  <c r="H38" i="33"/>
  <c r="L44" i="33"/>
  <c r="D33" i="33"/>
  <c r="F45" i="33"/>
  <c r="Q59" i="33"/>
  <c r="J60" i="33"/>
  <c r="F29" i="33"/>
  <c r="H32" i="33"/>
  <c r="D29" i="33"/>
  <c r="L32" i="33"/>
  <c r="J29" i="33"/>
  <c r="J36" i="33"/>
  <c r="J27" i="33"/>
  <c r="F35" i="41"/>
  <c r="H35" i="41" s="1"/>
  <c r="BA35" i="41" s="1"/>
  <c r="D54" i="41"/>
  <c r="D53" i="41"/>
  <c r="J38" i="33"/>
  <c r="S51" i="33"/>
  <c r="D38" i="41"/>
  <c r="D27" i="41"/>
  <c r="F57" i="41"/>
  <c r="H57" i="41" s="1"/>
  <c r="J57" i="41" s="1"/>
  <c r="L57" i="41" s="1"/>
  <c r="D47" i="33"/>
  <c r="J33" i="33"/>
  <c r="F47" i="33"/>
  <c r="U60" i="33"/>
  <c r="H40" i="33"/>
  <c r="F30" i="33"/>
  <c r="F32" i="33"/>
  <c r="D52" i="33"/>
  <c r="J35" i="33"/>
  <c r="F35" i="33"/>
  <c r="H47" i="33"/>
  <c r="F42" i="33"/>
  <c r="D44" i="33"/>
  <c r="W59" i="33"/>
  <c r="F51" i="33"/>
  <c r="L38" i="33"/>
  <c r="D43" i="41"/>
  <c r="O60" i="41"/>
  <c r="Q60" i="41" s="1"/>
  <c r="S60" i="41" s="1"/>
  <c r="U60" i="41" s="1"/>
  <c r="F27" i="41"/>
  <c r="H27" i="41" s="1"/>
  <c r="BB27" i="41" s="1"/>
  <c r="D36" i="41"/>
  <c r="L43" i="33"/>
  <c r="J26" i="33"/>
  <c r="F34" i="41"/>
  <c r="H34" i="41" s="1"/>
  <c r="AZ34" i="41" s="1"/>
  <c r="O112" i="41"/>
  <c r="N114" i="41"/>
  <c r="L115" i="41"/>
  <c r="AL115" i="41"/>
  <c r="AM115" i="41" s="1"/>
  <c r="K113" i="46"/>
  <c r="L113" i="46" s="1"/>
  <c r="AL110" i="46"/>
  <c r="AM110" i="46" s="1"/>
  <c r="O112" i="51"/>
  <c r="N114" i="51"/>
  <c r="W113" i="51"/>
  <c r="AL113" i="51"/>
  <c r="AM113" i="51" s="1"/>
  <c r="V114" i="51"/>
  <c r="AE90" i="33"/>
  <c r="AC108" i="33"/>
  <c r="AL111" i="40"/>
  <c r="AM111" i="40" s="1"/>
  <c r="AG114" i="40"/>
  <c r="AH114" i="40" s="1"/>
  <c r="AH112" i="41"/>
  <c r="AL112" i="41"/>
  <c r="AM112" i="41" s="1"/>
  <c r="G114" i="51"/>
  <c r="H114" i="51" s="1"/>
  <c r="T117" i="40"/>
  <c r="U117" i="40" s="1"/>
  <c r="V61" i="40"/>
  <c r="V81" i="40" s="1"/>
  <c r="B54" i="24"/>
  <c r="E89" i="51" s="1"/>
  <c r="D719" i="47"/>
  <c r="O4" i="10"/>
  <c r="O12" i="10" s="1"/>
  <c r="O12" i="20"/>
  <c r="S112" i="41"/>
  <c r="R114" i="41"/>
  <c r="AE50" i="33"/>
  <c r="AE61" i="33" s="1"/>
  <c r="AL113" i="40"/>
  <c r="AM113" i="40" s="1"/>
  <c r="AH113" i="40"/>
  <c r="AG114" i="33"/>
  <c r="AL112" i="33"/>
  <c r="AM112" i="33" s="1"/>
  <c r="K90" i="40"/>
  <c r="I108" i="40"/>
  <c r="AA38" i="40"/>
  <c r="AA112" i="40"/>
  <c r="AB112" i="40" s="1"/>
  <c r="L110" i="46"/>
  <c r="AH111" i="41"/>
  <c r="AG114" i="41"/>
  <c r="U112" i="49"/>
  <c r="T115" i="49"/>
  <c r="U115" i="49" s="1"/>
  <c r="P110" i="46"/>
  <c r="Q110" i="46" s="1"/>
  <c r="P29" i="46"/>
  <c r="P47" i="46"/>
  <c r="P49" i="46" s="1"/>
  <c r="V49" i="46"/>
  <c r="AL47" i="46"/>
  <c r="E111" i="41"/>
  <c r="F111" i="41" s="1"/>
  <c r="E30" i="41"/>
  <c r="AXW2" i="52"/>
  <c r="AAG2" i="52"/>
  <c r="AZ55" i="41"/>
  <c r="BB55" i="41"/>
  <c r="V61" i="41"/>
  <c r="Z111" i="33"/>
  <c r="Y114" i="33"/>
  <c r="F1" i="31"/>
  <c r="F24" i="31" s="1"/>
  <c r="F26" i="31" s="1"/>
  <c r="F56" i="36"/>
  <c r="F70" i="36" s="1"/>
  <c r="F56" i="16"/>
  <c r="F62" i="16" s="1"/>
  <c r="D208" i="47" s="1"/>
  <c r="AF112" i="49"/>
  <c r="AE115" i="49"/>
  <c r="AF115" i="49" s="1"/>
  <c r="AA78" i="46"/>
  <c r="E29" i="46"/>
  <c r="E110" i="46"/>
  <c r="F110" i="46" s="1"/>
  <c r="E116" i="46"/>
  <c r="F116" i="46" s="1"/>
  <c r="I116" i="46"/>
  <c r="J116" i="46" s="1"/>
  <c r="W112" i="49"/>
  <c r="AL112" i="49"/>
  <c r="AM112" i="49" s="1"/>
  <c r="C27" i="24"/>
  <c r="Y114" i="51"/>
  <c r="AG100" i="49"/>
  <c r="AG98" i="49"/>
  <c r="AG99" i="49"/>
  <c r="AD111" i="51"/>
  <c r="T117" i="41"/>
  <c r="U117" i="41" s="1"/>
  <c r="AL111" i="41"/>
  <c r="AM111" i="41" s="1"/>
  <c r="V61" i="33"/>
  <c r="J59" i="41"/>
  <c r="L59" i="41" s="1"/>
  <c r="BB59" i="41"/>
  <c r="J69" i="41"/>
  <c r="L69" i="41" s="1"/>
  <c r="BA69" i="41"/>
  <c r="BB69" i="41"/>
  <c r="AZ69" i="41"/>
  <c r="W113" i="41"/>
  <c r="AL113" i="41"/>
  <c r="AM113" i="41" s="1"/>
  <c r="G114" i="33"/>
  <c r="H111" i="33"/>
  <c r="AA108" i="33"/>
  <c r="V113" i="46"/>
  <c r="W111" i="46"/>
  <c r="O17" i="24"/>
  <c r="B56" i="36"/>
  <c r="B70" i="36" s="1"/>
  <c r="N15" i="18"/>
  <c r="N83" i="19"/>
  <c r="N42" i="12"/>
  <c r="Q13" i="24"/>
  <c r="P14" i="24"/>
  <c r="M4" i="1" s="1"/>
  <c r="M12" i="1" s="1"/>
  <c r="N83" i="20"/>
  <c r="P50" i="20"/>
  <c r="P58" i="20" s="1"/>
  <c r="P94" i="20" s="1"/>
  <c r="P6" i="20"/>
  <c r="P14" i="20" s="1"/>
  <c r="O18" i="24"/>
  <c r="N87" i="41" s="1"/>
  <c r="V87" i="41" s="1"/>
  <c r="AP68" i="40"/>
  <c r="AZ15" i="41"/>
  <c r="BB22" i="41"/>
  <c r="BB52" i="41"/>
  <c r="AZ48" i="41"/>
  <c r="BA75" i="41"/>
  <c r="AZ21" i="41"/>
  <c r="AZ19" i="41"/>
  <c r="BA61" i="41"/>
  <c r="AZ12" i="41"/>
  <c r="BA78" i="41"/>
  <c r="BA19" i="41"/>
  <c r="AZ24" i="41"/>
  <c r="AA111" i="51"/>
  <c r="AB111" i="51" s="1"/>
  <c r="AA30" i="51"/>
  <c r="BB61" i="41"/>
  <c r="B7" i="31"/>
  <c r="B6" i="31" s="1"/>
  <c r="AN51" i="33"/>
  <c r="AP36" i="33"/>
  <c r="R61" i="51"/>
  <c r="R81" i="51" s="1"/>
  <c r="I109" i="49"/>
  <c r="J25" i="24"/>
  <c r="J66" i="24" s="1"/>
  <c r="P89" i="33" s="1"/>
  <c r="H98" i="22"/>
  <c r="H132" i="22" s="1"/>
  <c r="AC98" i="40"/>
  <c r="BB64" i="41"/>
  <c r="BA62" i="41"/>
  <c r="AZ18" i="41"/>
  <c r="BA14" i="41"/>
  <c r="AZ22" i="41"/>
  <c r="BB63" i="41"/>
  <c r="BB16" i="41"/>
  <c r="BB48" i="41"/>
  <c r="AZ70" i="41"/>
  <c r="BA68" i="41"/>
  <c r="BB20" i="41"/>
  <c r="AO36" i="40"/>
  <c r="V114" i="41"/>
  <c r="Y114" i="41"/>
  <c r="Z114" i="41" s="1"/>
  <c r="I5" i="44"/>
  <c r="I11" i="44" s="1"/>
  <c r="H11" i="44"/>
  <c r="P37" i="46"/>
  <c r="P111" i="46"/>
  <c r="Q111" i="46" s="1"/>
  <c r="BA66" i="41"/>
  <c r="BB76" i="41"/>
  <c r="BB31" i="41"/>
  <c r="BA15" i="41"/>
  <c r="N51" i="24"/>
  <c r="D736" i="47"/>
  <c r="BB66" i="41"/>
  <c r="AP25" i="40"/>
  <c r="AZ68" i="41"/>
  <c r="BB77" i="41"/>
  <c r="BA64" i="41"/>
  <c r="BB53" i="41"/>
  <c r="BB65" i="41"/>
  <c r="BA77" i="41"/>
  <c r="BB68" i="41"/>
  <c r="BB18" i="41"/>
  <c r="AP31" i="40"/>
  <c r="BA24" i="41"/>
  <c r="J67" i="24"/>
  <c r="G108" i="40"/>
  <c r="Y115" i="49"/>
  <c r="F6" i="7"/>
  <c r="F9" i="7" s="1"/>
  <c r="P48" i="49"/>
  <c r="P114" i="49"/>
  <c r="Q114" i="49" s="1"/>
  <c r="R89" i="41"/>
  <c r="T89" i="41"/>
  <c r="C67" i="24"/>
  <c r="AC118" i="49"/>
  <c r="AD118" i="49" s="1"/>
  <c r="H34" i="26"/>
  <c r="AL30" i="33"/>
  <c r="AA79" i="33"/>
  <c r="P79" i="33"/>
  <c r="AC62" i="49"/>
  <c r="AC101" i="33"/>
  <c r="H6" i="7"/>
  <c r="H9" i="7" s="1"/>
  <c r="H39" i="26"/>
  <c r="AL111" i="46"/>
  <c r="AM111" i="46" s="1"/>
  <c r="AG105" i="33"/>
  <c r="H24" i="26"/>
  <c r="F6" i="30"/>
  <c r="F9" i="30" s="1"/>
  <c r="AFY2" i="52"/>
  <c r="F6" i="16"/>
  <c r="D78" i="47" s="1"/>
  <c r="BY2" i="52" s="1"/>
  <c r="F16" i="16"/>
  <c r="YH2" i="52"/>
  <c r="B4" i="48"/>
  <c r="B15" i="48" s="1"/>
  <c r="F22" i="16"/>
  <c r="F23" i="16" s="1"/>
  <c r="F75" i="55" s="1"/>
  <c r="AIV2" i="52"/>
  <c r="AOD2" i="52"/>
  <c r="AVI2" i="52"/>
  <c r="XA2" i="52"/>
  <c r="QU2" i="52"/>
  <c r="LB2" i="52"/>
  <c r="H2" i="30"/>
  <c r="D170" i="47"/>
  <c r="FM2" i="52" s="1"/>
  <c r="J7" i="7"/>
  <c r="D41" i="36"/>
  <c r="D325" i="47" s="1"/>
  <c r="LL2" i="52" s="1"/>
  <c r="D33" i="36"/>
  <c r="D318" i="47" s="1"/>
  <c r="WI2" i="52"/>
  <c r="D30" i="36"/>
  <c r="I101" i="33"/>
  <c r="I103" i="33" s="1"/>
  <c r="V101" i="33"/>
  <c r="V103" i="33" s="1"/>
  <c r="R105" i="33"/>
  <c r="R103" i="33" s="1"/>
  <c r="AC105" i="33"/>
  <c r="E105" i="33"/>
  <c r="E103" i="33" s="1"/>
  <c r="W94" i="41"/>
  <c r="L94" i="51"/>
  <c r="J13" i="19"/>
  <c r="O4" i="20"/>
  <c r="O5" i="19"/>
  <c r="O23" i="19" s="1"/>
  <c r="O66" i="22"/>
  <c r="H94" i="40"/>
  <c r="C101" i="33"/>
  <c r="B28" i="7"/>
  <c r="J94" i="40"/>
  <c r="N101" i="41"/>
  <c r="C105" i="33"/>
  <c r="AH94" i="41"/>
  <c r="W94" i="51"/>
  <c r="O4" i="1"/>
  <c r="I25" i="22"/>
  <c r="N100" i="46"/>
  <c r="Y105" i="40"/>
  <c r="AA101" i="33"/>
  <c r="AA103" i="33" s="1"/>
  <c r="C101" i="51"/>
  <c r="D45" i="41"/>
  <c r="F26" i="41"/>
  <c r="H26" i="41" s="1"/>
  <c r="D28" i="41"/>
  <c r="D46" i="41"/>
  <c r="F38" i="41"/>
  <c r="H38" i="41" s="1"/>
  <c r="BB38" i="41" s="1"/>
  <c r="D47" i="41"/>
  <c r="AB111" i="33"/>
  <c r="AH117" i="40"/>
  <c r="AD30" i="33"/>
  <c r="AD40" i="33"/>
  <c r="AB45" i="33"/>
  <c r="AH45" i="33"/>
  <c r="AF47" i="33"/>
  <c r="AH38" i="33"/>
  <c r="Z42" i="33"/>
  <c r="AB59" i="33"/>
  <c r="AB33" i="33"/>
  <c r="AH37" i="33"/>
  <c r="AB28" i="33"/>
  <c r="AD47" i="33"/>
  <c r="Z53" i="33"/>
  <c r="AB27" i="33"/>
  <c r="AD44" i="33"/>
  <c r="AD38" i="33"/>
  <c r="AH25" i="33"/>
  <c r="Z30" i="33"/>
  <c r="AB26" i="33"/>
  <c r="AD26" i="33"/>
  <c r="AD33" i="33"/>
  <c r="Z43" i="33"/>
  <c r="AH53" i="33"/>
  <c r="AH44" i="33"/>
  <c r="AD42" i="33"/>
  <c r="AD37" i="33"/>
  <c r="AH28" i="33"/>
  <c r="AB43" i="33"/>
  <c r="AB32" i="33"/>
  <c r="AD43" i="33"/>
  <c r="AD41" i="33"/>
  <c r="AF34" i="33"/>
  <c r="AH51" i="33"/>
  <c r="AF32" i="33"/>
  <c r="AH47" i="33"/>
  <c r="AB54" i="33"/>
  <c r="AF30" i="33"/>
  <c r="AF27" i="33"/>
  <c r="AB36" i="33"/>
  <c r="AB51" i="33"/>
  <c r="Z33" i="33"/>
  <c r="AH42" i="33"/>
  <c r="Z25" i="33"/>
  <c r="AB38" i="33"/>
  <c r="AH60" i="33"/>
  <c r="AH26" i="33"/>
  <c r="AD46" i="33"/>
  <c r="J49" i="41"/>
  <c r="L49" i="41" s="1"/>
  <c r="BA49" i="41"/>
  <c r="BB49" i="41"/>
  <c r="AZ49" i="41"/>
  <c r="E111" i="33"/>
  <c r="E48" i="33"/>
  <c r="E50" i="33" s="1"/>
  <c r="AN38" i="33"/>
  <c r="AP38" i="33"/>
  <c r="AO38" i="33"/>
  <c r="S111" i="51"/>
  <c r="R114" i="51"/>
  <c r="U113" i="51"/>
  <c r="T114" i="51"/>
  <c r="AA115" i="33"/>
  <c r="AB115" i="33" s="1"/>
  <c r="G61" i="33"/>
  <c r="G81" i="33" s="1"/>
  <c r="C117" i="33"/>
  <c r="D117" i="33" s="1"/>
  <c r="G117" i="33"/>
  <c r="H117" i="33" s="1"/>
  <c r="G108" i="33"/>
  <c r="AC117" i="40"/>
  <c r="AD117" i="40" s="1"/>
  <c r="AE117" i="40"/>
  <c r="AF117" i="40" s="1"/>
  <c r="AA117" i="40"/>
  <c r="AB117" i="40" s="1"/>
  <c r="E113" i="49"/>
  <c r="F113" i="49" s="1"/>
  <c r="E39" i="49"/>
  <c r="R90" i="51"/>
  <c r="P108" i="51"/>
  <c r="T90" i="41"/>
  <c r="R108" i="41"/>
  <c r="TK1" i="52"/>
  <c r="ARG1" i="52"/>
  <c r="NK1" i="52"/>
  <c r="ALP1" i="52"/>
  <c r="NE1" i="52"/>
  <c r="ALK1" i="52"/>
  <c r="MZ1" i="52"/>
  <c r="ALF1" i="52"/>
  <c r="MO1" i="52"/>
  <c r="AKV1" i="52"/>
  <c r="AC99" i="40"/>
  <c r="AC97" i="40"/>
  <c r="OG1" i="52"/>
  <c r="AMK1" i="52"/>
  <c r="P114" i="33"/>
  <c r="F113" i="41"/>
  <c r="J8" i="31"/>
  <c r="I117" i="40"/>
  <c r="J117" i="40" s="1"/>
  <c r="I61" i="40"/>
  <c r="I81" i="40" s="1"/>
  <c r="VZ1" i="52"/>
  <c r="ATS1" i="52"/>
  <c r="W112" i="33"/>
  <c r="V114" i="33"/>
  <c r="C68" i="24"/>
  <c r="SN1" i="52"/>
  <c r="AQL1" i="52"/>
  <c r="J7" i="30"/>
  <c r="F6" i="31"/>
  <c r="F9" i="31" s="1"/>
  <c r="AE90" i="40"/>
  <c r="AG90" i="40" s="1"/>
  <c r="AG108" i="40" s="1"/>
  <c r="AC108" i="40"/>
  <c r="MD1" i="52"/>
  <c r="AKK1" i="52"/>
  <c r="AA48" i="40"/>
  <c r="AA50" i="40" s="1"/>
  <c r="AVW1" i="52"/>
  <c r="AH111" i="40"/>
  <c r="AA113" i="40"/>
  <c r="AGI1" i="52"/>
  <c r="C26" i="24"/>
  <c r="HJ1" i="52"/>
  <c r="AFY1" i="52"/>
  <c r="AEI1" i="52"/>
  <c r="BBY1" i="52"/>
  <c r="BBS1" i="52"/>
  <c r="AEC1" i="52"/>
  <c r="E79" i="40"/>
  <c r="AL38" i="33"/>
  <c r="J3" i="31"/>
  <c r="D6" i="31"/>
  <c r="AAO1" i="52"/>
  <c r="AXY1" i="52"/>
  <c r="AAW1" i="52"/>
  <c r="AYO1" i="52"/>
  <c r="AYU1" i="52"/>
  <c r="AXQ1" i="52"/>
  <c r="AXK1" i="52"/>
  <c r="AYW1" i="52"/>
  <c r="JF2" i="52"/>
  <c r="ASS2" i="52"/>
  <c r="D32" i="36"/>
  <c r="D317" i="47" s="1"/>
  <c r="AJM2" i="52" s="1"/>
  <c r="D49" i="36"/>
  <c r="D50" i="36" s="1"/>
  <c r="D40" i="36"/>
  <c r="D31" i="36"/>
  <c r="D35" i="36"/>
  <c r="D320" i="47" s="1"/>
  <c r="LG2" i="52" s="1"/>
  <c r="D34" i="36"/>
  <c r="D319" i="47" s="1"/>
  <c r="AKO2" i="52"/>
  <c r="V22" i="48"/>
  <c r="V39" i="48"/>
  <c r="D616" i="47" s="1"/>
  <c r="LR2" i="52"/>
  <c r="APL2" i="52"/>
  <c r="AYJ1" i="52"/>
  <c r="AZX1" i="52"/>
  <c r="ZX1" i="52"/>
  <c r="AZB1" i="52"/>
  <c r="AAF1" i="52"/>
  <c r="O7" i="24"/>
  <c r="D186" i="47" s="1"/>
  <c r="GC2" i="52" s="1"/>
  <c r="A12" i="20"/>
  <c r="C7" i="24"/>
  <c r="D14" i="24" s="1"/>
  <c r="A4" i="1" s="1"/>
  <c r="B42" i="19"/>
  <c r="B14" i="19" s="1"/>
  <c r="D14" i="19" s="1"/>
  <c r="A4" i="18"/>
  <c r="A41" i="18" s="1"/>
  <c r="B2" i="16"/>
  <c r="B1" i="7"/>
  <c r="D37" i="40"/>
  <c r="B38" i="20"/>
  <c r="D6" i="20"/>
  <c r="D14" i="20" s="1"/>
  <c r="L7" i="39"/>
  <c r="N24" i="39"/>
  <c r="H1" i="19"/>
  <c r="H23" i="19" s="1"/>
  <c r="H4" i="18"/>
  <c r="H41" i="18" s="1"/>
  <c r="C120" i="46"/>
  <c r="C100" i="46" s="1"/>
  <c r="H1" i="11"/>
  <c r="H1" i="12"/>
  <c r="K68" i="24"/>
  <c r="N122" i="40"/>
  <c r="N101" i="40" s="1"/>
  <c r="H1" i="9"/>
  <c r="H97" i="11"/>
  <c r="H45" i="9"/>
  <c r="B28" i="16"/>
  <c r="AWW2" i="52"/>
  <c r="H4" i="24"/>
  <c r="H69" i="1"/>
  <c r="H72" i="1" s="1"/>
  <c r="H22" i="18"/>
  <c r="B28" i="36"/>
  <c r="J32" i="24"/>
  <c r="J73" i="24" s="1"/>
  <c r="K26" i="24"/>
  <c r="K25" i="24"/>
  <c r="H49" i="11"/>
  <c r="H1" i="20"/>
  <c r="K66" i="24"/>
  <c r="H1" i="1"/>
  <c r="K27" i="24"/>
  <c r="K67" i="24"/>
  <c r="G2" i="11"/>
  <c r="J5" i="11" s="1"/>
  <c r="H15" i="18"/>
  <c r="H52" i="18" s="1"/>
  <c r="I9" i="24"/>
  <c r="F2" i="30" s="1"/>
  <c r="H82" i="19"/>
  <c r="G99" i="22"/>
  <c r="J102" i="22" s="1"/>
  <c r="UX2" i="52"/>
  <c r="I18" i="24"/>
  <c r="J6" i="20"/>
  <c r="J14" i="20" s="1"/>
  <c r="H81" i="20"/>
  <c r="O45" i="51"/>
  <c r="D723" i="47"/>
  <c r="O51" i="51"/>
  <c r="F110" i="48"/>
  <c r="F14" i="48"/>
  <c r="F63" i="48"/>
  <c r="F32" i="48"/>
  <c r="F61" i="48"/>
  <c r="B84" i="19"/>
  <c r="C19" i="24"/>
  <c r="C6" i="20" s="1"/>
  <c r="B84" i="20"/>
  <c r="D13" i="24"/>
  <c r="B42" i="10" s="1"/>
  <c r="C42" i="10" s="1"/>
  <c r="D8" i="39"/>
  <c r="AF59" i="40"/>
  <c r="D40" i="40"/>
  <c r="C10" i="24"/>
  <c r="C87" i="51" s="1"/>
  <c r="I87" i="51" s="1"/>
  <c r="F5" i="16"/>
  <c r="D77" i="47" s="1"/>
  <c r="BX2" i="52" s="1"/>
  <c r="B87" i="19"/>
  <c r="C87" i="19" s="1"/>
  <c r="B40" i="20"/>
  <c r="F3" i="39"/>
  <c r="B80" i="20"/>
  <c r="A98" i="11"/>
  <c r="D101" i="11" s="1"/>
  <c r="B36" i="20"/>
  <c r="C13" i="24"/>
  <c r="C6" i="10" s="1"/>
  <c r="D52" i="40"/>
  <c r="H2" i="16"/>
  <c r="B86" i="19"/>
  <c r="B38" i="19"/>
  <c r="B41" i="20"/>
  <c r="B37" i="20"/>
  <c r="B81" i="20"/>
  <c r="F13" i="24"/>
  <c r="C14" i="24"/>
  <c r="A2" i="11"/>
  <c r="D5" i="11" s="1"/>
  <c r="B39" i="20"/>
  <c r="D28" i="40"/>
  <c r="H1" i="7"/>
  <c r="F13" i="16"/>
  <c r="B85" i="19"/>
  <c r="B82" i="19"/>
  <c r="F19" i="24"/>
  <c r="D7" i="20"/>
  <c r="D15" i="20" s="1"/>
  <c r="D50" i="20"/>
  <c r="D58" i="20" s="1"/>
  <c r="D94" i="20" s="1"/>
  <c r="C16" i="24"/>
  <c r="D18" i="24"/>
  <c r="C87" i="41" s="1"/>
  <c r="K87" i="41" s="1"/>
  <c r="D45" i="40"/>
  <c r="C89" i="51"/>
  <c r="I89" i="51" s="1"/>
  <c r="F4" i="16"/>
  <c r="F3" i="16" s="1"/>
  <c r="A5" i="19"/>
  <c r="A23" i="19" s="1"/>
  <c r="B40" i="19"/>
  <c r="B41" i="19"/>
  <c r="A51" i="22"/>
  <c r="D54" i="22" s="1"/>
  <c r="A99" i="22"/>
  <c r="D102" i="22" s="1"/>
  <c r="A50" i="11"/>
  <c r="D49" i="20"/>
  <c r="D57" i="20" s="1"/>
  <c r="D93" i="20" s="1"/>
  <c r="C15" i="24"/>
  <c r="B85" i="20"/>
  <c r="E13" i="24"/>
  <c r="C14" i="10" s="1"/>
  <c r="F10" i="16"/>
  <c r="D82" i="47" s="1"/>
  <c r="CC2" i="52" s="1"/>
  <c r="B39" i="19"/>
  <c r="B83" i="19"/>
  <c r="B83" i="20"/>
  <c r="A4" i="20"/>
  <c r="A65" i="20" s="1"/>
  <c r="D17" i="24"/>
  <c r="C86" i="46" s="1"/>
  <c r="G86" i="46" s="1"/>
  <c r="C88" i="51"/>
  <c r="I88" i="51" s="1"/>
  <c r="C17" i="24"/>
  <c r="C21" i="12" s="1"/>
  <c r="AWG2" i="52"/>
  <c r="D38" i="40"/>
  <c r="F14" i="16"/>
  <c r="D85" i="47" s="1"/>
  <c r="CF2" i="52" s="1"/>
  <c r="B43" i="19"/>
  <c r="C43" i="19" s="1"/>
  <c r="E19" i="24"/>
  <c r="C14" i="20" s="1"/>
  <c r="C18" i="24"/>
  <c r="B82" i="20"/>
  <c r="A2" i="22"/>
  <c r="D19" i="24"/>
  <c r="D36" i="40"/>
  <c r="D716" i="47"/>
  <c r="F52" i="40"/>
  <c r="F60" i="40"/>
  <c r="H58" i="40"/>
  <c r="L54" i="40"/>
  <c r="AD59" i="40"/>
  <c r="U59" i="40"/>
  <c r="D32" i="40"/>
  <c r="D54" i="40"/>
  <c r="D46" i="40"/>
  <c r="D43" i="40"/>
  <c r="D843" i="47"/>
  <c r="F53" i="40"/>
  <c r="H51" i="40"/>
  <c r="H59" i="40"/>
  <c r="J57" i="40"/>
  <c r="F54" i="40"/>
  <c r="H60" i="40"/>
  <c r="D30" i="40"/>
  <c r="D33" i="40"/>
  <c r="D25" i="40"/>
  <c r="D47" i="40"/>
  <c r="D60" i="40"/>
  <c r="D57" i="40"/>
  <c r="H53" i="40"/>
  <c r="J51" i="40"/>
  <c r="J59" i="40"/>
  <c r="L57" i="40"/>
  <c r="AD54" i="40"/>
  <c r="D58" i="40"/>
  <c r="AF54" i="40"/>
  <c r="D59" i="40"/>
  <c r="D29" i="40"/>
  <c r="D44" i="40"/>
  <c r="H54" i="40"/>
  <c r="J52" i="40"/>
  <c r="J60" i="40"/>
  <c r="L58" i="40"/>
  <c r="U54" i="40"/>
  <c r="H52" i="40"/>
  <c r="J58" i="40"/>
  <c r="D53" i="40"/>
  <c r="D34" i="40"/>
  <c r="AF60" i="40"/>
  <c r="D710" i="47"/>
  <c r="F57" i="40"/>
  <c r="J53" i="40"/>
  <c r="L51" i="40"/>
  <c r="L59" i="40"/>
  <c r="S60" i="40"/>
  <c r="D26" i="40"/>
  <c r="D27" i="40"/>
  <c r="D42" i="40"/>
  <c r="F58" i="40"/>
  <c r="J54" i="40"/>
  <c r="L52" i="40"/>
  <c r="L60" i="40"/>
  <c r="S59" i="40"/>
  <c r="S54" i="40"/>
  <c r="D35" i="40"/>
  <c r="D41" i="40"/>
  <c r="D51" i="40"/>
  <c r="F51" i="40"/>
  <c r="F59" i="40"/>
  <c r="H57" i="40"/>
  <c r="L53" i="40"/>
  <c r="AD60" i="40"/>
  <c r="F37" i="16"/>
  <c r="D146" i="47" s="1"/>
  <c r="EO2" i="52" s="1"/>
  <c r="F49" i="16"/>
  <c r="F41" i="16"/>
  <c r="D149" i="47" s="1"/>
  <c r="ER2" i="52" s="1"/>
  <c r="F32" i="16"/>
  <c r="D141" i="47" s="1"/>
  <c r="EJ2" i="52" s="1"/>
  <c r="F35" i="16"/>
  <c r="F33" i="16"/>
  <c r="F34" i="16"/>
  <c r="F40" i="16"/>
  <c r="D148" i="47" s="1"/>
  <c r="EQ2" i="52" s="1"/>
  <c r="F31" i="16"/>
  <c r="F30" i="16" s="1"/>
  <c r="O37" i="46"/>
  <c r="G5" i="19"/>
  <c r="G23" i="19" s="1"/>
  <c r="N8" i="39"/>
  <c r="D3" i="39"/>
  <c r="J3" i="39"/>
  <c r="G4" i="20"/>
  <c r="G21" i="20" s="1"/>
  <c r="J15" i="24"/>
  <c r="H82" i="20"/>
  <c r="L13" i="24"/>
  <c r="O32" i="46"/>
  <c r="H85" i="19"/>
  <c r="H43" i="19"/>
  <c r="L3" i="39"/>
  <c r="L8" i="39"/>
  <c r="H39" i="20"/>
  <c r="H80" i="20"/>
  <c r="G12" i="20"/>
  <c r="I17" i="24"/>
  <c r="I21" i="12" s="1"/>
  <c r="H84" i="19"/>
  <c r="H38" i="19"/>
  <c r="H83" i="19"/>
  <c r="H42" i="19"/>
  <c r="H7" i="39"/>
  <c r="N7" i="39"/>
  <c r="H8" i="39"/>
  <c r="J7" i="20"/>
  <c r="J15" i="20" s="1"/>
  <c r="H41" i="20"/>
  <c r="I41" i="20" s="1"/>
  <c r="G2" i="22"/>
  <c r="J50" i="20"/>
  <c r="J58" i="20" s="1"/>
  <c r="J94" i="20" s="1"/>
  <c r="I13" i="24"/>
  <c r="I6" i="10" s="1"/>
  <c r="G98" i="11"/>
  <c r="J101" i="11" s="1"/>
  <c r="F29" i="36"/>
  <c r="F43" i="36" s="1"/>
  <c r="O40" i="46"/>
  <c r="H87" i="19"/>
  <c r="H59" i="19" s="1"/>
  <c r="J59" i="19" s="1"/>
  <c r="H41" i="19"/>
  <c r="B7" i="39"/>
  <c r="J8" i="39"/>
  <c r="G4" i="10"/>
  <c r="G12" i="10" s="1"/>
  <c r="J19" i="24"/>
  <c r="H37" i="20"/>
  <c r="G50" i="11"/>
  <c r="G5" i="12"/>
  <c r="G28" i="12" s="1"/>
  <c r="H53" i="24"/>
  <c r="H86" i="19"/>
  <c r="F7" i="39"/>
  <c r="F8" i="39"/>
  <c r="H38" i="20"/>
  <c r="K13" i="24"/>
  <c r="J49" i="20"/>
  <c r="J57" i="20" s="1"/>
  <c r="J93" i="20" s="1"/>
  <c r="J13" i="24"/>
  <c r="G51" i="22"/>
  <c r="J54" i="22" s="1"/>
  <c r="I19" i="24"/>
  <c r="I6" i="20" s="1"/>
  <c r="L19" i="24"/>
  <c r="AYM2" i="52"/>
  <c r="K19" i="24"/>
  <c r="B8" i="39"/>
  <c r="H83" i="20"/>
  <c r="J16" i="24"/>
  <c r="H85" i="20"/>
  <c r="I85" i="20" s="1"/>
  <c r="H40" i="20"/>
  <c r="J17" i="24"/>
  <c r="F1" i="30"/>
  <c r="F24" i="30" s="1"/>
  <c r="O26" i="46"/>
  <c r="H39" i="19"/>
  <c r="H40" i="19"/>
  <c r="D7" i="39"/>
  <c r="I15" i="24"/>
  <c r="H84" i="20"/>
  <c r="H36" i="20"/>
  <c r="I14" i="24"/>
  <c r="O28" i="46"/>
  <c r="O24" i="46"/>
  <c r="O39" i="46"/>
  <c r="O41" i="46"/>
  <c r="O57" i="46"/>
  <c r="O27" i="46"/>
  <c r="O56" i="46"/>
  <c r="O45" i="46"/>
  <c r="O50" i="46"/>
  <c r="O44" i="46"/>
  <c r="O31" i="46"/>
  <c r="O46" i="46"/>
  <c r="O25" i="46"/>
  <c r="O34" i="46"/>
  <c r="O43" i="46"/>
  <c r="O33" i="46"/>
  <c r="O36" i="46"/>
  <c r="O42" i="46"/>
  <c r="O52" i="46"/>
  <c r="H13" i="18"/>
  <c r="O34" i="51"/>
  <c r="O44" i="51"/>
  <c r="O43" i="51"/>
  <c r="O53" i="51"/>
  <c r="O54" i="51"/>
  <c r="O40" i="51"/>
  <c r="O27" i="51"/>
  <c r="O47" i="51"/>
  <c r="O38" i="51"/>
  <c r="O26" i="51"/>
  <c r="O57" i="51"/>
  <c r="O28" i="51"/>
  <c r="O41" i="51"/>
  <c r="O30" i="51"/>
  <c r="O32" i="51"/>
  <c r="O42" i="51"/>
  <c r="O36" i="51"/>
  <c r="O33" i="51"/>
  <c r="I16" i="24"/>
  <c r="O29" i="51"/>
  <c r="O52" i="51"/>
  <c r="O25" i="51"/>
  <c r="O26" i="41"/>
  <c r="Q26" i="41" s="1"/>
  <c r="S26" i="41" s="1"/>
  <c r="U26" i="41" s="1"/>
  <c r="O35" i="51"/>
  <c r="O37" i="51"/>
  <c r="O53" i="41"/>
  <c r="Q53" i="41" s="1"/>
  <c r="S53" i="41" s="1"/>
  <c r="U53" i="41" s="1"/>
  <c r="HY2" i="52"/>
  <c r="AGM2" i="52"/>
  <c r="D643" i="47"/>
  <c r="H2" i="31"/>
  <c r="D15" i="24"/>
  <c r="D74" i="47"/>
  <c r="BU2" i="52" s="1"/>
  <c r="D2" i="7"/>
  <c r="YK2" i="52"/>
  <c r="O51" i="24"/>
  <c r="B2" i="36"/>
  <c r="B4" i="55"/>
  <c r="C51" i="24"/>
  <c r="P58" i="19"/>
  <c r="J58" i="19"/>
  <c r="AQT2" i="52"/>
  <c r="J102" i="19"/>
  <c r="J104" i="19" s="1"/>
  <c r="J105" i="19" s="1"/>
  <c r="D102" i="19"/>
  <c r="D104" i="19" s="1"/>
  <c r="D106" i="19" s="1"/>
  <c r="P13" i="19"/>
  <c r="AG101" i="33"/>
  <c r="Y101" i="33"/>
  <c r="G7" i="31"/>
  <c r="I7" i="39"/>
  <c r="K7" i="39"/>
  <c r="C7" i="31"/>
  <c r="G7" i="7"/>
  <c r="I7" i="7"/>
  <c r="O7" i="39"/>
  <c r="C7" i="7"/>
  <c r="E7" i="7"/>
  <c r="C7" i="39"/>
  <c r="M7" i="39"/>
  <c r="K7" i="7"/>
  <c r="K7" i="31"/>
  <c r="K7" i="30"/>
  <c r="E7" i="31"/>
  <c r="G7" i="39"/>
  <c r="G7" i="30"/>
  <c r="C7" i="30"/>
  <c r="I7" i="31"/>
  <c r="BB94" i="41"/>
  <c r="P102" i="19"/>
  <c r="P104" i="19" s="1"/>
  <c r="P105" i="19" s="1"/>
  <c r="P107" i="19" s="1"/>
  <c r="N102" i="49"/>
  <c r="Y106" i="49"/>
  <c r="N104" i="46"/>
  <c r="C105" i="41"/>
  <c r="O5" i="11"/>
  <c r="O26" i="11" s="1"/>
  <c r="B28" i="31"/>
  <c r="I16" i="11"/>
  <c r="O5" i="12"/>
  <c r="O28" i="12" s="1"/>
  <c r="C5" i="11"/>
  <c r="C26" i="11" s="1"/>
  <c r="H28" i="31"/>
  <c r="H26" i="31"/>
  <c r="N105" i="51"/>
  <c r="N105" i="41"/>
  <c r="I17" i="22"/>
  <c r="C16" i="11"/>
  <c r="J28" i="31"/>
  <c r="C13" i="9"/>
  <c r="J28" i="30"/>
  <c r="C5" i="19"/>
  <c r="C13" i="19" s="1"/>
  <c r="I5" i="12"/>
  <c r="I28" i="12" s="1"/>
  <c r="O16" i="11"/>
  <c r="I54" i="22"/>
  <c r="I84" i="22" s="1"/>
  <c r="N101" i="51"/>
  <c r="O4" i="18"/>
  <c r="C102" i="49"/>
  <c r="N106" i="49"/>
  <c r="N105" i="40"/>
  <c r="C104" i="46"/>
  <c r="B24" i="39"/>
  <c r="C25" i="22"/>
  <c r="C5" i="12"/>
  <c r="C28" i="12" s="1"/>
  <c r="C5" i="22"/>
  <c r="C35" i="22" s="1"/>
  <c r="F28" i="31"/>
  <c r="C17" i="22"/>
  <c r="L94" i="41"/>
  <c r="AH94" i="33"/>
  <c r="B26" i="30"/>
  <c r="Y102" i="49"/>
  <c r="C105" i="40"/>
  <c r="Y105" i="41"/>
  <c r="I4" i="18"/>
  <c r="O54" i="22"/>
  <c r="O84" i="22" s="1"/>
  <c r="D658" i="47"/>
  <c r="I74" i="22"/>
  <c r="C4" i="20"/>
  <c r="J28" i="7"/>
  <c r="C5" i="9"/>
  <c r="C23" i="9" s="1"/>
  <c r="C105" i="51"/>
  <c r="Y104" i="46"/>
  <c r="T105" i="33"/>
  <c r="T103" i="33" s="1"/>
  <c r="B28" i="30"/>
  <c r="F28" i="7"/>
  <c r="O74" i="22"/>
  <c r="D28" i="30"/>
  <c r="O25" i="22"/>
  <c r="O5" i="9"/>
  <c r="O23" i="9" s="1"/>
  <c r="O5" i="22"/>
  <c r="O35" i="22" s="1"/>
  <c r="Y105" i="51"/>
  <c r="C106" i="49"/>
  <c r="I66" i="22"/>
  <c r="C4" i="1"/>
  <c r="F28" i="30"/>
  <c r="J24" i="39"/>
  <c r="D24" i="39"/>
  <c r="O17" i="22"/>
  <c r="H28" i="7"/>
  <c r="I5" i="9"/>
  <c r="I23" i="9" s="1"/>
  <c r="AH94" i="40"/>
  <c r="W94" i="33"/>
  <c r="Y101" i="51"/>
  <c r="H28" i="30"/>
  <c r="C4" i="18"/>
  <c r="C4" i="10"/>
  <c r="I13" i="9"/>
  <c r="I5" i="11"/>
  <c r="I26" i="11" s="1"/>
  <c r="H24" i="39"/>
  <c r="F24" i="39"/>
  <c r="GT2" i="52"/>
  <c r="TO2" i="52"/>
  <c r="H6" i="30"/>
  <c r="H9" i="30" s="1"/>
  <c r="R89" i="33"/>
  <c r="V89" i="33"/>
  <c r="K47" i="26"/>
  <c r="K48" i="26" s="1"/>
  <c r="NN2" i="52"/>
  <c r="Y109" i="49"/>
  <c r="ZV2" i="52"/>
  <c r="J35" i="31"/>
  <c r="AVM2" i="52"/>
  <c r="XW2" i="52"/>
  <c r="H6" i="31"/>
  <c r="J44" i="31"/>
  <c r="K89" i="33"/>
  <c r="I89" i="33"/>
  <c r="J36" i="31"/>
  <c r="J45" i="31"/>
  <c r="D48" i="26"/>
  <c r="D52" i="26" s="1"/>
  <c r="K51" i="26"/>
  <c r="K52" i="26" s="1"/>
  <c r="N110" i="20"/>
  <c r="Q110" i="20" s="1"/>
  <c r="N13" i="1"/>
  <c r="P13" i="1" s="1"/>
  <c r="L34" i="26"/>
  <c r="N111" i="10"/>
  <c r="Q111" i="10" s="1"/>
  <c r="AA52" i="49"/>
  <c r="N22" i="20"/>
  <c r="Q22" i="20" s="1"/>
  <c r="AG118" i="49"/>
  <c r="AH118" i="49" s="1"/>
  <c r="N67" i="10"/>
  <c r="Q67" i="10" s="1"/>
  <c r="N24" i="19"/>
  <c r="P24" i="19" s="1"/>
  <c r="N23" i="10"/>
  <c r="Q23" i="10" s="1"/>
  <c r="N66" i="20"/>
  <c r="Q66" i="20" s="1"/>
  <c r="Y118" i="49"/>
  <c r="Z118" i="49" s="1"/>
  <c r="K39" i="26"/>
  <c r="H73" i="26"/>
  <c r="K73" i="26"/>
  <c r="K43" i="26"/>
  <c r="K44" i="26" s="1"/>
  <c r="H10" i="26"/>
  <c r="K10" i="26"/>
  <c r="K24" i="26" s="1"/>
  <c r="L39" i="26"/>
  <c r="K101" i="33"/>
  <c r="AN95" i="49"/>
  <c r="AH93" i="46"/>
  <c r="AO95" i="49"/>
  <c r="AP95" i="49"/>
  <c r="AH95" i="49"/>
  <c r="W93" i="46"/>
  <c r="L95" i="49"/>
  <c r="W94" i="40"/>
  <c r="L94" i="33"/>
  <c r="P103" i="33"/>
  <c r="W95" i="49"/>
  <c r="L93" i="46"/>
  <c r="AH94" i="51"/>
  <c r="O29" i="41"/>
  <c r="Q29" i="41" s="1"/>
  <c r="S29" i="41" s="1"/>
  <c r="U29" i="41" s="1"/>
  <c r="H26" i="33"/>
  <c r="AD51" i="33"/>
  <c r="J57" i="33"/>
  <c r="H42" i="33"/>
  <c r="J47" i="33"/>
  <c r="S59" i="33"/>
  <c r="L47" i="33"/>
  <c r="H60" i="33"/>
  <c r="U59" i="33"/>
  <c r="H43" i="33"/>
  <c r="H35" i="33"/>
  <c r="F25" i="33"/>
  <c r="H37" i="33"/>
  <c r="F26" i="33"/>
  <c r="AN89" i="46"/>
  <c r="AP89" i="46"/>
  <c r="AH115" i="40"/>
  <c r="AL115" i="40"/>
  <c r="AM115" i="40" s="1"/>
  <c r="L113" i="49"/>
  <c r="K115" i="49"/>
  <c r="J11" i="43"/>
  <c r="J12" i="43" s="1"/>
  <c r="I12" i="43"/>
  <c r="AC17" i="49"/>
  <c r="AE17" i="49"/>
  <c r="AE61" i="40"/>
  <c r="L112" i="40"/>
  <c r="AL112" i="40"/>
  <c r="AM112" i="40" s="1"/>
  <c r="AF113" i="40"/>
  <c r="AE114" i="40"/>
  <c r="F8" i="16"/>
  <c r="AG17" i="49"/>
  <c r="AA48" i="51"/>
  <c r="P64" i="49"/>
  <c r="P80" i="49" s="1"/>
  <c r="N80" i="49"/>
  <c r="AH113" i="49"/>
  <c r="AG115" i="49"/>
  <c r="H111" i="46"/>
  <c r="G113" i="46"/>
  <c r="F7" i="16"/>
  <c r="F25" i="48"/>
  <c r="AA113" i="51"/>
  <c r="AA47" i="51"/>
  <c r="J8" i="30"/>
  <c r="B6" i="30"/>
  <c r="AH114" i="46"/>
  <c r="AL114" i="46"/>
  <c r="AM114" i="46" s="1"/>
  <c r="C121" i="41"/>
  <c r="C122" i="40"/>
  <c r="V62" i="46"/>
  <c r="P62" i="46"/>
  <c r="P78" i="46" s="1"/>
  <c r="N78" i="46"/>
  <c r="AP90" i="41"/>
  <c r="W116" i="46"/>
  <c r="W114" i="49"/>
  <c r="V115" i="49"/>
  <c r="AL114" i="49"/>
  <c r="AM114" i="49" s="1"/>
  <c r="P113" i="40"/>
  <c r="P47" i="40"/>
  <c r="AH115" i="33"/>
  <c r="AL115" i="33"/>
  <c r="AM115" i="33" s="1"/>
  <c r="J113" i="49"/>
  <c r="I115" i="49"/>
  <c r="AL113" i="49"/>
  <c r="AM113" i="49" s="1"/>
  <c r="AH110" i="46"/>
  <c r="AG113" i="46"/>
  <c r="O113" i="49"/>
  <c r="N115" i="49"/>
  <c r="AF116" i="49"/>
  <c r="H115" i="51"/>
  <c r="W118" i="51"/>
  <c r="AL118" i="51"/>
  <c r="AM118" i="51" s="1"/>
  <c r="H35" i="22"/>
  <c r="H17" i="22"/>
  <c r="N113" i="46"/>
  <c r="AL37" i="46"/>
  <c r="AXT1" i="52"/>
  <c r="AAD1" i="52"/>
  <c r="AUV1" i="52"/>
  <c r="ASU1" i="52"/>
  <c r="ASD1" i="52"/>
  <c r="AQW1" i="52"/>
  <c r="AYF1" i="52"/>
  <c r="AAP1" i="52"/>
  <c r="APJ1" i="52"/>
  <c r="AOO1" i="52"/>
  <c r="AOK1" i="52"/>
  <c r="AUH1" i="52"/>
  <c r="ATB1" i="52"/>
  <c r="ARP1" i="52"/>
  <c r="QN1" i="52"/>
  <c r="BBI1" i="52"/>
  <c r="ADS1" i="52"/>
  <c r="ZW1" i="52"/>
  <c r="AXM1" i="52"/>
  <c r="AFN1" i="52"/>
  <c r="AEH1" i="52"/>
  <c r="ADU1" i="52"/>
  <c r="K34" i="26"/>
  <c r="BBM1" i="52"/>
  <c r="Z51" i="41"/>
  <c r="AB51" i="41" s="1"/>
  <c r="AD51" i="41" s="1"/>
  <c r="AF51" i="41" s="1"/>
  <c r="K29" i="26"/>
  <c r="H51" i="26"/>
  <c r="H52" i="26" s="1"/>
  <c r="H47" i="26"/>
  <c r="H48" i="26" s="1"/>
  <c r="AD33" i="46" l="1"/>
  <c r="V42" i="48"/>
  <c r="V105" i="48"/>
  <c r="V110" i="48"/>
  <c r="V63" i="48"/>
  <c r="V58" i="48"/>
  <c r="V18" i="48"/>
  <c r="V52" i="48"/>
  <c r="V37" i="48"/>
  <c r="D614" i="47" s="1"/>
  <c r="WL2" i="52"/>
  <c r="AA114" i="33"/>
  <c r="AB114" i="33" s="1"/>
  <c r="V38" i="48"/>
  <c r="D615" i="47" s="1"/>
  <c r="AUH2" i="52" s="1"/>
  <c r="V4" i="55"/>
  <c r="W71" i="55" s="1"/>
  <c r="V16" i="48"/>
  <c r="V31" i="48"/>
  <c r="V109" i="48"/>
  <c r="V81" i="48"/>
  <c r="V44" i="48"/>
  <c r="V72" i="48" s="1"/>
  <c r="F104" i="48"/>
  <c r="V19" i="48"/>
  <c r="F7" i="48"/>
  <c r="Z50" i="46"/>
  <c r="AH50" i="46"/>
  <c r="AB25" i="46"/>
  <c r="AB32" i="46"/>
  <c r="F17" i="48"/>
  <c r="V103" i="48"/>
  <c r="V46" i="48"/>
  <c r="V6" i="48"/>
  <c r="V17" i="48"/>
  <c r="V106" i="48"/>
  <c r="V41" i="48"/>
  <c r="D610" i="47" s="1"/>
  <c r="AUC2" i="52" s="1"/>
  <c r="F18" i="48"/>
  <c r="F50" i="48"/>
  <c r="F108" i="48"/>
  <c r="F105" i="48"/>
  <c r="U26" i="46"/>
  <c r="W42" i="46"/>
  <c r="AB31" i="46"/>
  <c r="AH33" i="46"/>
  <c r="AYJ2" i="52"/>
  <c r="Z51" i="46"/>
  <c r="T21" i="48"/>
  <c r="AF26" i="46"/>
  <c r="Q29" i="46"/>
  <c r="U32" i="46"/>
  <c r="AF43" i="46"/>
  <c r="AD45" i="46"/>
  <c r="Q41" i="46"/>
  <c r="W46" i="46"/>
  <c r="D24" i="31"/>
  <c r="D26" i="31" s="1"/>
  <c r="H43" i="31"/>
  <c r="D697" i="47" s="1"/>
  <c r="ZS2" i="52" s="1"/>
  <c r="F34" i="31"/>
  <c r="D744" i="47" s="1"/>
  <c r="AZB2" i="52" s="1"/>
  <c r="D34" i="31"/>
  <c r="D741" i="47" s="1"/>
  <c r="ABI2" i="52" s="1"/>
  <c r="F43" i="31"/>
  <c r="D694" i="47" s="1"/>
  <c r="AXF2" i="52" s="1"/>
  <c r="D43" i="31"/>
  <c r="D691" i="47" s="1"/>
  <c r="AXC2" i="52" s="1"/>
  <c r="B34" i="31"/>
  <c r="B43" i="31"/>
  <c r="H34" i="31"/>
  <c r="D747" i="47" s="1"/>
  <c r="AZE2" i="52" s="1"/>
  <c r="D24" i="7"/>
  <c r="D26" i="7" s="1"/>
  <c r="D33" i="7"/>
  <c r="H42" i="31"/>
  <c r="D696" i="47" s="1"/>
  <c r="ZR2" i="52" s="1"/>
  <c r="F33" i="31"/>
  <c r="D743" i="47" s="1"/>
  <c r="AZA2" i="52" s="1"/>
  <c r="B43" i="7"/>
  <c r="B42" i="7"/>
  <c r="B42" i="31"/>
  <c r="D33" i="30"/>
  <c r="F42" i="7"/>
  <c r="B33" i="7"/>
  <c r="H33" i="7"/>
  <c r="D720" i="47" s="1"/>
  <c r="AAN2" i="52" s="1"/>
  <c r="F42" i="31"/>
  <c r="D693" i="47" s="1"/>
  <c r="AXE2" i="52" s="1"/>
  <c r="D33" i="31"/>
  <c r="D740" i="47" s="1"/>
  <c r="AYX2" i="52" s="1"/>
  <c r="H42" i="7"/>
  <c r="B34" i="7"/>
  <c r="D42" i="31"/>
  <c r="D690" i="47" s="1"/>
  <c r="ZL2" i="52" s="1"/>
  <c r="H33" i="30"/>
  <c r="D733" i="47" s="1"/>
  <c r="AYQ2" i="52" s="1"/>
  <c r="D42" i="7"/>
  <c r="F33" i="30"/>
  <c r="H43" i="7"/>
  <c r="H42" i="30"/>
  <c r="D683" i="47" s="1"/>
  <c r="ZE2" i="52" s="1"/>
  <c r="F43" i="7"/>
  <c r="F42" i="30"/>
  <c r="B33" i="30"/>
  <c r="D43" i="7"/>
  <c r="D42" i="30"/>
  <c r="B33" i="31"/>
  <c r="H34" i="7"/>
  <c r="D721" i="47" s="1"/>
  <c r="AYE2" i="52" s="1"/>
  <c r="B42" i="30"/>
  <c r="F34" i="7"/>
  <c r="D34" i="7"/>
  <c r="H33" i="31"/>
  <c r="D746" i="47" s="1"/>
  <c r="AZD2" i="52" s="1"/>
  <c r="F33" i="7"/>
  <c r="D24" i="30"/>
  <c r="D26" i="30" s="1"/>
  <c r="H34" i="30"/>
  <c r="D734" i="47" s="1"/>
  <c r="AYR2" i="52" s="1"/>
  <c r="F34" i="30"/>
  <c r="D34" i="30"/>
  <c r="D43" i="30"/>
  <c r="B34" i="30"/>
  <c r="H43" i="30"/>
  <c r="D684" i="47" s="1"/>
  <c r="ZF2" i="52" s="1"/>
  <c r="B43" i="30"/>
  <c r="F43" i="30"/>
  <c r="Q58" i="46"/>
  <c r="W36" i="46"/>
  <c r="AH53" i="46"/>
  <c r="AB51" i="46"/>
  <c r="Q36" i="46"/>
  <c r="AD32" i="46"/>
  <c r="AD37" i="46"/>
  <c r="F53" i="48"/>
  <c r="Z44" i="46"/>
  <c r="AD43" i="46"/>
  <c r="AB26" i="46"/>
  <c r="S27" i="46"/>
  <c r="Z24" i="46"/>
  <c r="AD39" i="46"/>
  <c r="F39" i="48"/>
  <c r="D472" i="47" s="1"/>
  <c r="RC2" i="52" s="1"/>
  <c r="F22" i="48"/>
  <c r="V28" i="48"/>
  <c r="D613" i="47" s="1"/>
  <c r="WN2" i="52" s="1"/>
  <c r="V59" i="48"/>
  <c r="V30" i="48"/>
  <c r="W35" i="46"/>
  <c r="W41" i="46"/>
  <c r="U44" i="46"/>
  <c r="Z40" i="46"/>
  <c r="V34" i="48"/>
  <c r="V85" i="48"/>
  <c r="Z43" i="46"/>
  <c r="AB56" i="46"/>
  <c r="S40" i="46"/>
  <c r="Z34" i="46"/>
  <c r="Q59" i="46"/>
  <c r="AF32" i="46"/>
  <c r="AH51" i="46"/>
  <c r="S26" i="46"/>
  <c r="AH31" i="46"/>
  <c r="Z59" i="46"/>
  <c r="Q39" i="46"/>
  <c r="AH58" i="46"/>
  <c r="U42" i="46"/>
  <c r="Z25" i="46"/>
  <c r="Z52" i="46"/>
  <c r="Z33" i="46"/>
  <c r="W59" i="46"/>
  <c r="S24" i="46"/>
  <c r="AF39" i="46"/>
  <c r="U40" i="46"/>
  <c r="AD40" i="46"/>
  <c r="Q27" i="46"/>
  <c r="W44" i="46"/>
  <c r="Q42" i="46"/>
  <c r="AH27" i="46"/>
  <c r="Z36" i="46"/>
  <c r="S41" i="46"/>
  <c r="S42" i="46"/>
  <c r="AB37" i="46"/>
  <c r="Q50" i="46"/>
  <c r="F35" i="48"/>
  <c r="AH28" i="46"/>
  <c r="AB44" i="46"/>
  <c r="AH34" i="46"/>
  <c r="P92" i="48"/>
  <c r="D568" i="47" s="1"/>
  <c r="UU2" i="52" s="1"/>
  <c r="W37" i="46"/>
  <c r="S34" i="46"/>
  <c r="U36" i="46"/>
  <c r="Z56" i="46"/>
  <c r="AD34" i="46"/>
  <c r="AD26" i="46"/>
  <c r="Q52" i="46"/>
  <c r="F43" i="48"/>
  <c r="F16" i="48"/>
  <c r="V97" i="48"/>
  <c r="V11" i="48"/>
  <c r="AB58" i="46"/>
  <c r="Z28" i="46"/>
  <c r="AH29" i="46"/>
  <c r="Z46" i="46"/>
  <c r="V61" i="48"/>
  <c r="S45" i="46"/>
  <c r="S29" i="46"/>
  <c r="S33" i="46"/>
  <c r="W57" i="46"/>
  <c r="Q45" i="46"/>
  <c r="AB36" i="46"/>
  <c r="S25" i="46"/>
  <c r="U43" i="46"/>
  <c r="AH57" i="46"/>
  <c r="Q46" i="46"/>
  <c r="Q43" i="46"/>
  <c r="Z41" i="46"/>
  <c r="U25" i="46"/>
  <c r="U28" i="46"/>
  <c r="AD36" i="46"/>
  <c r="S46" i="46"/>
  <c r="AB39" i="46"/>
  <c r="AB46" i="46"/>
  <c r="Q33" i="46"/>
  <c r="Z39" i="46"/>
  <c r="AB52" i="46"/>
  <c r="Q53" i="46"/>
  <c r="F106" i="48"/>
  <c r="S36" i="46"/>
  <c r="AF37" i="46"/>
  <c r="W33" i="46"/>
  <c r="W45" i="46"/>
  <c r="AH59" i="46"/>
  <c r="U45" i="46"/>
  <c r="Q24" i="46"/>
  <c r="F27" i="48"/>
  <c r="F42" i="48"/>
  <c r="V83" i="48"/>
  <c r="V111" i="48"/>
  <c r="W43" i="46"/>
  <c r="AH25" i="46"/>
  <c r="Q35" i="46"/>
  <c r="V25" i="48"/>
  <c r="Q28" i="46"/>
  <c r="AF25" i="46"/>
  <c r="AF29" i="46"/>
  <c r="AD42" i="46"/>
  <c r="AB33" i="46"/>
  <c r="AF40" i="46"/>
  <c r="AB34" i="46"/>
  <c r="Z32" i="46"/>
  <c r="AF46" i="46"/>
  <c r="U37" i="46"/>
  <c r="U27" i="46"/>
  <c r="W52" i="46"/>
  <c r="AH46" i="46"/>
  <c r="W58" i="46"/>
  <c r="AB40" i="46"/>
  <c r="AH24" i="46"/>
  <c r="AF42" i="46"/>
  <c r="AH36" i="46"/>
  <c r="AD28" i="46"/>
  <c r="AD41" i="46"/>
  <c r="Z35" i="46"/>
  <c r="F64" i="48"/>
  <c r="AF24" i="46"/>
  <c r="Q56" i="46"/>
  <c r="C53" i="24"/>
  <c r="D481" i="47" s="1"/>
  <c r="RL2" i="52" s="1"/>
  <c r="F60" i="48"/>
  <c r="F24" i="48"/>
  <c r="V82" i="48"/>
  <c r="V66" i="48"/>
  <c r="W32" i="46"/>
  <c r="W39" i="46"/>
  <c r="AB42" i="46"/>
  <c r="Q57" i="46"/>
  <c r="V27" i="48"/>
  <c r="S31" i="46"/>
  <c r="AH26" i="46"/>
  <c r="Z42" i="46"/>
  <c r="W27" i="46"/>
  <c r="AD27" i="46"/>
  <c r="U39" i="46"/>
  <c r="W28" i="46"/>
  <c r="AF41" i="46"/>
  <c r="W24" i="46"/>
  <c r="AH37" i="46"/>
  <c r="U29" i="46"/>
  <c r="AH45" i="46"/>
  <c r="AH43" i="46"/>
  <c r="Q51" i="46"/>
  <c r="U31" i="46"/>
  <c r="W31" i="46"/>
  <c r="AB43" i="46"/>
  <c r="AD29" i="46"/>
  <c r="AF28" i="46"/>
  <c r="AD35" i="46"/>
  <c r="AB27" i="46"/>
  <c r="U41" i="46"/>
  <c r="AF36" i="46"/>
  <c r="AB29" i="46"/>
  <c r="Q34" i="46"/>
  <c r="Q44" i="46"/>
  <c r="AH32" i="46"/>
  <c r="AB24" i="46"/>
  <c r="S43" i="46"/>
  <c r="U24" i="46"/>
  <c r="AF45" i="46"/>
  <c r="Z58" i="46"/>
  <c r="AF44" i="46"/>
  <c r="AB45" i="46"/>
  <c r="W40" i="46"/>
  <c r="AH41" i="46"/>
  <c r="F15" i="48"/>
  <c r="AD46" i="46"/>
  <c r="W53" i="46"/>
  <c r="AH42" i="46"/>
  <c r="F58" i="48"/>
  <c r="F21" i="48"/>
  <c r="V14" i="48"/>
  <c r="V43" i="48"/>
  <c r="X13" i="48"/>
  <c r="D629" i="47" s="1"/>
  <c r="AUU2" i="52" s="1"/>
  <c r="W50" i="46"/>
  <c r="Q31" i="46"/>
  <c r="AB28" i="46"/>
  <c r="AB35" i="46"/>
  <c r="V65" i="48"/>
  <c r="Z27" i="46"/>
  <c r="U35" i="46"/>
  <c r="AH44" i="46"/>
  <c r="Z31" i="46"/>
  <c r="AF35" i="46"/>
  <c r="Z45" i="46"/>
  <c r="AF34" i="46"/>
  <c r="AF33" i="46"/>
  <c r="AF31" i="46"/>
  <c r="Z26" i="46"/>
  <c r="Q32" i="46"/>
  <c r="AH40" i="46"/>
  <c r="U46" i="46"/>
  <c r="AB41" i="46"/>
  <c r="Q37" i="46"/>
  <c r="AD24" i="46"/>
  <c r="S44" i="46"/>
  <c r="AB59" i="46"/>
  <c r="Q26" i="46"/>
  <c r="AF27" i="46"/>
  <c r="F29" i="48"/>
  <c r="AB57" i="46"/>
  <c r="Z53" i="46"/>
  <c r="AH52" i="46"/>
  <c r="Z57" i="46"/>
  <c r="S39" i="46"/>
  <c r="F2" i="36"/>
  <c r="F16" i="36" s="1"/>
  <c r="AH39" i="46"/>
  <c r="S28" i="46"/>
  <c r="W34" i="46"/>
  <c r="Z29" i="46"/>
  <c r="AB53" i="46"/>
  <c r="F40" i="48"/>
  <c r="F45" i="48"/>
  <c r="D474" i="47" s="1"/>
  <c r="RE2" i="52" s="1"/>
  <c r="V108" i="48"/>
  <c r="W71" i="48"/>
  <c r="D837" i="47" s="1"/>
  <c r="AFA2" i="52" s="1"/>
  <c r="X83" i="48"/>
  <c r="S35" i="46"/>
  <c r="S37" i="46"/>
  <c r="Z37" i="46"/>
  <c r="AH35" i="46"/>
  <c r="Q25" i="46"/>
  <c r="W25" i="46"/>
  <c r="W56" i="46"/>
  <c r="W26" i="46"/>
  <c r="W51" i="46"/>
  <c r="AB50" i="46"/>
  <c r="U34" i="46"/>
  <c r="AD44" i="46"/>
  <c r="AD25" i="46"/>
  <c r="Q40" i="46"/>
  <c r="AD31" i="46"/>
  <c r="S32" i="46"/>
  <c r="W29" i="46"/>
  <c r="B16" i="16"/>
  <c r="X50" i="48"/>
  <c r="B16" i="36"/>
  <c r="X26" i="48"/>
  <c r="F11" i="48"/>
  <c r="F87" i="48"/>
  <c r="V23" i="48"/>
  <c r="F57" i="48"/>
  <c r="F83" i="48"/>
  <c r="F59" i="48"/>
  <c r="F85" i="48"/>
  <c r="F8" i="48"/>
  <c r="F9" i="48"/>
  <c r="K116" i="40"/>
  <c r="X12" i="48"/>
  <c r="X8" i="48"/>
  <c r="F52" i="48"/>
  <c r="F23" i="48"/>
  <c r="F6" i="48"/>
  <c r="F48" i="48"/>
  <c r="F56" i="48"/>
  <c r="F13" i="48"/>
  <c r="D467" i="47" s="1"/>
  <c r="AOX2" i="52" s="1"/>
  <c r="X36" i="48"/>
  <c r="X15" i="48"/>
  <c r="O53" i="24"/>
  <c r="D410" i="47" s="1"/>
  <c r="OS2" i="52" s="1"/>
  <c r="X52" i="48"/>
  <c r="X55" i="48"/>
  <c r="F34" i="48"/>
  <c r="F37" i="48"/>
  <c r="D470" i="47" s="1"/>
  <c r="APA2" i="52" s="1"/>
  <c r="F98" i="48"/>
  <c r="F111" i="48"/>
  <c r="F109" i="48"/>
  <c r="F62" i="48"/>
  <c r="X40" i="48"/>
  <c r="D635" i="47" s="1"/>
  <c r="AVA2" i="52" s="1"/>
  <c r="X91" i="48"/>
  <c r="D641" i="47" s="1"/>
  <c r="AVF2" i="52" s="1"/>
  <c r="F10" i="48"/>
  <c r="F51" i="48"/>
  <c r="F74" i="48" s="1"/>
  <c r="F75" i="48" s="1"/>
  <c r="F30" i="48"/>
  <c r="F31" i="48"/>
  <c r="F41" i="48"/>
  <c r="D466" i="47" s="1"/>
  <c r="QW2" i="52" s="1"/>
  <c r="F47" i="48"/>
  <c r="X6" i="48"/>
  <c r="F55" i="48"/>
  <c r="F19" i="48"/>
  <c r="F12" i="48"/>
  <c r="F103" i="48"/>
  <c r="F46" i="48"/>
  <c r="F66" i="48"/>
  <c r="X103" i="48"/>
  <c r="F5" i="48"/>
  <c r="X95" i="48"/>
  <c r="D645" i="47" s="1"/>
  <c r="AVJ2" i="52" s="1"/>
  <c r="X53" i="48"/>
  <c r="F89" i="48"/>
  <c r="F107" i="48"/>
  <c r="F101" i="48"/>
  <c r="F44" i="48"/>
  <c r="F72" i="48" s="1"/>
  <c r="F67" i="48"/>
  <c r="F54" i="48"/>
  <c r="X56" i="48"/>
  <c r="F20" i="48"/>
  <c r="D468" i="47" s="1"/>
  <c r="QY2" i="52" s="1"/>
  <c r="F26" i="48"/>
  <c r="F28" i="48"/>
  <c r="D469" i="47" s="1"/>
  <c r="AOZ2" i="52" s="1"/>
  <c r="F4" i="55"/>
  <c r="F81" i="55" s="1"/>
  <c r="F49" i="48"/>
  <c r="D475" i="47" s="1"/>
  <c r="APE2" i="52" s="1"/>
  <c r="F38" i="48"/>
  <c r="D471" i="47" s="1"/>
  <c r="RB2" i="52" s="1"/>
  <c r="F36" i="48"/>
  <c r="F65" i="48"/>
  <c r="X19" i="48"/>
  <c r="I54" i="24"/>
  <c r="D362" i="47" s="1"/>
  <c r="MW2" i="52" s="1"/>
  <c r="P61" i="48"/>
  <c r="H12" i="10"/>
  <c r="V24" i="48"/>
  <c r="V35" i="48"/>
  <c r="V10" i="48"/>
  <c r="V92" i="48"/>
  <c r="D622" i="47" s="1"/>
  <c r="AUN2" i="52" s="1"/>
  <c r="V32" i="48"/>
  <c r="T43" i="48"/>
  <c r="P4" i="55"/>
  <c r="P24" i="55" s="1"/>
  <c r="P81" i="48"/>
  <c r="V87" i="48"/>
  <c r="P34" i="48"/>
  <c r="P103" i="48"/>
  <c r="S41" i="33"/>
  <c r="V101" i="48"/>
  <c r="V94" i="48"/>
  <c r="V50" i="48"/>
  <c r="V80" i="48"/>
  <c r="V91" i="48"/>
  <c r="D623" i="47" s="1"/>
  <c r="WX2" i="52" s="1"/>
  <c r="T105" i="48"/>
  <c r="P15" i="48"/>
  <c r="P91" i="48"/>
  <c r="D569" i="47" s="1"/>
  <c r="ASP2" i="52" s="1"/>
  <c r="V90" i="48"/>
  <c r="D621" i="47" s="1"/>
  <c r="AUM2" i="52" s="1"/>
  <c r="V49" i="48"/>
  <c r="D619" i="47" s="1"/>
  <c r="WT2" i="52" s="1"/>
  <c r="V98" i="48"/>
  <c r="P82" i="48"/>
  <c r="V12" i="48"/>
  <c r="V36" i="48"/>
  <c r="V26" i="48"/>
  <c r="V7" i="48"/>
  <c r="T90" i="48"/>
  <c r="D603" i="47" s="1"/>
  <c r="WD2" i="52" s="1"/>
  <c r="P16" i="48"/>
  <c r="V62" i="48"/>
  <c r="V8" i="48"/>
  <c r="P99" i="48"/>
  <c r="V89" i="48"/>
  <c r="V107" i="48"/>
  <c r="V56" i="48"/>
  <c r="V9" i="48"/>
  <c r="P9" i="48"/>
  <c r="V64" i="48"/>
  <c r="V5" i="48"/>
  <c r="V104" i="48"/>
  <c r="V96" i="48"/>
  <c r="V60" i="48"/>
  <c r="V21" i="48"/>
  <c r="V99" i="48"/>
  <c r="T20" i="48"/>
  <c r="D594" i="47" s="1"/>
  <c r="VU2" i="52" s="1"/>
  <c r="P14" i="48"/>
  <c r="P65" i="48"/>
  <c r="V51" i="48"/>
  <c r="V74" i="48" s="1"/>
  <c r="D814" i="47" s="1"/>
  <c r="AED2" i="52" s="1"/>
  <c r="V55" i="48"/>
  <c r="P89" i="51"/>
  <c r="P45" i="48"/>
  <c r="D564" i="47" s="1"/>
  <c r="UQ2" i="52" s="1"/>
  <c r="P23" i="48"/>
  <c r="H22" i="10"/>
  <c r="V53" i="48"/>
  <c r="V67" i="48"/>
  <c r="V57" i="48"/>
  <c r="V33" i="48"/>
  <c r="P36" i="48"/>
  <c r="P97" i="48"/>
  <c r="P21" i="48"/>
  <c r="V45" i="48"/>
  <c r="D618" i="47" s="1"/>
  <c r="WS2" i="52" s="1"/>
  <c r="V54" i="48"/>
  <c r="P32" i="48"/>
  <c r="G22" i="18"/>
  <c r="U28" i="33"/>
  <c r="V29" i="48"/>
  <c r="V40" i="48"/>
  <c r="V95" i="48"/>
  <c r="D627" i="47" s="1"/>
  <c r="AUS2" i="52" s="1"/>
  <c r="V47" i="48"/>
  <c r="V20" i="48"/>
  <c r="D612" i="47" s="1"/>
  <c r="WM2" i="52" s="1"/>
  <c r="T19" i="48"/>
  <c r="P35" i="48"/>
  <c r="V48" i="48"/>
  <c r="X24" i="48"/>
  <c r="X38" i="48"/>
  <c r="D633" i="47" s="1"/>
  <c r="XH2" i="52" s="1"/>
  <c r="X101" i="48"/>
  <c r="P63" i="48"/>
  <c r="Y107" i="49"/>
  <c r="X28" i="48"/>
  <c r="D631" i="47" s="1"/>
  <c r="XF2" i="52" s="1"/>
  <c r="X37" i="48"/>
  <c r="D632" i="47" s="1"/>
  <c r="AUX2" i="52" s="1"/>
  <c r="X34" i="48"/>
  <c r="X45" i="48"/>
  <c r="D636" i="47" s="1"/>
  <c r="XK2" i="52" s="1"/>
  <c r="X27" i="48"/>
  <c r="P41" i="48"/>
  <c r="D556" i="47" s="1"/>
  <c r="ASD2" i="52" s="1"/>
  <c r="P28" i="48"/>
  <c r="D559" i="47" s="1"/>
  <c r="ASG2" i="52" s="1"/>
  <c r="Y71" i="48"/>
  <c r="D838" i="47" s="1"/>
  <c r="AFB2" i="52" s="1"/>
  <c r="P22" i="48"/>
  <c r="P101" i="48"/>
  <c r="P46" i="48"/>
  <c r="P37" i="48"/>
  <c r="D560" i="47" s="1"/>
  <c r="ASH2" i="52" s="1"/>
  <c r="P48" i="48"/>
  <c r="K72" i="9"/>
  <c r="K74" i="9" s="1"/>
  <c r="X80" i="48"/>
  <c r="X106" i="48"/>
  <c r="X61" i="48"/>
  <c r="X60" i="48"/>
  <c r="P60" i="48"/>
  <c r="P5" i="48"/>
  <c r="P89" i="48"/>
  <c r="X98" i="48"/>
  <c r="P53" i="48"/>
  <c r="P85" i="48"/>
  <c r="P110" i="48"/>
  <c r="I51" i="24"/>
  <c r="D314" i="47" s="1"/>
  <c r="X29" i="48"/>
  <c r="X49" i="48"/>
  <c r="D637" i="47" s="1"/>
  <c r="AVB2" i="52" s="1"/>
  <c r="X31" i="48"/>
  <c r="X51" i="48"/>
  <c r="X74" i="48" s="1"/>
  <c r="X75" i="48" s="1"/>
  <c r="X47" i="48"/>
  <c r="X87" i="48"/>
  <c r="P40" i="48"/>
  <c r="D563" i="47" s="1"/>
  <c r="ASK2" i="52" s="1"/>
  <c r="P55" i="48"/>
  <c r="X59" i="48"/>
  <c r="P30" i="48"/>
  <c r="P64" i="48"/>
  <c r="P59" i="48"/>
  <c r="P38" i="48"/>
  <c r="D561" i="47" s="1"/>
  <c r="UN2" i="52" s="1"/>
  <c r="P54" i="48"/>
  <c r="X43" i="48"/>
  <c r="X39" i="48"/>
  <c r="D634" i="47" s="1"/>
  <c r="AUZ2" i="52" s="1"/>
  <c r="X30" i="48"/>
  <c r="P106" i="48"/>
  <c r="P105" i="48"/>
  <c r="P29" i="48"/>
  <c r="P47" i="48"/>
  <c r="P86" i="51"/>
  <c r="P98" i="51" s="1"/>
  <c r="X33" i="48"/>
  <c r="X111" i="48"/>
  <c r="X63" i="48"/>
  <c r="X44" i="48"/>
  <c r="X72" i="48" s="1"/>
  <c r="X57" i="48"/>
  <c r="X23" i="48"/>
  <c r="P39" i="48"/>
  <c r="D562" i="47" s="1"/>
  <c r="ASJ2" i="52" s="1"/>
  <c r="P49" i="48"/>
  <c r="D565" i="47" s="1"/>
  <c r="ASL2" i="52" s="1"/>
  <c r="P8" i="48"/>
  <c r="P62" i="48"/>
  <c r="P31" i="48"/>
  <c r="P44" i="48"/>
  <c r="P72" i="48" s="1"/>
  <c r="X41" i="48"/>
  <c r="D628" i="47" s="1"/>
  <c r="XC2" i="52" s="1"/>
  <c r="P26" i="48"/>
  <c r="P25" i="48"/>
  <c r="J4" i="48"/>
  <c r="J56" i="48" s="1"/>
  <c r="L4" i="48"/>
  <c r="L64" i="48" s="1"/>
  <c r="X108" i="48"/>
  <c r="X10" i="48"/>
  <c r="X107" i="48"/>
  <c r="X94" i="48"/>
  <c r="X32" i="48"/>
  <c r="X89" i="48"/>
  <c r="P24" i="48"/>
  <c r="P27" i="48"/>
  <c r="P109" i="48"/>
  <c r="P43" i="48"/>
  <c r="P52" i="48"/>
  <c r="P80" i="48"/>
  <c r="X22" i="48"/>
  <c r="X81" i="48"/>
  <c r="X96" i="48"/>
  <c r="X14" i="48"/>
  <c r="X58" i="48"/>
  <c r="P96" i="48"/>
  <c r="X82" i="48"/>
  <c r="X16" i="48"/>
  <c r="X48" i="48"/>
  <c r="X17" i="48"/>
  <c r="X11" i="48"/>
  <c r="X54" i="48"/>
  <c r="P90" i="48"/>
  <c r="D567" i="47" s="1"/>
  <c r="ASN2" i="52" s="1"/>
  <c r="P6" i="48"/>
  <c r="P33" i="48"/>
  <c r="P11" i="48"/>
  <c r="P94" i="48"/>
  <c r="P17" i="48"/>
  <c r="X110" i="48"/>
  <c r="P108" i="48"/>
  <c r="X85" i="48"/>
  <c r="P12" i="48"/>
  <c r="X35" i="48"/>
  <c r="X97" i="48"/>
  <c r="X67" i="48"/>
  <c r="X65" i="48"/>
  <c r="X9" i="48"/>
  <c r="X42" i="48"/>
  <c r="P57" i="48"/>
  <c r="P19" i="48"/>
  <c r="X62" i="48"/>
  <c r="P10" i="48"/>
  <c r="P20" i="48"/>
  <c r="D558" i="47" s="1"/>
  <c r="UK2" i="52" s="1"/>
  <c r="Q71" i="48"/>
  <c r="D834" i="47" s="1"/>
  <c r="BCN2" i="52" s="1"/>
  <c r="P111" i="48"/>
  <c r="X4" i="55"/>
  <c r="X18" i="55" s="1"/>
  <c r="I52" i="24"/>
  <c r="D330" i="47" s="1"/>
  <c r="LQ2" i="52" s="1"/>
  <c r="X92" i="48"/>
  <c r="D640" i="47" s="1"/>
  <c r="AVE2" i="52" s="1"/>
  <c r="P51" i="48"/>
  <c r="P74" i="48" s="1"/>
  <c r="D811" i="47" s="1"/>
  <c r="BBQ2" i="52" s="1"/>
  <c r="P83" i="48"/>
  <c r="P42" i="48"/>
  <c r="P66" i="48"/>
  <c r="X104" i="48"/>
  <c r="P56" i="48"/>
  <c r="P58" i="48"/>
  <c r="X5" i="48"/>
  <c r="X46" i="48"/>
  <c r="X18" i="48"/>
  <c r="X20" i="48"/>
  <c r="D630" i="47" s="1"/>
  <c r="AUV2" i="52" s="1"/>
  <c r="X105" i="48"/>
  <c r="X90" i="48"/>
  <c r="D639" i="47" s="1"/>
  <c r="XN2" i="52" s="1"/>
  <c r="P50" i="48"/>
  <c r="P7" i="48"/>
  <c r="P13" i="48"/>
  <c r="D557" i="47" s="1"/>
  <c r="P95" i="48"/>
  <c r="D573" i="47" s="1"/>
  <c r="UZ2" i="52" s="1"/>
  <c r="X64" i="48"/>
  <c r="X109" i="48"/>
  <c r="X66" i="48"/>
  <c r="X99" i="48"/>
  <c r="X7" i="48"/>
  <c r="X21" i="48"/>
  <c r="P107" i="48"/>
  <c r="P67" i="48"/>
  <c r="AE97" i="40"/>
  <c r="P87" i="48"/>
  <c r="P98" i="48"/>
  <c r="P18" i="48"/>
  <c r="T28" i="48"/>
  <c r="D595" i="47" s="1"/>
  <c r="VV2" i="52" s="1"/>
  <c r="T25" i="48"/>
  <c r="T51" i="48"/>
  <c r="T74" i="48" s="1"/>
  <c r="T75" i="48" s="1"/>
  <c r="T48" i="48"/>
  <c r="T29" i="48"/>
  <c r="T34" i="48"/>
  <c r="T49" i="48"/>
  <c r="D601" i="47" s="1"/>
  <c r="WB2" i="52" s="1"/>
  <c r="T52" i="48"/>
  <c r="T30" i="48"/>
  <c r="T89" i="48"/>
  <c r="T61" i="48"/>
  <c r="T103" i="48"/>
  <c r="T42" i="48"/>
  <c r="T83" i="48"/>
  <c r="T12" i="48"/>
  <c r="T10" i="48"/>
  <c r="T26" i="48"/>
  <c r="T18" i="48"/>
  <c r="J43" i="46"/>
  <c r="U50" i="46"/>
  <c r="H35" i="46"/>
  <c r="F59" i="46"/>
  <c r="S53" i="46"/>
  <c r="L31" i="46"/>
  <c r="AB44" i="51"/>
  <c r="T62" i="48"/>
  <c r="T5" i="48"/>
  <c r="T54" i="48"/>
  <c r="T101" i="48"/>
  <c r="T64" i="48"/>
  <c r="T15" i="48"/>
  <c r="T45" i="48"/>
  <c r="D600" i="47" s="1"/>
  <c r="WA2" i="52" s="1"/>
  <c r="T111" i="48"/>
  <c r="F43" i="51"/>
  <c r="T96" i="48"/>
  <c r="T40" i="48"/>
  <c r="D599" i="47" s="1"/>
  <c r="ATS2" i="52" s="1"/>
  <c r="T41" i="48"/>
  <c r="D592" i="47" s="1"/>
  <c r="ATL2" i="52" s="1"/>
  <c r="T82" i="48"/>
  <c r="W46" i="51"/>
  <c r="T81" i="48"/>
  <c r="T99" i="48"/>
  <c r="T11" i="48"/>
  <c r="T98" i="48"/>
  <c r="I116" i="40"/>
  <c r="J116" i="40" s="1"/>
  <c r="L26" i="51"/>
  <c r="T6" i="48"/>
  <c r="J53" i="46"/>
  <c r="T95" i="48"/>
  <c r="D609" i="47" s="1"/>
  <c r="WJ2" i="52" s="1"/>
  <c r="T8" i="48"/>
  <c r="T58" i="48"/>
  <c r="T59" i="48"/>
  <c r="AE98" i="40"/>
  <c r="Q43" i="51"/>
  <c r="AF38" i="51"/>
  <c r="Q116" i="9"/>
  <c r="Q118" i="9" s="1"/>
  <c r="AG99" i="40"/>
  <c r="AE81" i="40"/>
  <c r="AO109" i="33"/>
  <c r="O57" i="41"/>
  <c r="Q57" i="41" s="1"/>
  <c r="S57" i="41" s="1"/>
  <c r="U57" i="41" s="1"/>
  <c r="Y106" i="40"/>
  <c r="E78" i="11"/>
  <c r="E80" i="11" s="1"/>
  <c r="W28" i="33"/>
  <c r="F28" i="51"/>
  <c r="O46" i="41"/>
  <c r="Q46" i="41" s="1"/>
  <c r="S46" i="41" s="1"/>
  <c r="U46" i="41" s="1"/>
  <c r="S32" i="33"/>
  <c r="T7" i="48"/>
  <c r="T53" i="48"/>
  <c r="T66" i="48"/>
  <c r="T67" i="48"/>
  <c r="U46" i="51"/>
  <c r="T14" i="48"/>
  <c r="T87" i="48"/>
  <c r="T109" i="48"/>
  <c r="T38" i="48"/>
  <c r="T27" i="48"/>
  <c r="T91" i="48"/>
  <c r="D605" i="47" s="1"/>
  <c r="WF2" i="52" s="1"/>
  <c r="W47" i="51"/>
  <c r="S43" i="33"/>
  <c r="U71" i="48"/>
  <c r="D836" i="47" s="1"/>
  <c r="AEZ2" i="52" s="1"/>
  <c r="T60" i="48"/>
  <c r="T50" i="48"/>
  <c r="T56" i="48"/>
  <c r="T85" i="48"/>
  <c r="AZC2" i="52"/>
  <c r="AB60" i="51"/>
  <c r="W26" i="33"/>
  <c r="T46" i="48"/>
  <c r="T36" i="48"/>
  <c r="T22" i="48"/>
  <c r="T13" i="48"/>
  <c r="D593" i="47" s="1"/>
  <c r="ATM2" i="52" s="1"/>
  <c r="AN109" i="33"/>
  <c r="AD35" i="51"/>
  <c r="T32" i="48"/>
  <c r="W51" i="33"/>
  <c r="V83" i="33" s="1"/>
  <c r="AD41" i="51"/>
  <c r="T37" i="48"/>
  <c r="D596" i="47" s="1"/>
  <c r="VW2" i="52" s="1"/>
  <c r="T44" i="48"/>
  <c r="T72" i="48" s="1"/>
  <c r="T107" i="48"/>
  <c r="T47" i="48"/>
  <c r="Q44" i="33"/>
  <c r="AB47" i="51"/>
  <c r="J28" i="51"/>
  <c r="Z34" i="51"/>
  <c r="Q54" i="51"/>
  <c r="AD33" i="51"/>
  <c r="J32" i="51"/>
  <c r="AD26" i="51"/>
  <c r="F40" i="51"/>
  <c r="T110" i="48"/>
  <c r="T16" i="48"/>
  <c r="T24" i="48"/>
  <c r="T39" i="48"/>
  <c r="D598" i="47" s="1"/>
  <c r="ATR2" i="52" s="1"/>
  <c r="T31" i="48"/>
  <c r="F54" i="51"/>
  <c r="Q44" i="51"/>
  <c r="AB54" i="51"/>
  <c r="U47" i="33"/>
  <c r="O45" i="33"/>
  <c r="Q43" i="33"/>
  <c r="S28" i="33"/>
  <c r="O46" i="33"/>
  <c r="O52" i="33"/>
  <c r="AB36" i="51"/>
  <c r="AH51" i="51"/>
  <c r="AG83" i="51" s="1"/>
  <c r="Z26" i="51"/>
  <c r="Q46" i="33"/>
  <c r="Q45" i="33"/>
  <c r="Q58" i="33"/>
  <c r="W25" i="33"/>
  <c r="AE98" i="41"/>
  <c r="J29" i="51"/>
  <c r="N26" i="11"/>
  <c r="U38" i="51"/>
  <c r="AE99" i="41"/>
  <c r="S44" i="33"/>
  <c r="U27" i="33"/>
  <c r="F38" i="51"/>
  <c r="Q35" i="51"/>
  <c r="F25" i="51"/>
  <c r="Z45" i="51"/>
  <c r="AL116" i="46"/>
  <c r="AM116" i="46" s="1"/>
  <c r="W32" i="33"/>
  <c r="T94" i="48"/>
  <c r="T97" i="48"/>
  <c r="T35" i="48"/>
  <c r="T65" i="48"/>
  <c r="T104" i="48"/>
  <c r="T55" i="48"/>
  <c r="T63" i="48"/>
  <c r="W46" i="41"/>
  <c r="AB27" i="51"/>
  <c r="K126" i="11"/>
  <c r="K128" i="11" s="1"/>
  <c r="F60" i="51"/>
  <c r="Z58" i="41"/>
  <c r="AB58" i="41" s="1"/>
  <c r="AD58" i="41" s="1"/>
  <c r="AF58" i="41" s="1"/>
  <c r="AH58" i="41" s="1"/>
  <c r="H43" i="51"/>
  <c r="Q57" i="33"/>
  <c r="W43" i="33"/>
  <c r="U42" i="33"/>
  <c r="O41" i="33"/>
  <c r="O47" i="33"/>
  <c r="O26" i="33"/>
  <c r="T4" i="55"/>
  <c r="T11" i="55" s="1"/>
  <c r="O63" i="24"/>
  <c r="O49" i="20" s="1"/>
  <c r="O93" i="20" s="1"/>
  <c r="O35" i="33"/>
  <c r="AXJ2" i="52"/>
  <c r="AB28" i="51"/>
  <c r="U45" i="51"/>
  <c r="AB40" i="51"/>
  <c r="T108" i="48"/>
  <c r="Q37" i="51"/>
  <c r="S45" i="33"/>
  <c r="U43" i="33"/>
  <c r="U32" i="33"/>
  <c r="AE108" i="51"/>
  <c r="Q53" i="33"/>
  <c r="AF30" i="51"/>
  <c r="O33" i="33"/>
  <c r="T92" i="48"/>
  <c r="D604" i="47" s="1"/>
  <c r="ATW2" i="52" s="1"/>
  <c r="T57" i="48"/>
  <c r="T17" i="48"/>
  <c r="T23" i="48"/>
  <c r="T33" i="48"/>
  <c r="T9" i="48"/>
  <c r="T80" i="48"/>
  <c r="Q58" i="51"/>
  <c r="Q41" i="51"/>
  <c r="J44" i="51"/>
  <c r="U34" i="33"/>
  <c r="O36" i="33"/>
  <c r="U26" i="33"/>
  <c r="U36" i="33"/>
  <c r="W37" i="33"/>
  <c r="Q26" i="33"/>
  <c r="O44" i="33"/>
  <c r="W54" i="33"/>
  <c r="W34" i="33"/>
  <c r="Q37" i="33"/>
  <c r="W40" i="33"/>
  <c r="U44" i="33"/>
  <c r="U30" i="33"/>
  <c r="U37" i="33"/>
  <c r="W52" i="33"/>
  <c r="AG98" i="40"/>
  <c r="G81" i="51"/>
  <c r="Q36" i="33"/>
  <c r="W27" i="33"/>
  <c r="Q54" i="33"/>
  <c r="U29" i="33"/>
  <c r="O29" i="33"/>
  <c r="O43" i="33"/>
  <c r="W46" i="33"/>
  <c r="W35" i="33"/>
  <c r="O38" i="33"/>
  <c r="O28" i="33"/>
  <c r="W33" i="33"/>
  <c r="S34" i="33"/>
  <c r="Q32" i="33"/>
  <c r="W30" i="33"/>
  <c r="Q47" i="33"/>
  <c r="W47" i="33"/>
  <c r="Q33" i="33"/>
  <c r="Q35" i="33"/>
  <c r="S30" i="33"/>
  <c r="O58" i="33"/>
  <c r="W57" i="33"/>
  <c r="O27" i="33"/>
  <c r="W42" i="33"/>
  <c r="Q51" i="33"/>
  <c r="U46" i="33"/>
  <c r="W58" i="33"/>
  <c r="O57" i="33"/>
  <c r="W45" i="33"/>
  <c r="U35" i="33"/>
  <c r="U45" i="33"/>
  <c r="W44" i="33"/>
  <c r="Q52" i="33"/>
  <c r="Q29" i="33"/>
  <c r="Q38" i="33"/>
  <c r="O53" i="33"/>
  <c r="S25" i="33"/>
  <c r="O25" i="33"/>
  <c r="Q40" i="33"/>
  <c r="S37" i="33"/>
  <c r="U38" i="33"/>
  <c r="S38" i="33"/>
  <c r="S36" i="33"/>
  <c r="Q28" i="33"/>
  <c r="W41" i="33"/>
  <c r="Q30" i="33"/>
  <c r="O42" i="33"/>
  <c r="W38" i="33"/>
  <c r="S47" i="33"/>
  <c r="U40" i="33"/>
  <c r="O37" i="33"/>
  <c r="W53" i="33"/>
  <c r="O40" i="33"/>
  <c r="O34" i="33"/>
  <c r="O54" i="33"/>
  <c r="W29" i="33"/>
  <c r="S42" i="33"/>
  <c r="Q25" i="33"/>
  <c r="Q27" i="33"/>
  <c r="U41" i="33"/>
  <c r="S33" i="33"/>
  <c r="S26" i="33"/>
  <c r="O51" i="33"/>
  <c r="O30" i="33"/>
  <c r="S46" i="33"/>
  <c r="O32" i="33"/>
  <c r="S40" i="33"/>
  <c r="S27" i="33"/>
  <c r="Q41" i="33"/>
  <c r="S29" i="33"/>
  <c r="Q42" i="33"/>
  <c r="W36" i="33"/>
  <c r="S35" i="33"/>
  <c r="U33" i="33"/>
  <c r="U25" i="33"/>
  <c r="C116" i="40"/>
  <c r="Y115" i="46"/>
  <c r="H37" i="1"/>
  <c r="K78" i="11"/>
  <c r="K80" i="11" s="1"/>
  <c r="Y102" i="41"/>
  <c r="Z47" i="41"/>
  <c r="AB47" i="41" s="1"/>
  <c r="AD47" i="41" s="1"/>
  <c r="AF47" i="41" s="1"/>
  <c r="AH47" i="41" s="1"/>
  <c r="P114" i="51"/>
  <c r="P116" i="51" s="1"/>
  <c r="AD115" i="49"/>
  <c r="W34" i="41"/>
  <c r="AN91" i="49"/>
  <c r="AN109" i="49" s="1"/>
  <c r="Z59" i="41"/>
  <c r="AB59" i="41" s="1"/>
  <c r="AD59" i="41" s="1"/>
  <c r="AF59" i="41" s="1"/>
  <c r="AH59" i="41" s="1"/>
  <c r="K109" i="49"/>
  <c r="W58" i="41"/>
  <c r="Z34" i="41"/>
  <c r="AB34" i="41" s="1"/>
  <c r="AD34" i="41" s="1"/>
  <c r="AF34" i="41" s="1"/>
  <c r="AH34" i="41" s="1"/>
  <c r="N35" i="22"/>
  <c r="N17" i="22"/>
  <c r="H45" i="10"/>
  <c r="H66" i="10" s="1"/>
  <c r="W44" i="41"/>
  <c r="Z52" i="41"/>
  <c r="AB52" i="41" s="1"/>
  <c r="AD52" i="41" s="1"/>
  <c r="AF52" i="41" s="1"/>
  <c r="AH52" i="41" s="1"/>
  <c r="H84" i="22"/>
  <c r="H66" i="22"/>
  <c r="H114" i="22" s="1"/>
  <c r="U54" i="51"/>
  <c r="B101" i="11"/>
  <c r="O59" i="51"/>
  <c r="I46" i="16"/>
  <c r="D566" i="47" s="1"/>
  <c r="ASM2" i="52" s="1"/>
  <c r="H33" i="16"/>
  <c r="H13" i="31" s="1"/>
  <c r="H49" i="16"/>
  <c r="H50" i="16" s="1"/>
  <c r="H31" i="16"/>
  <c r="H30" i="16" s="1"/>
  <c r="AJ2" i="52" s="1"/>
  <c r="H23" i="30"/>
  <c r="H29" i="30" s="1"/>
  <c r="H35" i="16"/>
  <c r="H15" i="31" s="1"/>
  <c r="H41" i="16"/>
  <c r="D165" i="47" s="1"/>
  <c r="FH2" i="52" s="1"/>
  <c r="H43" i="16"/>
  <c r="H17" i="31"/>
  <c r="H23" i="31" s="1"/>
  <c r="H29" i="31" s="1"/>
  <c r="D162" i="47"/>
  <c r="FE2" i="52" s="1"/>
  <c r="AD116" i="40"/>
  <c r="O35" i="41"/>
  <c r="Q35" i="41" s="1"/>
  <c r="S35" i="41" s="1"/>
  <c r="U35" i="41" s="1"/>
  <c r="O42" i="41"/>
  <c r="Q42" i="41" s="1"/>
  <c r="S42" i="41" s="1"/>
  <c r="U42" i="41" s="1"/>
  <c r="O30" i="41"/>
  <c r="Q30" i="41" s="1"/>
  <c r="S30" i="41" s="1"/>
  <c r="U30" i="41" s="1"/>
  <c r="D114" i="51"/>
  <c r="AO109" i="49"/>
  <c r="O47" i="41"/>
  <c r="Q47" i="41" s="1"/>
  <c r="S47" i="41" s="1"/>
  <c r="U47" i="41" s="1"/>
  <c r="G119" i="40"/>
  <c r="O34" i="41"/>
  <c r="Q34" i="41" s="1"/>
  <c r="S34" i="41" s="1"/>
  <c r="U34" i="41" s="1"/>
  <c r="C6" i="31"/>
  <c r="O40" i="41"/>
  <c r="Q40" i="41" s="1"/>
  <c r="S40" i="41" s="1"/>
  <c r="U40" i="41" s="1"/>
  <c r="O58" i="41"/>
  <c r="Q58" i="41" s="1"/>
  <c r="S58" i="41" s="1"/>
  <c r="U58" i="41" s="1"/>
  <c r="G6" i="7"/>
  <c r="B84" i="12"/>
  <c r="M6" i="39"/>
  <c r="B28" i="12"/>
  <c r="E28" i="12" s="1"/>
  <c r="I6" i="39"/>
  <c r="B113" i="12"/>
  <c r="B140" i="12" s="1"/>
  <c r="C6" i="30"/>
  <c r="K6" i="31"/>
  <c r="C6" i="7"/>
  <c r="H24" i="30"/>
  <c r="H26" i="30" s="1"/>
  <c r="H35" i="30"/>
  <c r="H45" i="30"/>
  <c r="H36" i="30"/>
  <c r="C86" i="51"/>
  <c r="G86" i="51" s="1"/>
  <c r="G97" i="51" s="1"/>
  <c r="AD60" i="51"/>
  <c r="D54" i="51"/>
  <c r="S54" i="51"/>
  <c r="E4" i="1"/>
  <c r="E23" i="1" s="1"/>
  <c r="K115" i="46"/>
  <c r="AC116" i="41"/>
  <c r="AD116" i="41" s="1"/>
  <c r="AP109" i="33"/>
  <c r="I81" i="51"/>
  <c r="Z41" i="41"/>
  <c r="AB41" i="41" s="1"/>
  <c r="AD41" i="41" s="1"/>
  <c r="AF41" i="41" s="1"/>
  <c r="AH41" i="41" s="1"/>
  <c r="H32" i="16"/>
  <c r="D157" i="47" s="1"/>
  <c r="EZ2" i="52" s="1"/>
  <c r="H40" i="16"/>
  <c r="D164" i="47" s="1"/>
  <c r="FG2" i="52" s="1"/>
  <c r="V89" i="51"/>
  <c r="R89" i="51"/>
  <c r="H34" i="16"/>
  <c r="D159" i="47" s="1"/>
  <c r="FB2" i="52" s="1"/>
  <c r="AP91" i="49"/>
  <c r="AP109" i="49" s="1"/>
  <c r="M22" i="18"/>
  <c r="D29" i="51"/>
  <c r="J45" i="46"/>
  <c r="H58" i="46"/>
  <c r="J32" i="46"/>
  <c r="J40" i="46"/>
  <c r="J59" i="46"/>
  <c r="F24" i="46"/>
  <c r="AO79" i="41"/>
  <c r="C115" i="46"/>
  <c r="D52" i="46"/>
  <c r="L57" i="46"/>
  <c r="O28" i="41"/>
  <c r="Q28" i="41" s="1"/>
  <c r="S28" i="41" s="1"/>
  <c r="U28" i="41" s="1"/>
  <c r="K6" i="39"/>
  <c r="D31" i="46"/>
  <c r="D26" i="46"/>
  <c r="J28" i="46"/>
  <c r="H45" i="46"/>
  <c r="O44" i="41"/>
  <c r="Q44" i="41" s="1"/>
  <c r="S44" i="41" s="1"/>
  <c r="U44" i="41" s="1"/>
  <c r="Y116" i="41"/>
  <c r="B45" i="1"/>
  <c r="B80" i="1" s="1"/>
  <c r="AB33" i="51"/>
  <c r="AB41" i="51"/>
  <c r="H44" i="51"/>
  <c r="L46" i="51"/>
  <c r="AN78" i="46"/>
  <c r="AL79" i="41"/>
  <c r="J51" i="46"/>
  <c r="AF58" i="46"/>
  <c r="K108" i="33"/>
  <c r="H39" i="46"/>
  <c r="O27" i="41"/>
  <c r="Q27" i="41" s="1"/>
  <c r="S27" i="41" s="1"/>
  <c r="U27" i="41" s="1"/>
  <c r="E6" i="39"/>
  <c r="L56" i="46"/>
  <c r="D37" i="46"/>
  <c r="D41" i="46"/>
  <c r="H28" i="46"/>
  <c r="Z32" i="51"/>
  <c r="W53" i="51"/>
  <c r="U33" i="51"/>
  <c r="J35" i="51"/>
  <c r="L27" i="51"/>
  <c r="S50" i="46"/>
  <c r="L29" i="46"/>
  <c r="AP79" i="41"/>
  <c r="H24" i="46"/>
  <c r="D34" i="46"/>
  <c r="AP90" i="33"/>
  <c r="L53" i="46"/>
  <c r="O43" i="41"/>
  <c r="Q43" i="41" s="1"/>
  <c r="S43" i="41" s="1"/>
  <c r="U43" i="41" s="1"/>
  <c r="G6" i="39"/>
  <c r="J31" i="46"/>
  <c r="S58" i="46"/>
  <c r="H37" i="46"/>
  <c r="H27" i="46"/>
  <c r="B37" i="16"/>
  <c r="B17" i="30" s="1"/>
  <c r="E6" i="7"/>
  <c r="Z30" i="51"/>
  <c r="AF28" i="51"/>
  <c r="Q36" i="51"/>
  <c r="L25" i="51"/>
  <c r="U36" i="51"/>
  <c r="AH47" i="51"/>
  <c r="J40" i="51"/>
  <c r="S33" i="51"/>
  <c r="D42" i="46"/>
  <c r="H29" i="46"/>
  <c r="S59" i="46"/>
  <c r="J33" i="46"/>
  <c r="F31" i="46"/>
  <c r="K6" i="30"/>
  <c r="J25" i="46"/>
  <c r="D36" i="46"/>
  <c r="J44" i="46"/>
  <c r="F35" i="46"/>
  <c r="O37" i="41"/>
  <c r="Q37" i="41" s="1"/>
  <c r="S37" i="41" s="1"/>
  <c r="U37" i="41" s="1"/>
  <c r="K6" i="7"/>
  <c r="C116" i="41"/>
  <c r="E6" i="30"/>
  <c r="F40" i="46"/>
  <c r="W29" i="51"/>
  <c r="W33" i="51"/>
  <c r="U29" i="51"/>
  <c r="W42" i="51"/>
  <c r="AB43" i="51"/>
  <c r="U114" i="41"/>
  <c r="AH114" i="51"/>
  <c r="AO78" i="46"/>
  <c r="L52" i="46"/>
  <c r="D35" i="46"/>
  <c r="J26" i="46"/>
  <c r="D59" i="46"/>
  <c r="U56" i="46"/>
  <c r="H46" i="46"/>
  <c r="AN90" i="33"/>
  <c r="O45" i="41"/>
  <c r="Q45" i="41" s="1"/>
  <c r="S45" i="41" s="1"/>
  <c r="U45" i="41" s="1"/>
  <c r="C6" i="39"/>
  <c r="O6" i="39"/>
  <c r="J41" i="46"/>
  <c r="F34" i="46"/>
  <c r="U58" i="46"/>
  <c r="AF53" i="46"/>
  <c r="O41" i="41"/>
  <c r="Q41" i="41" s="1"/>
  <c r="S41" i="41" s="1"/>
  <c r="U41" i="41" s="1"/>
  <c r="O25" i="41"/>
  <c r="Q25" i="41" s="1"/>
  <c r="S25" i="41" s="1"/>
  <c r="U25" i="41" s="1"/>
  <c r="G6" i="30"/>
  <c r="AL117" i="40"/>
  <c r="AM117" i="40" s="1"/>
  <c r="AC115" i="46"/>
  <c r="AD115" i="46" s="1"/>
  <c r="H50" i="46"/>
  <c r="AF43" i="51"/>
  <c r="W38" i="51"/>
  <c r="F59" i="51"/>
  <c r="W32" i="51"/>
  <c r="AD50" i="46"/>
  <c r="L43" i="46"/>
  <c r="L50" i="46"/>
  <c r="H34" i="46"/>
  <c r="J24" i="46"/>
  <c r="J37" i="46"/>
  <c r="O32" i="41"/>
  <c r="Q32" i="41" s="1"/>
  <c r="S32" i="41" s="1"/>
  <c r="U32" i="41" s="1"/>
  <c r="E6" i="31"/>
  <c r="Q6" i="39"/>
  <c r="J35" i="46"/>
  <c r="L37" i="46"/>
  <c r="F37" i="46"/>
  <c r="D24" i="46"/>
  <c r="AF50" i="46"/>
  <c r="C54" i="24"/>
  <c r="E87" i="51" s="1"/>
  <c r="H53" i="46"/>
  <c r="U32" i="51"/>
  <c r="W43" i="51"/>
  <c r="S41" i="51"/>
  <c r="F29" i="51"/>
  <c r="AD28" i="51"/>
  <c r="F46" i="46"/>
  <c r="U53" i="46"/>
  <c r="F26" i="46"/>
  <c r="AD53" i="46"/>
  <c r="O36" i="41"/>
  <c r="Q36" i="41" s="1"/>
  <c r="S36" i="41" s="1"/>
  <c r="U36" i="41" s="1"/>
  <c r="G6" i="31"/>
  <c r="F29" i="46"/>
  <c r="D32" i="46"/>
  <c r="O33" i="41"/>
  <c r="Q33" i="41" s="1"/>
  <c r="S33" i="41" s="1"/>
  <c r="U33" i="41" s="1"/>
  <c r="I6" i="30"/>
  <c r="D25" i="46"/>
  <c r="L51" i="46"/>
  <c r="H51" i="46"/>
  <c r="J46" i="46"/>
  <c r="H44" i="46"/>
  <c r="O38" i="41"/>
  <c r="Q38" i="41" s="1"/>
  <c r="S38" i="41" s="1"/>
  <c r="U38" i="41" s="1"/>
  <c r="H32" i="46"/>
  <c r="S38" i="51"/>
  <c r="AH27" i="51"/>
  <c r="AH45" i="51"/>
  <c r="H46" i="51"/>
  <c r="AH37" i="51"/>
  <c r="I6" i="7"/>
  <c r="AL50" i="41"/>
  <c r="F27" i="46"/>
  <c r="H56" i="46"/>
  <c r="F45" i="46"/>
  <c r="F43" i="46"/>
  <c r="D43" i="46"/>
  <c r="O54" i="41"/>
  <c r="Q54" i="41" s="1"/>
  <c r="S54" i="41" s="1"/>
  <c r="U54" i="41" s="1"/>
  <c r="B49" i="9"/>
  <c r="B93" i="9" s="1"/>
  <c r="S56" i="46"/>
  <c r="H33" i="46"/>
  <c r="F39" i="46"/>
  <c r="L41" i="46"/>
  <c r="J34" i="46"/>
  <c r="AG83" i="33"/>
  <c r="AF37" i="51"/>
  <c r="H25" i="51"/>
  <c r="Q57" i="51"/>
  <c r="AH53" i="51"/>
  <c r="L34" i="51"/>
  <c r="L28" i="51"/>
  <c r="H38" i="18"/>
  <c r="B120" i="55"/>
  <c r="B120" i="48"/>
  <c r="D36" i="51"/>
  <c r="D60" i="51"/>
  <c r="Z47" i="51"/>
  <c r="Q47" i="51"/>
  <c r="AB30" i="51"/>
  <c r="U43" i="51"/>
  <c r="W37" i="51"/>
  <c r="W54" i="41"/>
  <c r="AB29" i="51"/>
  <c r="S40" i="51"/>
  <c r="H59" i="51"/>
  <c r="AD51" i="51"/>
  <c r="U57" i="51"/>
  <c r="S51" i="51"/>
  <c r="D37" i="51"/>
  <c r="W51" i="41"/>
  <c r="Z35" i="41"/>
  <c r="AB35" i="41" s="1"/>
  <c r="AD35" i="41" s="1"/>
  <c r="AF35" i="41" s="1"/>
  <c r="AH35" i="41" s="1"/>
  <c r="F36" i="51"/>
  <c r="AD25" i="51"/>
  <c r="Q33" i="51"/>
  <c r="J33" i="51"/>
  <c r="W25" i="51"/>
  <c r="Q59" i="51"/>
  <c r="W57" i="51"/>
  <c r="F57" i="51"/>
  <c r="AH29" i="51"/>
  <c r="J37" i="51"/>
  <c r="AB25" i="51"/>
  <c r="AF36" i="51"/>
  <c r="AD43" i="51"/>
  <c r="S36" i="51"/>
  <c r="Q26" i="51"/>
  <c r="J45" i="51"/>
  <c r="Z35" i="51"/>
  <c r="F27" i="51"/>
  <c r="AH41" i="51"/>
  <c r="L38" i="51"/>
  <c r="L60" i="51"/>
  <c r="AB58" i="51"/>
  <c r="AO109" i="41"/>
  <c r="Z33" i="41"/>
  <c r="AB33" i="41" s="1"/>
  <c r="AD33" i="41" s="1"/>
  <c r="AF33" i="41" s="1"/>
  <c r="AH33" i="41" s="1"/>
  <c r="AH52" i="51"/>
  <c r="Z26" i="41"/>
  <c r="AB26" i="41" s="1"/>
  <c r="AD26" i="41" s="1"/>
  <c r="AF26" i="41" s="1"/>
  <c r="AH26" i="41" s="1"/>
  <c r="Z60" i="41"/>
  <c r="AB60" i="41" s="1"/>
  <c r="AD60" i="41" s="1"/>
  <c r="AF60" i="41" s="1"/>
  <c r="AH60" i="41" s="1"/>
  <c r="L54" i="51"/>
  <c r="AD32" i="51"/>
  <c r="AB42" i="51"/>
  <c r="U26" i="51"/>
  <c r="H27" i="51"/>
  <c r="W60" i="51"/>
  <c r="Q40" i="51"/>
  <c r="S27" i="51"/>
  <c r="L58" i="51"/>
  <c r="AF35" i="51"/>
  <c r="Q30" i="51"/>
  <c r="Q45" i="51"/>
  <c r="AH28" i="51"/>
  <c r="W30" i="51"/>
  <c r="AH26" i="51"/>
  <c r="AF40" i="51"/>
  <c r="H42" i="51"/>
  <c r="AH38" i="51"/>
  <c r="L30" i="51"/>
  <c r="AD45" i="51"/>
  <c r="AF41" i="51"/>
  <c r="Z43" i="41"/>
  <c r="AB43" i="41" s="1"/>
  <c r="AD43" i="41" s="1"/>
  <c r="AF43" i="41" s="1"/>
  <c r="AH43" i="41" s="1"/>
  <c r="W52" i="41"/>
  <c r="H36" i="51"/>
  <c r="S47" i="51"/>
  <c r="H34" i="51"/>
  <c r="D51" i="51"/>
  <c r="U51" i="51"/>
  <c r="T83" i="51" s="1"/>
  <c r="G116" i="51"/>
  <c r="H116" i="51" s="1"/>
  <c r="D47" i="51"/>
  <c r="D27" i="51"/>
  <c r="D43" i="51"/>
  <c r="C58" i="24"/>
  <c r="S59" i="51"/>
  <c r="D32" i="51"/>
  <c r="H60" i="51"/>
  <c r="I83" i="33"/>
  <c r="W30" i="41"/>
  <c r="W38" i="41"/>
  <c r="AH58" i="51"/>
  <c r="J34" i="51"/>
  <c r="Z59" i="51"/>
  <c r="F47" i="51"/>
  <c r="AD37" i="51"/>
  <c r="AD40" i="51"/>
  <c r="AH33" i="51"/>
  <c r="H32" i="51"/>
  <c r="H29" i="51"/>
  <c r="W35" i="51"/>
  <c r="S34" i="51"/>
  <c r="AD47" i="51"/>
  <c r="W54" i="51"/>
  <c r="Z38" i="51"/>
  <c r="AD30" i="51"/>
  <c r="B21" i="20"/>
  <c r="F33" i="51"/>
  <c r="J46" i="51"/>
  <c r="Q60" i="51"/>
  <c r="Z28" i="51"/>
  <c r="J36" i="51"/>
  <c r="Z30" i="41"/>
  <c r="AB30" i="41" s="1"/>
  <c r="AD30" i="41" s="1"/>
  <c r="AF30" i="41" s="1"/>
  <c r="AH30" i="41" s="1"/>
  <c r="F34" i="51"/>
  <c r="AF45" i="51"/>
  <c r="AG81" i="41"/>
  <c r="D30" i="51"/>
  <c r="AF54" i="51"/>
  <c r="D44" i="51"/>
  <c r="W25" i="41"/>
  <c r="D35" i="51"/>
  <c r="Z28" i="41"/>
  <c r="AB28" i="41" s="1"/>
  <c r="AD28" i="41" s="1"/>
  <c r="AF28" i="41" s="1"/>
  <c r="AH28" i="41" s="1"/>
  <c r="Z29" i="51"/>
  <c r="AB26" i="51"/>
  <c r="S45" i="51"/>
  <c r="AD44" i="51"/>
  <c r="Z43" i="51"/>
  <c r="AF34" i="51"/>
  <c r="W45" i="51"/>
  <c r="U41" i="51"/>
  <c r="AB52" i="51"/>
  <c r="J38" i="51"/>
  <c r="J54" i="51"/>
  <c r="S60" i="51"/>
  <c r="W27" i="41"/>
  <c r="U30" i="51"/>
  <c r="S46" i="51"/>
  <c r="S26" i="51"/>
  <c r="W27" i="51"/>
  <c r="S43" i="51"/>
  <c r="AH60" i="51"/>
  <c r="W59" i="51"/>
  <c r="O60" i="51"/>
  <c r="D57" i="51"/>
  <c r="AB38" i="51"/>
  <c r="S30" i="51"/>
  <c r="U28" i="51"/>
  <c r="H40" i="51"/>
  <c r="W47" i="41"/>
  <c r="W58" i="51"/>
  <c r="J60" i="51"/>
  <c r="J59" i="51"/>
  <c r="AD54" i="51"/>
  <c r="J57" i="51"/>
  <c r="AN50" i="40"/>
  <c r="D46" i="51"/>
  <c r="W59" i="41"/>
  <c r="U35" i="51"/>
  <c r="Z33" i="51"/>
  <c r="F32" i="51"/>
  <c r="H47" i="51"/>
  <c r="L36" i="51"/>
  <c r="H41" i="51"/>
  <c r="F42" i="51"/>
  <c r="AH25" i="51"/>
  <c r="Q53" i="51"/>
  <c r="L32" i="51"/>
  <c r="Z52" i="51"/>
  <c r="L57" i="51"/>
  <c r="J27" i="51"/>
  <c r="AF33" i="51"/>
  <c r="L51" i="51"/>
  <c r="K83" i="51" s="1"/>
  <c r="F30" i="51"/>
  <c r="H8" i="34"/>
  <c r="AF27" i="51"/>
  <c r="AN109" i="40"/>
  <c r="AF47" i="51"/>
  <c r="Z37" i="51"/>
  <c r="J43" i="51"/>
  <c r="W43" i="41"/>
  <c r="W36" i="51"/>
  <c r="Z45" i="41"/>
  <c r="AB45" i="41" s="1"/>
  <c r="AD45" i="41" s="1"/>
  <c r="AF45" i="41" s="1"/>
  <c r="AH45" i="41" s="1"/>
  <c r="W35" i="41"/>
  <c r="L52" i="51"/>
  <c r="Z42" i="51"/>
  <c r="L53" i="51"/>
  <c r="Q51" i="51"/>
  <c r="H30" i="51"/>
  <c r="AH32" i="51"/>
  <c r="D40" i="51"/>
  <c r="U40" i="51"/>
  <c r="F35" i="51"/>
  <c r="H37" i="51"/>
  <c r="H54" i="51"/>
  <c r="D58" i="51"/>
  <c r="D41" i="51"/>
  <c r="W40" i="41"/>
  <c r="Q25" i="51"/>
  <c r="U44" i="51"/>
  <c r="W44" i="51"/>
  <c r="Q32" i="51"/>
  <c r="AH44" i="51"/>
  <c r="Z27" i="51"/>
  <c r="H45" i="51"/>
  <c r="F45" i="51"/>
  <c r="U27" i="51"/>
  <c r="U47" i="51"/>
  <c r="H38" i="51"/>
  <c r="Z36" i="51"/>
  <c r="AF29" i="51"/>
  <c r="AD38" i="51"/>
  <c r="AH54" i="51"/>
  <c r="Q28" i="51"/>
  <c r="AF32" i="51"/>
  <c r="AH59" i="51"/>
  <c r="Q52" i="51"/>
  <c r="W37" i="41"/>
  <c r="Z25" i="41"/>
  <c r="AB25" i="41" s="1"/>
  <c r="AD25" i="41" s="1"/>
  <c r="AF25" i="41" s="1"/>
  <c r="AH25" i="41" s="1"/>
  <c r="W36" i="41"/>
  <c r="S35" i="51"/>
  <c r="H35" i="51"/>
  <c r="AB51" i="51"/>
  <c r="AF25" i="51"/>
  <c r="F58" i="51"/>
  <c r="Z32" i="41"/>
  <c r="AB32" i="41" s="1"/>
  <c r="AD32" i="41" s="1"/>
  <c r="AF32" i="41" s="1"/>
  <c r="AH32" i="41" s="1"/>
  <c r="Z54" i="41"/>
  <c r="AB57" i="41" s="1"/>
  <c r="U60" i="51"/>
  <c r="J51" i="51"/>
  <c r="I83" i="51" s="1"/>
  <c r="D59" i="51"/>
  <c r="D28" i="51"/>
  <c r="I115" i="46"/>
  <c r="J115" i="46" s="1"/>
  <c r="W60" i="41"/>
  <c r="F53" i="51"/>
  <c r="U37" i="51"/>
  <c r="AB46" i="51"/>
  <c r="L37" i="51"/>
  <c r="J30" i="51"/>
  <c r="S29" i="51"/>
  <c r="Q38" i="51"/>
  <c r="AH34" i="51"/>
  <c r="U42" i="51"/>
  <c r="H33" i="51"/>
  <c r="W26" i="51"/>
  <c r="W52" i="51"/>
  <c r="AH35" i="51"/>
  <c r="S44" i="51"/>
  <c r="Z46" i="51"/>
  <c r="S32" i="51"/>
  <c r="AD27" i="51"/>
  <c r="AB35" i="51"/>
  <c r="Q46" i="51"/>
  <c r="AD36" i="51"/>
  <c r="W57" i="41"/>
  <c r="Z53" i="41"/>
  <c r="AB53" i="41" s="1"/>
  <c r="AD53" i="41" s="1"/>
  <c r="AF53" i="41" s="1"/>
  <c r="AH53" i="41" s="1"/>
  <c r="Z53" i="51"/>
  <c r="Z60" i="51"/>
  <c r="Q29" i="51"/>
  <c r="Z51" i="51"/>
  <c r="AE117" i="49"/>
  <c r="AF117" i="49" s="1"/>
  <c r="U59" i="51"/>
  <c r="D53" i="51"/>
  <c r="D26" i="51"/>
  <c r="Z38" i="41"/>
  <c r="AB38" i="41" s="1"/>
  <c r="AD38" i="41" s="1"/>
  <c r="AF38" i="41" s="1"/>
  <c r="AH38" i="41" s="1"/>
  <c r="AF46" i="51"/>
  <c r="AH42" i="51"/>
  <c r="U34" i="51"/>
  <c r="L40" i="51"/>
  <c r="L29" i="51"/>
  <c r="F41" i="51"/>
  <c r="F26" i="51"/>
  <c r="F51" i="51"/>
  <c r="Z41" i="51"/>
  <c r="H26" i="51"/>
  <c r="AD46" i="51"/>
  <c r="J25" i="51"/>
  <c r="AB32" i="51"/>
  <c r="L44" i="51"/>
  <c r="W34" i="51"/>
  <c r="AB45" i="51"/>
  <c r="W41" i="51"/>
  <c r="F44" i="51"/>
  <c r="AD29" i="51"/>
  <c r="W45" i="41"/>
  <c r="W42" i="41"/>
  <c r="W29" i="41"/>
  <c r="Z40" i="51"/>
  <c r="D33" i="51"/>
  <c r="D52" i="51"/>
  <c r="L41" i="51"/>
  <c r="D42" i="51"/>
  <c r="AF51" i="51"/>
  <c r="AE83" i="51" s="1"/>
  <c r="AF60" i="51"/>
  <c r="AF59" i="51"/>
  <c r="D45" i="51"/>
  <c r="H51" i="51"/>
  <c r="L114" i="41"/>
  <c r="B30" i="36"/>
  <c r="W41" i="41"/>
  <c r="Z40" i="41"/>
  <c r="AB40" i="41" s="1"/>
  <c r="AD40" i="41" s="1"/>
  <c r="AF40" i="41" s="1"/>
  <c r="AH40" i="41" s="1"/>
  <c r="Q34" i="51"/>
  <c r="W28" i="51"/>
  <c r="Z54" i="51"/>
  <c r="F52" i="51"/>
  <c r="AB37" i="51"/>
  <c r="F46" i="51"/>
  <c r="AB59" i="51"/>
  <c r="W51" i="51"/>
  <c r="V83" i="51" s="1"/>
  <c r="AH36" i="51"/>
  <c r="S37" i="51"/>
  <c r="AH43" i="51"/>
  <c r="J41" i="51"/>
  <c r="S28" i="51"/>
  <c r="J26" i="51"/>
  <c r="S25" i="51"/>
  <c r="J42" i="51"/>
  <c r="L35" i="51"/>
  <c r="L59" i="51"/>
  <c r="W40" i="51"/>
  <c r="AB53" i="51"/>
  <c r="Z44" i="41"/>
  <c r="AB44" i="41" s="1"/>
  <c r="AD44" i="41" s="1"/>
  <c r="AF44" i="41" s="1"/>
  <c r="AH44" i="41" s="1"/>
  <c r="Z27" i="41"/>
  <c r="AB27" i="41" s="1"/>
  <c r="AD27" i="41" s="1"/>
  <c r="AF27" i="41" s="1"/>
  <c r="AH27" i="41" s="1"/>
  <c r="D25" i="51"/>
  <c r="AD34" i="51"/>
  <c r="H57" i="51"/>
  <c r="D34" i="51"/>
  <c r="D38" i="51"/>
  <c r="B40" i="16"/>
  <c r="D116" i="47" s="1"/>
  <c r="DK2" i="52" s="1"/>
  <c r="AD59" i="51"/>
  <c r="K62" i="49"/>
  <c r="AO62" i="49" s="1"/>
  <c r="Z57" i="41"/>
  <c r="W53" i="41"/>
  <c r="AF42" i="51"/>
  <c r="Q27" i="51"/>
  <c r="L45" i="51"/>
  <c r="U25" i="51"/>
  <c r="AH40" i="51"/>
  <c r="J47" i="51"/>
  <c r="F37" i="51"/>
  <c r="S42" i="51"/>
  <c r="L43" i="51"/>
  <c r="AH46" i="51"/>
  <c r="AF26" i="51"/>
  <c r="AF44" i="51"/>
  <c r="Z25" i="51"/>
  <c r="AD42" i="51"/>
  <c r="Z58" i="51"/>
  <c r="AB34" i="51"/>
  <c r="E114" i="51"/>
  <c r="F114" i="51" s="1"/>
  <c r="H28" i="51"/>
  <c r="AH30" i="51"/>
  <c r="L33" i="51"/>
  <c r="L42" i="51"/>
  <c r="L47" i="51"/>
  <c r="Z42" i="41"/>
  <c r="AB42" i="41" s="1"/>
  <c r="AD42" i="41" s="1"/>
  <c r="AF42" i="41" s="1"/>
  <c r="AH42" i="41" s="1"/>
  <c r="W33" i="41"/>
  <c r="Z57" i="51"/>
  <c r="Q42" i="51"/>
  <c r="H59" i="46"/>
  <c r="L58" i="46"/>
  <c r="F44" i="46"/>
  <c r="B12" i="1"/>
  <c r="K8" i="31"/>
  <c r="I8" i="7"/>
  <c r="B53" i="11"/>
  <c r="K8" i="30"/>
  <c r="J58" i="46"/>
  <c r="D51" i="46"/>
  <c r="J52" i="46"/>
  <c r="F36" i="46"/>
  <c r="L28" i="46"/>
  <c r="L46" i="46"/>
  <c r="L32" i="46"/>
  <c r="J27" i="46"/>
  <c r="F50" i="46"/>
  <c r="F32" i="46"/>
  <c r="D39" i="46"/>
  <c r="J29" i="46"/>
  <c r="F42" i="46"/>
  <c r="AD59" i="46"/>
  <c r="H42" i="46"/>
  <c r="H36" i="46"/>
  <c r="D29" i="46"/>
  <c r="H25" i="46"/>
  <c r="J42" i="46"/>
  <c r="L34" i="46"/>
  <c r="L25" i="46"/>
  <c r="D58" i="46"/>
  <c r="J39" i="46"/>
  <c r="O59" i="46"/>
  <c r="L36" i="46"/>
  <c r="D27" i="46"/>
  <c r="H40" i="46"/>
  <c r="U59" i="46"/>
  <c r="F51" i="46"/>
  <c r="L35" i="46"/>
  <c r="F57" i="46"/>
  <c r="F52" i="46"/>
  <c r="F28" i="46"/>
  <c r="L42" i="46"/>
  <c r="BA43" i="41"/>
  <c r="L27" i="46"/>
  <c r="H52" i="46"/>
  <c r="H26" i="46"/>
  <c r="J50" i="46"/>
  <c r="O58" i="46"/>
  <c r="D53" i="46"/>
  <c r="D46" i="46"/>
  <c r="J36" i="46"/>
  <c r="H41" i="46"/>
  <c r="D40" i="46"/>
  <c r="F53" i="46"/>
  <c r="L40" i="46"/>
  <c r="F56" i="46"/>
  <c r="L33" i="46"/>
  <c r="L26" i="46"/>
  <c r="F25" i="46"/>
  <c r="L39" i="46"/>
  <c r="AF59" i="46"/>
  <c r="H31" i="46"/>
  <c r="D56" i="46"/>
  <c r="L44" i="46"/>
  <c r="J56" i="46"/>
  <c r="AZ43" i="41"/>
  <c r="BB43" i="41"/>
  <c r="H43" i="46"/>
  <c r="D28" i="46"/>
  <c r="F33" i="46"/>
  <c r="AD58" i="46"/>
  <c r="D44" i="46"/>
  <c r="F58" i="46"/>
  <c r="D57" i="46"/>
  <c r="L24" i="46"/>
  <c r="L45" i="46"/>
  <c r="D33" i="46"/>
  <c r="D50" i="46"/>
  <c r="D45" i="46"/>
  <c r="F41" i="46"/>
  <c r="M8" i="39"/>
  <c r="AC82" i="49"/>
  <c r="E8" i="30"/>
  <c r="U114" i="40"/>
  <c r="I8" i="39"/>
  <c r="G8" i="39"/>
  <c r="AN51" i="49"/>
  <c r="C8" i="31"/>
  <c r="E8" i="7"/>
  <c r="E8" i="31"/>
  <c r="AD114" i="40"/>
  <c r="K116" i="51"/>
  <c r="AC98" i="41"/>
  <c r="G8" i="30"/>
  <c r="H117" i="49"/>
  <c r="AE81" i="41"/>
  <c r="I8" i="31"/>
  <c r="G8" i="7"/>
  <c r="C8" i="39"/>
  <c r="C8" i="30"/>
  <c r="AL16" i="41"/>
  <c r="C8" i="7"/>
  <c r="E8" i="39"/>
  <c r="AL117" i="33"/>
  <c r="AM117" i="33" s="1"/>
  <c r="Q8" i="39"/>
  <c r="R117" i="49"/>
  <c r="S117" i="49" s="1"/>
  <c r="D115" i="49"/>
  <c r="AD116" i="51"/>
  <c r="Z29" i="41"/>
  <c r="AB29" i="41" s="1"/>
  <c r="AD29" i="41" s="1"/>
  <c r="AF29" i="41" s="1"/>
  <c r="AH29" i="41" s="1"/>
  <c r="W32" i="41"/>
  <c r="I8" i="30"/>
  <c r="O8" i="39"/>
  <c r="AG103" i="33"/>
  <c r="AL51" i="49"/>
  <c r="N4" i="1"/>
  <c r="P4" i="1" s="1"/>
  <c r="P6" i="1" s="1"/>
  <c r="AO51" i="49"/>
  <c r="K7" i="34"/>
  <c r="K8" i="34" s="1"/>
  <c r="K8" i="39"/>
  <c r="K8" i="7"/>
  <c r="AP50" i="33"/>
  <c r="W28" i="41"/>
  <c r="W26" i="41"/>
  <c r="Z36" i="41"/>
  <c r="AB36" i="41" s="1"/>
  <c r="AD36" i="41" s="1"/>
  <c r="AF36" i="41" s="1"/>
  <c r="AH36" i="41" s="1"/>
  <c r="Z37" i="41"/>
  <c r="AB37" i="41" s="1"/>
  <c r="AD37" i="41" s="1"/>
  <c r="AF37" i="41" s="1"/>
  <c r="AH37" i="41" s="1"/>
  <c r="AL114" i="51"/>
  <c r="AM114" i="51" s="1"/>
  <c r="AC116" i="33"/>
  <c r="AD116" i="33" s="1"/>
  <c r="H34" i="36"/>
  <c r="D351" i="47" s="1"/>
  <c r="ML2" i="52" s="1"/>
  <c r="Y106" i="41"/>
  <c r="N101" i="11"/>
  <c r="C116" i="33"/>
  <c r="AE99" i="49"/>
  <c r="H37" i="36"/>
  <c r="D354" i="47" s="1"/>
  <c r="MO2" i="52" s="1"/>
  <c r="H41" i="36"/>
  <c r="D357" i="47" s="1"/>
  <c r="MR2" i="52" s="1"/>
  <c r="AN50" i="33"/>
  <c r="G116" i="40"/>
  <c r="H116" i="40" s="1"/>
  <c r="H49" i="36"/>
  <c r="H50" i="36" s="1"/>
  <c r="I116" i="51"/>
  <c r="J116" i="51" s="1"/>
  <c r="H33" i="36"/>
  <c r="D350" i="47" s="1"/>
  <c r="MK2" i="52" s="1"/>
  <c r="AE116" i="51"/>
  <c r="AF116" i="51" s="1"/>
  <c r="AP109" i="40"/>
  <c r="M61" i="12"/>
  <c r="M117" i="12" s="1"/>
  <c r="M140" i="12" s="1"/>
  <c r="AE108" i="41"/>
  <c r="H30" i="36"/>
  <c r="H35" i="36"/>
  <c r="D352" i="47" s="1"/>
  <c r="MM2" i="52" s="1"/>
  <c r="AA115" i="49"/>
  <c r="AA117" i="49" s="1"/>
  <c r="P113" i="46"/>
  <c r="P115" i="46" s="1"/>
  <c r="H40" i="26"/>
  <c r="H80" i="26" s="1"/>
  <c r="H81" i="26" s="1"/>
  <c r="H32" i="36"/>
  <c r="D349" i="47" s="1"/>
  <c r="AKQ2" i="52" s="1"/>
  <c r="AF116" i="41"/>
  <c r="N116" i="40"/>
  <c r="T117" i="49"/>
  <c r="U117" i="49" s="1"/>
  <c r="E12" i="20"/>
  <c r="E13" i="20" s="1"/>
  <c r="E16" i="20" s="1"/>
  <c r="B19" i="18"/>
  <c r="H40" i="36"/>
  <c r="D356" i="47" s="1"/>
  <c r="AKX2" i="52" s="1"/>
  <c r="AL117" i="51"/>
  <c r="AM117" i="51" s="1"/>
  <c r="AE100" i="49"/>
  <c r="Y116" i="40"/>
  <c r="H31" i="36"/>
  <c r="AG116" i="40"/>
  <c r="B45" i="10"/>
  <c r="B66" i="10" s="1"/>
  <c r="R115" i="46"/>
  <c r="S115" i="46" s="1"/>
  <c r="B23" i="9"/>
  <c r="B4" i="10"/>
  <c r="I46" i="36"/>
  <c r="D359" i="47" s="1"/>
  <c r="MT2" i="52" s="1"/>
  <c r="AYZ2" i="52"/>
  <c r="B22" i="10"/>
  <c r="B4" i="20"/>
  <c r="B47" i="20" s="1"/>
  <c r="B91" i="20" s="1"/>
  <c r="B44" i="20"/>
  <c r="B88" i="20" s="1"/>
  <c r="B109" i="20" s="1"/>
  <c r="O6" i="10"/>
  <c r="N86" i="40"/>
  <c r="N98" i="40" s="1"/>
  <c r="U59" i="41"/>
  <c r="G83" i="41"/>
  <c r="N69" i="19"/>
  <c r="P69" i="19" s="1"/>
  <c r="E86" i="51"/>
  <c r="E99" i="51" s="1"/>
  <c r="D4" i="55"/>
  <c r="D101" i="55" s="1"/>
  <c r="D2" i="36"/>
  <c r="D16" i="36" s="1"/>
  <c r="O52" i="24"/>
  <c r="D394" i="47" s="1"/>
  <c r="AMG2" i="52" s="1"/>
  <c r="D4" i="48"/>
  <c r="D87" i="48" s="1"/>
  <c r="N5" i="9"/>
  <c r="N45" i="9"/>
  <c r="N67" i="9" s="1"/>
  <c r="N37" i="1"/>
  <c r="B43" i="16"/>
  <c r="L2" i="39"/>
  <c r="S116" i="33"/>
  <c r="J114" i="33"/>
  <c r="I116" i="33"/>
  <c r="J116" i="33" s="1"/>
  <c r="AO109" i="40"/>
  <c r="AP109" i="41"/>
  <c r="AN109" i="41"/>
  <c r="H159" i="12"/>
  <c r="I159" i="12" s="1"/>
  <c r="B32" i="36"/>
  <c r="D301" i="47" s="1"/>
  <c r="KN2" i="52" s="1"/>
  <c r="B43" i="36"/>
  <c r="J43" i="36" s="1"/>
  <c r="C46" i="16"/>
  <c r="D119" i="47" s="1"/>
  <c r="DN2" i="52" s="1"/>
  <c r="AVL2" i="52"/>
  <c r="ZU2" i="52"/>
  <c r="F2" i="31"/>
  <c r="H57" i="36"/>
  <c r="H68" i="36"/>
  <c r="D421" i="47" s="1"/>
  <c r="PD2" i="52" s="1"/>
  <c r="H59" i="36"/>
  <c r="D413" i="47" s="1"/>
  <c r="AMY2" i="52" s="1"/>
  <c r="H67" i="36"/>
  <c r="D420" i="47" s="1"/>
  <c r="PC2" i="52" s="1"/>
  <c r="H61" i="36"/>
  <c r="D415" i="47" s="1"/>
  <c r="H64" i="36"/>
  <c r="D418" i="47" s="1"/>
  <c r="AND2" i="52" s="1"/>
  <c r="I73" i="36"/>
  <c r="D423" i="47" s="1"/>
  <c r="PF2" i="52" s="1"/>
  <c r="H58" i="36"/>
  <c r="H62" i="36"/>
  <c r="D416" i="47" s="1"/>
  <c r="OY2" i="52" s="1"/>
  <c r="H60" i="36"/>
  <c r="D414" i="47" s="1"/>
  <c r="AMZ2" i="52" s="1"/>
  <c r="AFX2" i="52"/>
  <c r="D625" i="47"/>
  <c r="AUQ2" i="52" s="1"/>
  <c r="H76" i="36"/>
  <c r="D294" i="47" s="1"/>
  <c r="AIQ2" i="52" s="1"/>
  <c r="N12" i="10"/>
  <c r="H59" i="16"/>
  <c r="D221" i="47" s="1"/>
  <c r="HL2" i="52" s="1"/>
  <c r="H61" i="16"/>
  <c r="D223" i="47" s="1"/>
  <c r="HN2" i="52" s="1"/>
  <c r="H62" i="16"/>
  <c r="D224" i="47" s="1"/>
  <c r="AGD2" i="52" s="1"/>
  <c r="H76" i="16"/>
  <c r="D422" i="47" s="1"/>
  <c r="ANG2" i="52" s="1"/>
  <c r="H58" i="16"/>
  <c r="H57" i="16" s="1"/>
  <c r="H79" i="16" s="1"/>
  <c r="H70" i="16"/>
  <c r="H67" i="16"/>
  <c r="D228" i="47" s="1"/>
  <c r="HS2" i="52" s="1"/>
  <c r="H64" i="16"/>
  <c r="D226" i="47" s="1"/>
  <c r="AGF2" i="52" s="1"/>
  <c r="H60" i="16"/>
  <c r="D222" i="47" s="1"/>
  <c r="AGB2" i="52" s="1"/>
  <c r="I73" i="16"/>
  <c r="D638" i="47" s="1"/>
  <c r="AVC2" i="52" s="1"/>
  <c r="F44" i="7"/>
  <c r="D5" i="47"/>
  <c r="D2" i="52" s="1"/>
  <c r="AD114" i="51"/>
  <c r="T83" i="33"/>
  <c r="S4" i="42"/>
  <c r="AA114" i="41"/>
  <c r="F24" i="7"/>
  <c r="F26" i="7" s="1"/>
  <c r="J7" i="31"/>
  <c r="AA50" i="33"/>
  <c r="K116" i="33"/>
  <c r="E144" i="12"/>
  <c r="E146" i="12" s="1"/>
  <c r="P114" i="41"/>
  <c r="Q114" i="41" s="1"/>
  <c r="H115" i="49"/>
  <c r="N74" i="11"/>
  <c r="T115" i="46"/>
  <c r="U115" i="46" s="1"/>
  <c r="AL50" i="33"/>
  <c r="F45" i="7"/>
  <c r="AA116" i="33"/>
  <c r="S114" i="33"/>
  <c r="E108" i="51"/>
  <c r="E117" i="51"/>
  <c r="F117" i="51" s="1"/>
  <c r="W114" i="40"/>
  <c r="V116" i="40"/>
  <c r="O54" i="24"/>
  <c r="D426" i="47" s="1"/>
  <c r="PI2" i="52" s="1"/>
  <c r="I116" i="41"/>
  <c r="J116" i="41" s="1"/>
  <c r="AP61" i="41"/>
  <c r="AO61" i="41"/>
  <c r="AN61" i="41"/>
  <c r="K81" i="41"/>
  <c r="V91" i="49"/>
  <c r="V109" i="49" s="1"/>
  <c r="T109" i="49"/>
  <c r="AG98" i="41"/>
  <c r="AG99" i="41"/>
  <c r="J31" i="24"/>
  <c r="D43" i="47" s="1"/>
  <c r="AP2" i="52" s="1"/>
  <c r="C57" i="24"/>
  <c r="C59" i="24"/>
  <c r="C68" i="22" s="1"/>
  <c r="C116" i="22" s="1"/>
  <c r="P115" i="49"/>
  <c r="B35" i="36"/>
  <c r="D304" i="47" s="1"/>
  <c r="KQ2" i="52" s="1"/>
  <c r="R116" i="40"/>
  <c r="S116" i="40" s="1"/>
  <c r="S114" i="40"/>
  <c r="U116" i="40"/>
  <c r="E108" i="41"/>
  <c r="E117" i="41"/>
  <c r="F117" i="41" s="1"/>
  <c r="F112" i="40"/>
  <c r="E114" i="40"/>
  <c r="AL50" i="51"/>
  <c r="N54" i="22"/>
  <c r="N102" i="22" s="1"/>
  <c r="A47" i="20"/>
  <c r="A91" i="20" s="1"/>
  <c r="D61" i="24"/>
  <c r="G88" i="40" s="1"/>
  <c r="AN60" i="46"/>
  <c r="AP60" i="46"/>
  <c r="K80" i="46"/>
  <c r="AF113" i="46"/>
  <c r="AE115" i="46"/>
  <c r="AF115" i="46" s="1"/>
  <c r="N116" i="33"/>
  <c r="Y103" i="33"/>
  <c r="D58" i="24"/>
  <c r="D59" i="24"/>
  <c r="AL114" i="40"/>
  <c r="AM114" i="40" s="1"/>
  <c r="AB113" i="41"/>
  <c r="AF114" i="33"/>
  <c r="AL117" i="41"/>
  <c r="AM117" i="41" s="1"/>
  <c r="U116" i="41"/>
  <c r="U114" i="33"/>
  <c r="T116" i="33"/>
  <c r="U116" i="33" s="1"/>
  <c r="H114" i="41"/>
  <c r="G116" i="41"/>
  <c r="H116" i="41" s="1"/>
  <c r="AF114" i="41"/>
  <c r="N66" i="22"/>
  <c r="N114" i="22" s="1"/>
  <c r="A22" i="18"/>
  <c r="E63" i="24"/>
  <c r="C58" i="10" s="1"/>
  <c r="C102" i="10" s="1"/>
  <c r="B34" i="36"/>
  <c r="D303" i="47" s="1"/>
  <c r="AIZ2" i="52" s="1"/>
  <c r="V81" i="33"/>
  <c r="Q111" i="41"/>
  <c r="N159" i="12"/>
  <c r="O157" i="12" s="1"/>
  <c r="K61" i="33"/>
  <c r="AO50" i="33"/>
  <c r="AA113" i="46"/>
  <c r="AL50" i="40"/>
  <c r="AG61" i="40"/>
  <c r="R109" i="49"/>
  <c r="T107" i="46"/>
  <c r="V89" i="46"/>
  <c r="V107" i="46" s="1"/>
  <c r="C61" i="24"/>
  <c r="O77" i="12" s="1"/>
  <c r="B37" i="36"/>
  <c r="D306" i="47" s="1"/>
  <c r="B40" i="36"/>
  <c r="D308" i="47" s="1"/>
  <c r="KU2" i="52" s="1"/>
  <c r="AP50" i="40"/>
  <c r="AO50" i="40"/>
  <c r="AG97" i="41"/>
  <c r="AYP2" i="52"/>
  <c r="Q129" i="11"/>
  <c r="BA90" i="41"/>
  <c r="BA97" i="41" s="1"/>
  <c r="B5" i="19"/>
  <c r="T4" i="19" s="1"/>
  <c r="B13" i="19"/>
  <c r="D13" i="19" s="1"/>
  <c r="D15" i="19" s="1"/>
  <c r="D16" i="19" s="1"/>
  <c r="B46" i="19"/>
  <c r="B23" i="19"/>
  <c r="BA99" i="41"/>
  <c r="A4" i="10"/>
  <c r="A22" i="10" s="1"/>
  <c r="I12" i="20"/>
  <c r="K30" i="9"/>
  <c r="E91" i="12"/>
  <c r="K147" i="12"/>
  <c r="Q147" i="12"/>
  <c r="Q91" i="12"/>
  <c r="K91" i="12"/>
  <c r="Q35" i="12"/>
  <c r="E35" i="12"/>
  <c r="K35" i="12"/>
  <c r="E129" i="11"/>
  <c r="K33" i="11"/>
  <c r="Q81" i="11"/>
  <c r="Q33" i="11"/>
  <c r="E33" i="11"/>
  <c r="Q74" i="9"/>
  <c r="Q30" i="9"/>
  <c r="N21" i="20"/>
  <c r="N44" i="20"/>
  <c r="N65" i="20" s="1"/>
  <c r="N12" i="20"/>
  <c r="N55" i="20" s="1"/>
  <c r="N99" i="20" s="1"/>
  <c r="K118" i="9"/>
  <c r="J72" i="24"/>
  <c r="B54" i="48"/>
  <c r="BBT2" i="52"/>
  <c r="D36" i="7"/>
  <c r="D44" i="7"/>
  <c r="D35" i="7"/>
  <c r="D45" i="7"/>
  <c r="D61" i="16"/>
  <c r="D191" i="47" s="1"/>
  <c r="GH2" i="52" s="1"/>
  <c r="F61" i="16"/>
  <c r="D207" i="47" s="1"/>
  <c r="AFN2" i="52" s="1"/>
  <c r="D67" i="16"/>
  <c r="D196" i="47" s="1"/>
  <c r="AFD2" i="52" s="1"/>
  <c r="D60" i="16"/>
  <c r="D70" i="16"/>
  <c r="D62" i="16"/>
  <c r="D192" i="47" s="1"/>
  <c r="GI2" i="52" s="1"/>
  <c r="E73" i="16"/>
  <c r="D602" i="47" s="1"/>
  <c r="WC2" i="52" s="1"/>
  <c r="D68" i="16"/>
  <c r="D197" i="47" s="1"/>
  <c r="GN2" i="52" s="1"/>
  <c r="D59" i="16"/>
  <c r="D189" i="47" s="1"/>
  <c r="GF2" i="52" s="1"/>
  <c r="D58" i="16"/>
  <c r="D57" i="16" s="1"/>
  <c r="D79" i="16" s="1"/>
  <c r="D76" i="16"/>
  <c r="D198" i="47" s="1"/>
  <c r="D9" i="30"/>
  <c r="D202" i="47"/>
  <c r="GS2" i="52" s="1"/>
  <c r="D607" i="47"/>
  <c r="WH2" i="52" s="1"/>
  <c r="I4" i="10"/>
  <c r="I12" i="10" s="1"/>
  <c r="I5" i="19"/>
  <c r="I23" i="19" s="1"/>
  <c r="J23" i="19" s="1"/>
  <c r="J26" i="19" s="1"/>
  <c r="I4" i="20"/>
  <c r="B83" i="48"/>
  <c r="B62" i="48"/>
  <c r="Q23" i="19"/>
  <c r="O39" i="19"/>
  <c r="D67" i="36"/>
  <c r="D388" i="47" s="1"/>
  <c r="NW2" i="52" s="1"/>
  <c r="F2" i="7"/>
  <c r="B42" i="48"/>
  <c r="B32" i="48"/>
  <c r="B46" i="48"/>
  <c r="B6" i="48"/>
  <c r="B30" i="48"/>
  <c r="B23" i="48"/>
  <c r="B33" i="48"/>
  <c r="B12" i="48"/>
  <c r="B16" i="48"/>
  <c r="B101" i="48"/>
  <c r="B10" i="48"/>
  <c r="B106" i="48"/>
  <c r="B37" i="48"/>
  <c r="D434" i="47" s="1"/>
  <c r="ANS2" i="52" s="1"/>
  <c r="B55" i="48"/>
  <c r="B25" i="48"/>
  <c r="B87" i="48"/>
  <c r="B58" i="48"/>
  <c r="B110" i="48"/>
  <c r="B59" i="48"/>
  <c r="B105" i="48"/>
  <c r="B61" i="48"/>
  <c r="N28" i="1"/>
  <c r="B61" i="16"/>
  <c r="D175" i="47" s="1"/>
  <c r="FR2" i="52" s="1"/>
  <c r="D64" i="36"/>
  <c r="D386" i="47" s="1"/>
  <c r="NU2" i="52" s="1"/>
  <c r="H41" i="31"/>
  <c r="BCW2" i="52"/>
  <c r="B60" i="16"/>
  <c r="D174" i="47" s="1"/>
  <c r="FQ2" i="52" s="1"/>
  <c r="B35" i="16"/>
  <c r="B15" i="30" s="1"/>
  <c r="B62" i="16"/>
  <c r="D176" i="47" s="1"/>
  <c r="FS2" i="52" s="1"/>
  <c r="D68" i="36"/>
  <c r="D389" i="47" s="1"/>
  <c r="NX2" i="52" s="1"/>
  <c r="H39" i="31"/>
  <c r="B34" i="16"/>
  <c r="B14" i="31" s="1"/>
  <c r="I37" i="1"/>
  <c r="I45" i="1" s="1"/>
  <c r="K45" i="1" s="1"/>
  <c r="B49" i="16"/>
  <c r="D118" i="47" s="1"/>
  <c r="DM2" i="52" s="1"/>
  <c r="D59" i="36"/>
  <c r="D381" i="47" s="1"/>
  <c r="B58" i="16"/>
  <c r="B57" i="16" s="1"/>
  <c r="B79" i="16" s="1"/>
  <c r="B70" i="16"/>
  <c r="AC98" i="49"/>
  <c r="AC100" i="49"/>
  <c r="B32" i="16"/>
  <c r="D109" i="47" s="1"/>
  <c r="DD2" i="52" s="1"/>
  <c r="D76" i="36"/>
  <c r="D77" i="36" s="1"/>
  <c r="D61" i="36"/>
  <c r="D383" i="47" s="1"/>
  <c r="NR2" i="52" s="1"/>
  <c r="B67" i="16"/>
  <c r="D180" i="47" s="1"/>
  <c r="FW2" i="52" s="1"/>
  <c r="D58" i="36"/>
  <c r="B31" i="16"/>
  <c r="B30" i="16" s="1"/>
  <c r="B52" i="16" s="1"/>
  <c r="D62" i="36"/>
  <c r="D384" i="47" s="1"/>
  <c r="NS2" i="52" s="1"/>
  <c r="E73" i="36"/>
  <c r="D375" i="47" s="1"/>
  <c r="ALO2" i="52" s="1"/>
  <c r="N26" i="1"/>
  <c r="B41" i="16"/>
  <c r="D117" i="47" s="1"/>
  <c r="DL2" i="52" s="1"/>
  <c r="D60" i="36"/>
  <c r="D382" i="47" s="1"/>
  <c r="ALV2" i="52" s="1"/>
  <c r="D57" i="36"/>
  <c r="J6" i="39"/>
  <c r="J9" i="39" s="1"/>
  <c r="N46" i="19"/>
  <c r="N50" i="19" s="1"/>
  <c r="H5" i="19"/>
  <c r="B33" i="36"/>
  <c r="D302" i="47" s="1"/>
  <c r="K90" i="51"/>
  <c r="K108" i="51" s="1"/>
  <c r="I108" i="51"/>
  <c r="F59" i="16"/>
  <c r="D205" i="47" s="1"/>
  <c r="GV2" i="52" s="1"/>
  <c r="V90" i="33"/>
  <c r="V108" i="33" s="1"/>
  <c r="T108" i="33"/>
  <c r="O37" i="24"/>
  <c r="I56" i="10" s="1"/>
  <c r="AG91" i="49"/>
  <c r="AG109" i="49" s="1"/>
  <c r="AE109" i="49"/>
  <c r="N40" i="11"/>
  <c r="R87" i="41"/>
  <c r="O14" i="20"/>
  <c r="D13" i="16"/>
  <c r="D68" i="47" s="1"/>
  <c r="BO2" i="52" s="1"/>
  <c r="D16" i="16"/>
  <c r="D8" i="16"/>
  <c r="D64" i="47" s="1"/>
  <c r="BK2" i="52" s="1"/>
  <c r="D6" i="16"/>
  <c r="D62" i="47" s="1"/>
  <c r="BI2" i="52" s="1"/>
  <c r="D22" i="16"/>
  <c r="D70" i="47" s="1"/>
  <c r="BQ2" i="52" s="1"/>
  <c r="AP16" i="41"/>
  <c r="D7" i="16"/>
  <c r="D63" i="47" s="1"/>
  <c r="BJ2" i="52" s="1"/>
  <c r="D14" i="16"/>
  <c r="D69" i="47" s="1"/>
  <c r="BP2" i="52" s="1"/>
  <c r="N5" i="18"/>
  <c r="P5" i="18" s="1"/>
  <c r="Q5" i="18" s="1"/>
  <c r="D4" i="16"/>
  <c r="D3" i="16" s="1"/>
  <c r="AD2" i="52" s="1"/>
  <c r="D138" i="47"/>
  <c r="EG2" i="52" s="1"/>
  <c r="D10" i="16"/>
  <c r="D66" i="47" s="1"/>
  <c r="BM2" i="52" s="1"/>
  <c r="J62" i="24"/>
  <c r="P87" i="46" s="1"/>
  <c r="B65" i="48"/>
  <c r="B14" i="48"/>
  <c r="B45" i="48"/>
  <c r="D438" i="47" s="1"/>
  <c r="PU2" i="52" s="1"/>
  <c r="B17" i="48"/>
  <c r="B9" i="48"/>
  <c r="B49" i="48"/>
  <c r="B48" i="48"/>
  <c r="B22" i="48"/>
  <c r="B57" i="48"/>
  <c r="B28" i="48"/>
  <c r="D433" i="47" s="1"/>
  <c r="ANR2" i="52" s="1"/>
  <c r="B41" i="48"/>
  <c r="D430" i="47" s="1"/>
  <c r="PM2" i="52" s="1"/>
  <c r="B29" i="48"/>
  <c r="B60" i="48"/>
  <c r="B108" i="48"/>
  <c r="B89" i="48"/>
  <c r="B38" i="48"/>
  <c r="D435" i="47" s="1"/>
  <c r="ANT2" i="52" s="1"/>
  <c r="B27" i="48"/>
  <c r="B51" i="48"/>
  <c r="D439" i="47" s="1"/>
  <c r="B67" i="48"/>
  <c r="B31" i="48"/>
  <c r="B13" i="48"/>
  <c r="D431" i="47" s="1"/>
  <c r="ANP2" i="52" s="1"/>
  <c r="B43" i="48"/>
  <c r="B19" i="48"/>
  <c r="B107" i="48"/>
  <c r="B85" i="48"/>
  <c r="B7" i="48"/>
  <c r="B5" i="48"/>
  <c r="B40" i="48"/>
  <c r="D437" i="47" s="1"/>
  <c r="B35" i="48"/>
  <c r="B34" i="48"/>
  <c r="B64" i="48"/>
  <c r="B111" i="48"/>
  <c r="B56" i="48"/>
  <c r="B36" i="48"/>
  <c r="B39" i="48"/>
  <c r="D436" i="47" s="1"/>
  <c r="ANU2" i="52" s="1"/>
  <c r="B53" i="48"/>
  <c r="B47" i="48"/>
  <c r="B20" i="48"/>
  <c r="D432" i="47" s="1"/>
  <c r="ANQ2" i="52" s="1"/>
  <c r="B52" i="48"/>
  <c r="B26" i="48"/>
  <c r="B24" i="48"/>
  <c r="B66" i="48"/>
  <c r="B44" i="48"/>
  <c r="B72" i="48" s="1"/>
  <c r="B50" i="48"/>
  <c r="N19" i="18"/>
  <c r="N5" i="19"/>
  <c r="Q5" i="19" s="1"/>
  <c r="Q34" i="19" s="1"/>
  <c r="H86" i="10"/>
  <c r="I86" i="10" s="1"/>
  <c r="N88" i="46"/>
  <c r="V88" i="46" s="1"/>
  <c r="N85" i="46"/>
  <c r="V85" i="46" s="1"/>
  <c r="G46" i="16"/>
  <c r="D151" i="47" s="1"/>
  <c r="ET2" i="52" s="1"/>
  <c r="P5" i="11"/>
  <c r="F68" i="16"/>
  <c r="D213" i="47" s="1"/>
  <c r="HD2" i="52" s="1"/>
  <c r="N30" i="1"/>
  <c r="F58" i="16"/>
  <c r="F57" i="16" s="1"/>
  <c r="F79" i="16" s="1"/>
  <c r="N86" i="51"/>
  <c r="V86" i="51" s="1"/>
  <c r="V98" i="51" s="1"/>
  <c r="D535" i="47"/>
  <c r="TN2" i="52" s="1"/>
  <c r="D48" i="36"/>
  <c r="N87" i="51"/>
  <c r="T87" i="51" s="1"/>
  <c r="LI2" i="52"/>
  <c r="B31" i="36"/>
  <c r="B49" i="36"/>
  <c r="B50" i="36" s="1"/>
  <c r="H4" i="55"/>
  <c r="H26" i="55" s="1"/>
  <c r="D63" i="24"/>
  <c r="E87" i="33" s="1"/>
  <c r="A50" i="19"/>
  <c r="A94" i="19" s="1"/>
  <c r="A112" i="19" s="1"/>
  <c r="D57" i="24"/>
  <c r="H4" i="48"/>
  <c r="H44" i="48" s="1"/>
  <c r="H72" i="48" s="1"/>
  <c r="H160" i="12"/>
  <c r="B159" i="12"/>
  <c r="C159" i="12" s="1"/>
  <c r="C62" i="24"/>
  <c r="C60" i="24"/>
  <c r="A48" i="10"/>
  <c r="A92" i="10" s="1"/>
  <c r="E88" i="51"/>
  <c r="AC85" i="46"/>
  <c r="AC97" i="46" s="1"/>
  <c r="E57" i="24"/>
  <c r="A61" i="12"/>
  <c r="A117" i="12" s="1"/>
  <c r="A140" i="12" s="1"/>
  <c r="A55" i="20"/>
  <c r="A99" i="20" s="1"/>
  <c r="C63" i="24"/>
  <c r="C49" i="20" s="1"/>
  <c r="C93" i="20" s="1"/>
  <c r="F63" i="24"/>
  <c r="D60" i="24"/>
  <c r="B99" i="12"/>
  <c r="H2" i="36"/>
  <c r="H14" i="36" s="1"/>
  <c r="D293" i="47" s="1"/>
  <c r="KF2" i="52" s="1"/>
  <c r="D16" i="24"/>
  <c r="C85" i="46" s="1"/>
  <c r="B160" i="12"/>
  <c r="N160" i="12"/>
  <c r="F57" i="24"/>
  <c r="D62" i="24"/>
  <c r="G87" i="41" s="1"/>
  <c r="BA32" i="41"/>
  <c r="F74" i="55"/>
  <c r="BB36" i="41"/>
  <c r="J32" i="41"/>
  <c r="L32" i="41" s="1"/>
  <c r="BA40" i="41"/>
  <c r="BA41" i="41"/>
  <c r="AZ25" i="41"/>
  <c r="AZ28" i="41"/>
  <c r="H46" i="19"/>
  <c r="H68" i="19" s="1"/>
  <c r="N45" i="10"/>
  <c r="N4" i="10"/>
  <c r="Q4" i="10" s="1"/>
  <c r="Q5" i="10" s="1"/>
  <c r="Q8" i="10" s="1"/>
  <c r="N5" i="12"/>
  <c r="Q5" i="12" s="1"/>
  <c r="N28" i="12"/>
  <c r="Q28" i="12" s="1"/>
  <c r="N57" i="12"/>
  <c r="F67" i="16"/>
  <c r="D212" i="47" s="1"/>
  <c r="HC2" i="52" s="1"/>
  <c r="O37" i="20"/>
  <c r="O100" i="12"/>
  <c r="D32" i="31"/>
  <c r="N9" i="12"/>
  <c r="Q9" i="12" s="1"/>
  <c r="Q11" i="12" s="1"/>
  <c r="H32" i="31"/>
  <c r="D41" i="31"/>
  <c r="D39" i="31"/>
  <c r="H38" i="31"/>
  <c r="F41" i="31"/>
  <c r="F39" i="31"/>
  <c r="F38" i="31"/>
  <c r="D38" i="31"/>
  <c r="T87" i="41"/>
  <c r="R87" i="40"/>
  <c r="M12" i="10"/>
  <c r="T87" i="40"/>
  <c r="M66" i="10"/>
  <c r="M110" i="10" s="1"/>
  <c r="O40" i="19"/>
  <c r="O42" i="12"/>
  <c r="F32" i="31"/>
  <c r="O41" i="19"/>
  <c r="I12" i="1"/>
  <c r="Y103" i="41"/>
  <c r="Y104" i="41" s="1"/>
  <c r="N14" i="12"/>
  <c r="Q14" i="12" s="1"/>
  <c r="C103" i="51"/>
  <c r="P23" i="19"/>
  <c r="P26" i="19" s="1"/>
  <c r="C103" i="33"/>
  <c r="Y86" i="33"/>
  <c r="AE86" i="33" s="1"/>
  <c r="O83" i="19"/>
  <c r="O98" i="12"/>
  <c r="N62" i="1"/>
  <c r="N89" i="11"/>
  <c r="N64" i="1"/>
  <c r="P15" i="19"/>
  <c r="P17" i="19" s="1"/>
  <c r="O85" i="19"/>
  <c r="O84" i="19"/>
  <c r="O42" i="19"/>
  <c r="O86" i="19"/>
  <c r="N87" i="49"/>
  <c r="N100" i="49" s="1"/>
  <c r="N107" i="49" s="1"/>
  <c r="O82" i="19"/>
  <c r="O36" i="20"/>
  <c r="M48" i="10"/>
  <c r="M56" i="10" s="1"/>
  <c r="M100" i="10" s="1"/>
  <c r="N37" i="10"/>
  <c r="Y88" i="46"/>
  <c r="O38" i="20"/>
  <c r="O39" i="20"/>
  <c r="O40" i="20"/>
  <c r="N90" i="49"/>
  <c r="V90" i="49" s="1"/>
  <c r="I62" i="24"/>
  <c r="L63" i="24"/>
  <c r="I60" i="24"/>
  <c r="J63" i="24"/>
  <c r="P87" i="33" s="1"/>
  <c r="H27" i="1"/>
  <c r="D35" i="16"/>
  <c r="D15" i="30" s="1"/>
  <c r="D43" i="16"/>
  <c r="D40" i="16"/>
  <c r="D41" i="16"/>
  <c r="D133" i="47" s="1"/>
  <c r="EB2" i="52" s="1"/>
  <c r="D33" i="16"/>
  <c r="H42" i="12" s="1"/>
  <c r="D49" i="16"/>
  <c r="D134" i="47" s="1"/>
  <c r="EC2" i="52" s="1"/>
  <c r="D37" i="16"/>
  <c r="D130" i="47" s="1"/>
  <c r="DY2" i="52" s="1"/>
  <c r="D31" i="16"/>
  <c r="D30" i="16" s="1"/>
  <c r="H51" i="12" s="1"/>
  <c r="H6" i="12" s="1"/>
  <c r="I6" i="12" s="1"/>
  <c r="K6" i="12" s="1"/>
  <c r="H39" i="30"/>
  <c r="D34" i="16"/>
  <c r="H43" i="12" s="1"/>
  <c r="H30" i="1"/>
  <c r="H26" i="1"/>
  <c r="H32" i="30"/>
  <c r="B13" i="31"/>
  <c r="D110" i="47"/>
  <c r="DE2" i="52" s="1"/>
  <c r="B13" i="30"/>
  <c r="Y96" i="46"/>
  <c r="Y101" i="46" s="1"/>
  <c r="AG85" i="46"/>
  <c r="AG98" i="46" s="1"/>
  <c r="AZ29" i="41"/>
  <c r="AE85" i="46"/>
  <c r="AE98" i="46" s="1"/>
  <c r="M21" i="20"/>
  <c r="J29" i="41"/>
  <c r="L29" i="41" s="1"/>
  <c r="BA28" i="41"/>
  <c r="BB29" i="41"/>
  <c r="BB54" i="41"/>
  <c r="AZ45" i="41"/>
  <c r="AZ90" i="41" s="1"/>
  <c r="AZ97" i="41" s="1"/>
  <c r="Y98" i="46"/>
  <c r="Y105" i="46" s="1"/>
  <c r="J54" i="41"/>
  <c r="I83" i="41" s="1"/>
  <c r="J30" i="41"/>
  <c r="L30" i="41" s="1"/>
  <c r="J45" i="41"/>
  <c r="L45" i="41" s="1"/>
  <c r="AZ54" i="41"/>
  <c r="AZ72" i="41" s="1"/>
  <c r="BB45" i="41"/>
  <c r="BB90" i="41" s="1"/>
  <c r="BB97" i="41" s="1"/>
  <c r="BA25" i="41"/>
  <c r="BB40" i="41"/>
  <c r="AZ40" i="41"/>
  <c r="BB25" i="41"/>
  <c r="BA34" i="41"/>
  <c r="N83" i="9"/>
  <c r="N7" i="22"/>
  <c r="Q7" i="22" s="1"/>
  <c r="N38" i="9"/>
  <c r="N85" i="9"/>
  <c r="N102" i="9" s="1"/>
  <c r="Q102" i="9" s="1"/>
  <c r="BB32" i="41"/>
  <c r="AZ46" i="41"/>
  <c r="AZ89" i="41" s="1"/>
  <c r="M5" i="22"/>
  <c r="Q5" i="22" s="1"/>
  <c r="J33" i="41"/>
  <c r="L33" i="41" s="1"/>
  <c r="N6" i="12"/>
  <c r="O6" i="12" s="1"/>
  <c r="Y102" i="51"/>
  <c r="J28" i="41"/>
  <c r="L28" i="41" s="1"/>
  <c r="P17" i="24"/>
  <c r="B8" i="48"/>
  <c r="B21" i="48"/>
  <c r="J34" i="41"/>
  <c r="L34" i="41" s="1"/>
  <c r="Y99" i="51"/>
  <c r="Y106" i="51" s="1"/>
  <c r="B63" i="48"/>
  <c r="B18" i="48"/>
  <c r="B11" i="48"/>
  <c r="AG86" i="51"/>
  <c r="AG99" i="51" s="1"/>
  <c r="B104" i="48"/>
  <c r="Y98" i="51"/>
  <c r="BA30" i="41"/>
  <c r="AE86" i="51"/>
  <c r="AE98" i="51" s="1"/>
  <c r="AC86" i="51"/>
  <c r="AC98" i="51" s="1"/>
  <c r="BB34" i="41"/>
  <c r="BB30" i="41"/>
  <c r="D282" i="47"/>
  <c r="JU2" i="52" s="1"/>
  <c r="Q4" i="18"/>
  <c r="N122" i="12"/>
  <c r="Q122" i="12" s="1"/>
  <c r="Q123" i="12" s="1"/>
  <c r="O151" i="12" s="1"/>
  <c r="Q4" i="20"/>
  <c r="Q5" i="20" s="1"/>
  <c r="Q8" i="20" s="1"/>
  <c r="M109" i="20"/>
  <c r="J36" i="55"/>
  <c r="AP15" i="46"/>
  <c r="N50" i="18"/>
  <c r="N42" i="18" s="1"/>
  <c r="P42" i="18" s="1"/>
  <c r="Q42" i="18" s="1"/>
  <c r="AP17" i="49"/>
  <c r="N92" i="11"/>
  <c r="N65" i="11" s="1"/>
  <c r="Q65" i="11" s="1"/>
  <c r="J70" i="36"/>
  <c r="N110" i="12"/>
  <c r="N166" i="12" s="1"/>
  <c r="O82" i="20"/>
  <c r="O84" i="20"/>
  <c r="O101" i="12"/>
  <c r="O99" i="12"/>
  <c r="O83" i="20"/>
  <c r="N31" i="18"/>
  <c r="N23" i="18" s="1"/>
  <c r="M23" i="18" s="1"/>
  <c r="O45" i="12"/>
  <c r="O43" i="19"/>
  <c r="N41" i="9"/>
  <c r="N14" i="9" s="1"/>
  <c r="Q14" i="9" s="1"/>
  <c r="N37" i="9"/>
  <c r="N81" i="10"/>
  <c r="O7" i="9"/>
  <c r="O38" i="19"/>
  <c r="N61" i="1"/>
  <c r="O80" i="20"/>
  <c r="N6" i="22"/>
  <c r="Q6" i="22" s="1"/>
  <c r="N86" i="10"/>
  <c r="O86" i="10" s="1"/>
  <c r="N39" i="10"/>
  <c r="O10" i="11"/>
  <c r="B64" i="36"/>
  <c r="D370" i="47" s="1"/>
  <c r="NE2" i="52" s="1"/>
  <c r="B59" i="16"/>
  <c r="D173" i="47" s="1"/>
  <c r="FP2" i="52" s="1"/>
  <c r="B68" i="16"/>
  <c r="D181" i="47" s="1"/>
  <c r="FX2" i="52" s="1"/>
  <c r="B76" i="16"/>
  <c r="C73" i="16"/>
  <c r="N85" i="10"/>
  <c r="N38" i="10"/>
  <c r="N63" i="1"/>
  <c r="O46" i="12"/>
  <c r="N90" i="11"/>
  <c r="O44" i="12"/>
  <c r="N88" i="49"/>
  <c r="V88" i="49" s="1"/>
  <c r="N39" i="9"/>
  <c r="N41" i="10"/>
  <c r="O81" i="20"/>
  <c r="O10" i="22"/>
  <c r="N94" i="11"/>
  <c r="N55" i="11" s="1"/>
  <c r="Q55" i="11" s="1"/>
  <c r="O103" i="12"/>
  <c r="N42" i="11"/>
  <c r="AP16" i="40"/>
  <c r="N16" i="18"/>
  <c r="N34" i="18" s="1"/>
  <c r="O43" i="12"/>
  <c r="O102" i="12"/>
  <c r="N81" i="9"/>
  <c r="N42" i="10"/>
  <c r="O42" i="10" s="1"/>
  <c r="N82" i="10"/>
  <c r="O19" i="22"/>
  <c r="N89" i="49"/>
  <c r="T89" i="49" s="1"/>
  <c r="N59" i="19"/>
  <c r="P59" i="19" s="1"/>
  <c r="P60" i="19" s="1"/>
  <c r="O87" i="19"/>
  <c r="O6" i="20"/>
  <c r="N88" i="41"/>
  <c r="N88" i="11"/>
  <c r="N66" i="1"/>
  <c r="O66" i="1" s="1"/>
  <c r="N40" i="10"/>
  <c r="N65" i="1"/>
  <c r="M5" i="11"/>
  <c r="M16" i="11" s="1"/>
  <c r="Q16" i="11" s="1"/>
  <c r="N84" i="10"/>
  <c r="N62" i="12"/>
  <c r="O62" i="12" s="1"/>
  <c r="O118" i="12" s="1"/>
  <c r="Q118" i="12" s="1"/>
  <c r="O21" i="12"/>
  <c r="J2" i="39"/>
  <c r="H53" i="12"/>
  <c r="N31" i="1"/>
  <c r="O31" i="1" s="1"/>
  <c r="F76" i="16"/>
  <c r="F77" i="16" s="1"/>
  <c r="E46" i="16"/>
  <c r="D530" i="47" s="1"/>
  <c r="N41" i="11"/>
  <c r="G73" i="16"/>
  <c r="D620" i="47" s="1"/>
  <c r="WU2" i="52" s="1"/>
  <c r="F64" i="16"/>
  <c r="D210" i="47" s="1"/>
  <c r="AFQ2" i="52" s="1"/>
  <c r="N46" i="11"/>
  <c r="N7" i="11" s="1"/>
  <c r="Q7" i="11" s="1"/>
  <c r="N29" i="1"/>
  <c r="F70" i="16"/>
  <c r="N27" i="1"/>
  <c r="F60" i="16"/>
  <c r="D206" i="47" s="1"/>
  <c r="GW2" i="52" s="1"/>
  <c r="N44" i="11"/>
  <c r="N17" i="11" s="1"/>
  <c r="Q17" i="11" s="1"/>
  <c r="N88" i="51"/>
  <c r="V88" i="51" s="1"/>
  <c r="E46" i="36"/>
  <c r="D327" i="47" s="1"/>
  <c r="AJV2" i="52" s="1"/>
  <c r="D52" i="36"/>
  <c r="J18" i="24"/>
  <c r="N87" i="46" s="1"/>
  <c r="D122" i="47"/>
  <c r="DQ2" i="52" s="1"/>
  <c r="B2" i="30"/>
  <c r="J2" i="30" s="1"/>
  <c r="J14" i="55"/>
  <c r="J27" i="55"/>
  <c r="J33" i="55"/>
  <c r="BB47" i="41"/>
  <c r="BB99" i="41" s="1"/>
  <c r="G71" i="48"/>
  <c r="D829" i="47" s="1"/>
  <c r="AZ36" i="41"/>
  <c r="BB37" i="41"/>
  <c r="BA89" i="41"/>
  <c r="BB42" i="41"/>
  <c r="J41" i="41"/>
  <c r="L41" i="41" s="1"/>
  <c r="J37" i="41"/>
  <c r="L37" i="41" s="1"/>
  <c r="BB41" i="41"/>
  <c r="AZ37" i="41"/>
  <c r="BB46" i="41"/>
  <c r="BB89" i="41" s="1"/>
  <c r="BB95" i="41" s="1"/>
  <c r="J46" i="41"/>
  <c r="L46" i="41" s="1"/>
  <c r="BA36" i="41"/>
  <c r="G19" i="16"/>
  <c r="D87" i="47" s="1"/>
  <c r="CH2" i="52" s="1"/>
  <c r="BB44" i="41"/>
  <c r="BB87" i="41" s="1"/>
  <c r="BB93" i="41" s="1"/>
  <c r="AZ33" i="41"/>
  <c r="BA44" i="41"/>
  <c r="BA87" i="41" s="1"/>
  <c r="BA93" i="41" s="1"/>
  <c r="BA33" i="41"/>
  <c r="AZ44" i="41"/>
  <c r="AZ87" i="41" s="1"/>
  <c r="AZ93" i="41" s="1"/>
  <c r="J42" i="41"/>
  <c r="L42" i="41" s="1"/>
  <c r="AZ42" i="41"/>
  <c r="J27" i="41"/>
  <c r="L27" i="41" s="1"/>
  <c r="AZ27" i="41"/>
  <c r="BB35" i="41"/>
  <c r="J47" i="41"/>
  <c r="L47" i="41" s="1"/>
  <c r="C71" i="48"/>
  <c r="D827" i="47" s="1"/>
  <c r="AEQ2" i="52" s="1"/>
  <c r="BA27" i="41"/>
  <c r="AZ47" i="41"/>
  <c r="AZ99" i="41" s="1"/>
  <c r="AZ35" i="41"/>
  <c r="E19" i="16"/>
  <c r="D458" i="47" s="1"/>
  <c r="AOO2" i="52" s="1"/>
  <c r="J35" i="41"/>
  <c r="L35" i="41" s="1"/>
  <c r="M45" i="1"/>
  <c r="M80" i="1" s="1"/>
  <c r="Y103" i="51"/>
  <c r="AC103" i="33"/>
  <c r="N52" i="18"/>
  <c r="N33" i="18"/>
  <c r="ABD2" i="52"/>
  <c r="AYT2" i="52"/>
  <c r="AE81" i="33"/>
  <c r="AF116" i="33"/>
  <c r="Y117" i="49"/>
  <c r="Z115" i="49"/>
  <c r="R4" i="55"/>
  <c r="R4" i="48"/>
  <c r="P62" i="24"/>
  <c r="Q57" i="24"/>
  <c r="P57" i="24"/>
  <c r="O61" i="24"/>
  <c r="O59" i="22" s="1"/>
  <c r="O107" i="22" s="1"/>
  <c r="M55" i="20"/>
  <c r="M99" i="20" s="1"/>
  <c r="P59" i="24"/>
  <c r="P58" i="24"/>
  <c r="P60" i="24"/>
  <c r="O57" i="24"/>
  <c r="Q63" i="24"/>
  <c r="AA86" i="51"/>
  <c r="AA99" i="51" s="1"/>
  <c r="P61" i="24"/>
  <c r="M47" i="20"/>
  <c r="M91" i="20" s="1"/>
  <c r="R63" i="24"/>
  <c r="M50" i="19"/>
  <c r="O59" i="24"/>
  <c r="G116" i="33"/>
  <c r="H116" i="33" s="1"/>
  <c r="H114" i="33"/>
  <c r="AG90" i="33"/>
  <c r="AG108" i="33" s="1"/>
  <c r="AE108" i="33"/>
  <c r="J41" i="55"/>
  <c r="J22" i="55"/>
  <c r="J11" i="55"/>
  <c r="P63" i="24"/>
  <c r="O62" i="24"/>
  <c r="AE83" i="33"/>
  <c r="AG116" i="33"/>
  <c r="AH114" i="33"/>
  <c r="S114" i="41"/>
  <c r="R116" i="41"/>
  <c r="S116" i="41" s="1"/>
  <c r="AD117" i="49"/>
  <c r="W114" i="51"/>
  <c r="V116" i="51"/>
  <c r="AUF2" i="52"/>
  <c r="J46" i="55"/>
  <c r="J61" i="55"/>
  <c r="O60" i="24"/>
  <c r="F61" i="36"/>
  <c r="D399" i="47" s="1"/>
  <c r="F57" i="36"/>
  <c r="F59" i="36"/>
  <c r="D397" i="47" s="1"/>
  <c r="F76" i="36"/>
  <c r="F77" i="36" s="1"/>
  <c r="G73" i="36"/>
  <c r="D407" i="47" s="1"/>
  <c r="F67" i="36"/>
  <c r="D404" i="47" s="1"/>
  <c r="F60" i="36"/>
  <c r="F64" i="36"/>
  <c r="F68" i="36"/>
  <c r="D405" i="47" s="1"/>
  <c r="ON2" i="52" s="1"/>
  <c r="F62" i="36"/>
  <c r="D400" i="47" s="1"/>
  <c r="F58" i="36"/>
  <c r="E113" i="46"/>
  <c r="V60" i="46"/>
  <c r="AL60" i="46" s="1"/>
  <c r="AL49" i="46"/>
  <c r="AL114" i="41"/>
  <c r="AM114" i="41" s="1"/>
  <c r="AH114" i="41"/>
  <c r="AG116" i="41"/>
  <c r="O114" i="41"/>
  <c r="N116" i="41"/>
  <c r="W114" i="41"/>
  <c r="V116" i="41"/>
  <c r="B61" i="36"/>
  <c r="D367" i="47" s="1"/>
  <c r="B76" i="36"/>
  <c r="B77" i="36" s="1"/>
  <c r="B59" i="36"/>
  <c r="B68" i="36"/>
  <c r="D373" i="47" s="1"/>
  <c r="NH2" i="52" s="1"/>
  <c r="B58" i="36"/>
  <c r="B62" i="36"/>
  <c r="D368" i="47" s="1"/>
  <c r="B60" i="36"/>
  <c r="B67" i="36"/>
  <c r="C73" i="36"/>
  <c r="B57" i="36"/>
  <c r="R57" i="24"/>
  <c r="N88" i="40"/>
  <c r="N86" i="41"/>
  <c r="J80" i="55" s="1"/>
  <c r="Z114" i="33"/>
  <c r="Y116" i="33"/>
  <c r="O114" i="51"/>
  <c r="N116" i="51"/>
  <c r="J51" i="55"/>
  <c r="J74" i="55" s="1"/>
  <c r="J75" i="55" s="1"/>
  <c r="K4" i="18"/>
  <c r="Z114" i="51"/>
  <c r="Y116" i="51"/>
  <c r="AN90" i="40"/>
  <c r="K108" i="40"/>
  <c r="AO90" i="40"/>
  <c r="AP90" i="40"/>
  <c r="AO61" i="40"/>
  <c r="AN61" i="40"/>
  <c r="AP61" i="40"/>
  <c r="K81" i="40"/>
  <c r="AAM2" i="52"/>
  <c r="AYC2" i="52"/>
  <c r="J6" i="7"/>
  <c r="O58" i="24"/>
  <c r="E114" i="41"/>
  <c r="W113" i="46"/>
  <c r="V115" i="46"/>
  <c r="V81" i="41"/>
  <c r="AL61" i="41"/>
  <c r="K88" i="51"/>
  <c r="G88" i="51"/>
  <c r="D589" i="47"/>
  <c r="ATI2" i="52" s="1"/>
  <c r="P30" i="24"/>
  <c r="B2" i="31"/>
  <c r="I19" i="16"/>
  <c r="D103" i="47" s="1"/>
  <c r="CX2" i="52" s="1"/>
  <c r="H16" i="16"/>
  <c r="D86" i="47"/>
  <c r="CG2" i="52" s="1"/>
  <c r="LD2" i="52"/>
  <c r="I10" i="11"/>
  <c r="H40" i="11"/>
  <c r="J38" i="41"/>
  <c r="L38" i="41" s="1"/>
  <c r="AZ38" i="41"/>
  <c r="BA38" i="41"/>
  <c r="H10" i="16"/>
  <c r="D98" i="47" s="1"/>
  <c r="CS2" i="52" s="1"/>
  <c r="D154" i="47"/>
  <c r="EW2" i="52" s="1"/>
  <c r="D53" i="11"/>
  <c r="H40" i="10"/>
  <c r="D36" i="36"/>
  <c r="D38" i="36" s="1"/>
  <c r="AJP2" i="52"/>
  <c r="H42" i="10"/>
  <c r="I42" i="10" s="1"/>
  <c r="H85" i="10"/>
  <c r="F17" i="31"/>
  <c r="F17" i="30"/>
  <c r="F23" i="30" s="1"/>
  <c r="F29" i="30" s="1"/>
  <c r="F48" i="16"/>
  <c r="L34" i="30"/>
  <c r="C39" i="20"/>
  <c r="N103" i="41"/>
  <c r="I40" i="20"/>
  <c r="N102" i="46"/>
  <c r="N103" i="40"/>
  <c r="H22" i="16"/>
  <c r="D102" i="47" s="1"/>
  <c r="CW2" i="52" s="1"/>
  <c r="C19" i="16"/>
  <c r="D440" i="47" s="1"/>
  <c r="ANX2" i="52" s="1"/>
  <c r="H7" i="16"/>
  <c r="D95" i="47" s="1"/>
  <c r="CP2" i="52" s="1"/>
  <c r="H4" i="16"/>
  <c r="H3" i="16" s="1"/>
  <c r="H14" i="16"/>
  <c r="D101" i="47" s="1"/>
  <c r="CV2" i="52" s="1"/>
  <c r="H8" i="16"/>
  <c r="D96" i="47" s="1"/>
  <c r="CQ2" i="52" s="1"/>
  <c r="H6" i="16"/>
  <c r="D94" i="47" s="1"/>
  <c r="CO2" i="52" s="1"/>
  <c r="N104" i="49"/>
  <c r="AB113" i="40"/>
  <c r="AA114" i="40"/>
  <c r="V90" i="41"/>
  <c r="V108" i="41" s="1"/>
  <c r="T108" i="41"/>
  <c r="P116" i="33"/>
  <c r="Q114" i="33"/>
  <c r="S114" i="51"/>
  <c r="R116" i="51"/>
  <c r="S116" i="51" s="1"/>
  <c r="I41" i="19"/>
  <c r="C84" i="20"/>
  <c r="T90" i="51"/>
  <c r="R108" i="51"/>
  <c r="D4" i="1"/>
  <c r="D6" i="1" s="1"/>
  <c r="C102" i="46"/>
  <c r="BA26" i="41"/>
  <c r="AZ26" i="41"/>
  <c r="J26" i="41"/>
  <c r="L26" i="41" s="1"/>
  <c r="BB26" i="41"/>
  <c r="AL114" i="33"/>
  <c r="AM114" i="33" s="1"/>
  <c r="V116" i="33"/>
  <c r="W114" i="33"/>
  <c r="AE108" i="40"/>
  <c r="U114" i="51"/>
  <c r="T116" i="51"/>
  <c r="U116" i="51" s="1"/>
  <c r="F111" i="33"/>
  <c r="E114" i="33"/>
  <c r="E115" i="49"/>
  <c r="G66" i="10"/>
  <c r="G22" i="10"/>
  <c r="G87" i="51"/>
  <c r="C38" i="19"/>
  <c r="L6" i="39"/>
  <c r="L9" i="39" s="1"/>
  <c r="K87" i="51"/>
  <c r="C39" i="19"/>
  <c r="I36" i="20"/>
  <c r="B83" i="10"/>
  <c r="I43" i="19"/>
  <c r="I40" i="19"/>
  <c r="H42" i="11"/>
  <c r="B38" i="10"/>
  <c r="C38" i="10" s="1"/>
  <c r="B85" i="10"/>
  <c r="D9" i="31"/>
  <c r="B9" i="31"/>
  <c r="H92" i="11"/>
  <c r="H65" i="11" s="1"/>
  <c r="K65" i="11" s="1"/>
  <c r="G5" i="11"/>
  <c r="G16" i="11" s="1"/>
  <c r="K16" i="11" s="1"/>
  <c r="B37" i="10"/>
  <c r="C37" i="10" s="1"/>
  <c r="H41" i="11"/>
  <c r="P106" i="19"/>
  <c r="P108" i="19" s="1"/>
  <c r="G12" i="1"/>
  <c r="G109" i="20"/>
  <c r="G65" i="20"/>
  <c r="H33" i="18"/>
  <c r="D6" i="39"/>
  <c r="D9" i="39" s="1"/>
  <c r="C86" i="41"/>
  <c r="C99" i="41" s="1"/>
  <c r="C106" i="41" s="1"/>
  <c r="C30" i="24"/>
  <c r="H38" i="30"/>
  <c r="D655" i="47"/>
  <c r="YC2" i="52" s="1"/>
  <c r="C37" i="20"/>
  <c r="C36" i="20"/>
  <c r="I81" i="20"/>
  <c r="I38" i="19"/>
  <c r="F21" i="16"/>
  <c r="F73" i="55" s="1"/>
  <c r="B39" i="10"/>
  <c r="C39" i="10" s="1"/>
  <c r="I82" i="19"/>
  <c r="D324" i="47"/>
  <c r="G17" i="22"/>
  <c r="K17" i="22" s="1"/>
  <c r="I85" i="19"/>
  <c r="C41" i="20"/>
  <c r="C40" i="20"/>
  <c r="J53" i="11"/>
  <c r="C87" i="49"/>
  <c r="C99" i="49" s="1"/>
  <c r="I58" i="11"/>
  <c r="I106" i="11" s="1"/>
  <c r="AUI2" i="52"/>
  <c r="WQ2" i="52"/>
  <c r="WO2" i="52"/>
  <c r="AUG2" i="52"/>
  <c r="B84" i="10"/>
  <c r="C81" i="20"/>
  <c r="I83" i="40"/>
  <c r="E5" i="12"/>
  <c r="C10" i="11"/>
  <c r="I87" i="41"/>
  <c r="B86" i="10"/>
  <c r="C86" i="10" s="1"/>
  <c r="C42" i="19"/>
  <c r="B41" i="10"/>
  <c r="C41" i="10" s="1"/>
  <c r="D7" i="10" s="1"/>
  <c r="B40" i="10"/>
  <c r="C40" i="10" s="1"/>
  <c r="D6" i="10" s="1"/>
  <c r="C88" i="40"/>
  <c r="K88" i="40" s="1"/>
  <c r="C82" i="20"/>
  <c r="B81" i="10"/>
  <c r="B82" i="10"/>
  <c r="E4" i="18"/>
  <c r="B13" i="18" s="1"/>
  <c r="B14" i="18" s="1"/>
  <c r="C84" i="19"/>
  <c r="C82" i="19"/>
  <c r="AO87" i="41"/>
  <c r="AO100" i="41" s="1"/>
  <c r="A21" i="20"/>
  <c r="B2" i="7"/>
  <c r="D58" i="47"/>
  <c r="BE2" i="52" s="1"/>
  <c r="C86" i="19"/>
  <c r="AN87" i="41"/>
  <c r="AN99" i="41" s="1"/>
  <c r="A109" i="20"/>
  <c r="C85" i="19"/>
  <c r="C83" i="19"/>
  <c r="C80" i="20"/>
  <c r="C40" i="19"/>
  <c r="B24" i="7"/>
  <c r="B26" i="7" s="1"/>
  <c r="C87" i="46"/>
  <c r="K87" i="46" s="1"/>
  <c r="C86" i="33"/>
  <c r="K86" i="33" s="1"/>
  <c r="AP87" i="41"/>
  <c r="AP99" i="41" s="1"/>
  <c r="B59" i="19"/>
  <c r="D59" i="19" s="1"/>
  <c r="C38" i="20"/>
  <c r="B8" i="16"/>
  <c r="B7" i="16"/>
  <c r="B13" i="16"/>
  <c r="D52" i="47" s="1"/>
  <c r="AY2" i="52" s="1"/>
  <c r="B10" i="16"/>
  <c r="B46" i="12" s="1"/>
  <c r="B9" i="12" s="1"/>
  <c r="E9" i="12" s="1"/>
  <c r="B4" i="16"/>
  <c r="B53" i="12" s="1"/>
  <c r="B14" i="16"/>
  <c r="B22" i="16"/>
  <c r="B6" i="16"/>
  <c r="B42" i="12" s="1"/>
  <c r="B5" i="16"/>
  <c r="H4" i="1"/>
  <c r="H12" i="1"/>
  <c r="H49" i="9"/>
  <c r="H93" i="9" s="1"/>
  <c r="H67" i="9"/>
  <c r="H101" i="11"/>
  <c r="H122" i="11"/>
  <c r="H28" i="12"/>
  <c r="K28" i="12" s="1"/>
  <c r="H5" i="12"/>
  <c r="K5" i="12" s="1"/>
  <c r="H57" i="12"/>
  <c r="H23" i="9"/>
  <c r="H5" i="9"/>
  <c r="H5" i="11"/>
  <c r="H26" i="11"/>
  <c r="H4" i="20"/>
  <c r="H21" i="20"/>
  <c r="H12" i="20"/>
  <c r="H55" i="20" s="1"/>
  <c r="H99" i="20" s="1"/>
  <c r="H44" i="20"/>
  <c r="H53" i="11"/>
  <c r="H74" i="11"/>
  <c r="I84" i="19"/>
  <c r="J30" i="24"/>
  <c r="I86" i="19"/>
  <c r="I82" i="20"/>
  <c r="D553" i="47"/>
  <c r="UF2" i="52" s="1"/>
  <c r="L62" i="55"/>
  <c r="L94" i="55"/>
  <c r="L21" i="55"/>
  <c r="L9" i="55"/>
  <c r="L10" i="55"/>
  <c r="L108" i="55"/>
  <c r="L103" i="55"/>
  <c r="L25" i="55"/>
  <c r="L31" i="55"/>
  <c r="L58" i="55"/>
  <c r="L83" i="55"/>
  <c r="L28" i="55"/>
  <c r="L65" i="55"/>
  <c r="L11" i="55"/>
  <c r="L40" i="55"/>
  <c r="L50" i="55"/>
  <c r="L23" i="55"/>
  <c r="L107" i="55"/>
  <c r="L104" i="55"/>
  <c r="L54" i="55"/>
  <c r="L34" i="55"/>
  <c r="L6" i="55"/>
  <c r="L19" i="55"/>
  <c r="L82" i="55"/>
  <c r="M71" i="55"/>
  <c r="L67" i="55"/>
  <c r="L63" i="55"/>
  <c r="L48" i="55"/>
  <c r="L32" i="55"/>
  <c r="L14" i="55"/>
  <c r="L37" i="55"/>
  <c r="L87" i="55"/>
  <c r="L57" i="55"/>
  <c r="L46" i="55"/>
  <c r="L35" i="55"/>
  <c r="L45" i="55"/>
  <c r="L26" i="55"/>
  <c r="L30" i="55"/>
  <c r="L109" i="55"/>
  <c r="L98" i="55"/>
  <c r="L13" i="55"/>
  <c r="L15" i="55"/>
  <c r="L24" i="55"/>
  <c r="L47" i="55"/>
  <c r="L38" i="55"/>
  <c r="L18" i="55"/>
  <c r="L64" i="55"/>
  <c r="L16" i="55"/>
  <c r="L61" i="55"/>
  <c r="L12" i="55"/>
  <c r="L60" i="55"/>
  <c r="L22" i="55"/>
  <c r="L105" i="55"/>
  <c r="L55" i="55"/>
  <c r="L33" i="55"/>
  <c r="L29" i="55"/>
  <c r="L51" i="55"/>
  <c r="L74" i="55" s="1"/>
  <c r="L75" i="55" s="1"/>
  <c r="L59" i="55"/>
  <c r="L53" i="55"/>
  <c r="L39" i="55"/>
  <c r="L110" i="55"/>
  <c r="L111" i="55"/>
  <c r="L17" i="55"/>
  <c r="L85" i="55"/>
  <c r="L66" i="55"/>
  <c r="L52" i="55"/>
  <c r="L36" i="55"/>
  <c r="L20" i="55"/>
  <c r="L27" i="55"/>
  <c r="L42" i="55"/>
  <c r="L5" i="55"/>
  <c r="L43" i="55"/>
  <c r="L56" i="55"/>
  <c r="L89" i="55"/>
  <c r="L8" i="55"/>
  <c r="L7" i="55"/>
  <c r="L41" i="55"/>
  <c r="L106" i="55"/>
  <c r="L101" i="55"/>
  <c r="H38" i="10"/>
  <c r="I83" i="20"/>
  <c r="AYG2" i="52"/>
  <c r="AAQ2" i="52"/>
  <c r="H82" i="10"/>
  <c r="P7" i="39"/>
  <c r="I84" i="20"/>
  <c r="H81" i="10"/>
  <c r="N87" i="33"/>
  <c r="V87" i="33" s="1"/>
  <c r="H84" i="10"/>
  <c r="I80" i="20"/>
  <c r="I37" i="20"/>
  <c r="H39" i="10"/>
  <c r="H41" i="10"/>
  <c r="I39" i="20"/>
  <c r="C19" i="22"/>
  <c r="C7" i="9"/>
  <c r="C85" i="20"/>
  <c r="D84" i="47"/>
  <c r="CE2" i="52" s="1"/>
  <c r="AAJ2" i="52"/>
  <c r="AXZ2" i="52"/>
  <c r="H24" i="7"/>
  <c r="H26" i="7" s="1"/>
  <c r="H35" i="7"/>
  <c r="H45" i="7"/>
  <c r="H44" i="7"/>
  <c r="K83" i="40"/>
  <c r="N6" i="39"/>
  <c r="N9" i="39" s="1"/>
  <c r="K89" i="51"/>
  <c r="G89" i="51"/>
  <c r="A12" i="1"/>
  <c r="A45" i="1"/>
  <c r="A80" i="1" s="1"/>
  <c r="H13" i="16"/>
  <c r="H5" i="16"/>
  <c r="D106" i="47"/>
  <c r="DA2" i="52" s="1"/>
  <c r="H2" i="7"/>
  <c r="C87" i="33"/>
  <c r="C88" i="41"/>
  <c r="C88" i="46"/>
  <c r="B82" i="55" s="1"/>
  <c r="D5" i="22"/>
  <c r="C10" i="22"/>
  <c r="C83" i="20"/>
  <c r="C41" i="19"/>
  <c r="AAD2" i="52"/>
  <c r="AXT2" i="52"/>
  <c r="H6" i="39"/>
  <c r="H9" i="39" s="1"/>
  <c r="D105" i="19"/>
  <c r="D107" i="19" s="1"/>
  <c r="D108" i="19" s="1"/>
  <c r="N4" i="55"/>
  <c r="N4" i="48"/>
  <c r="I53" i="24"/>
  <c r="D346" i="47" s="1"/>
  <c r="G61" i="12"/>
  <c r="G84" i="12" s="1"/>
  <c r="F13" i="30"/>
  <c r="F13" i="31"/>
  <c r="D142" i="47"/>
  <c r="EK2" i="52" s="1"/>
  <c r="B6" i="39"/>
  <c r="B9" i="39" s="1"/>
  <c r="J60" i="19"/>
  <c r="J61" i="19" s="1"/>
  <c r="J63" i="19" s="1"/>
  <c r="J58" i="24"/>
  <c r="G37" i="1" s="1"/>
  <c r="K57" i="24"/>
  <c r="I59" i="24"/>
  <c r="I68" i="22" s="1"/>
  <c r="I116" i="22" s="1"/>
  <c r="I87" i="19"/>
  <c r="I7" i="9"/>
  <c r="I19" i="22"/>
  <c r="I57" i="24"/>
  <c r="I50" i="10" s="1"/>
  <c r="I94" i="10" s="1"/>
  <c r="K63" i="24"/>
  <c r="I57" i="20" s="1"/>
  <c r="I101" i="20" s="1"/>
  <c r="I58" i="24"/>
  <c r="J61" i="24"/>
  <c r="H41" i="30"/>
  <c r="F15" i="31"/>
  <c r="D144" i="47"/>
  <c r="EM2" i="52" s="1"/>
  <c r="F15" i="30"/>
  <c r="I14" i="20"/>
  <c r="I14" i="10"/>
  <c r="G47" i="20"/>
  <c r="G91" i="20" s="1"/>
  <c r="J57" i="24"/>
  <c r="N86" i="46"/>
  <c r="G5" i="9"/>
  <c r="H6" i="22"/>
  <c r="K6" i="22" s="1"/>
  <c r="H82" i="9"/>
  <c r="H37" i="9"/>
  <c r="H85" i="9"/>
  <c r="H39" i="9"/>
  <c r="H83" i="9"/>
  <c r="G5" i="22"/>
  <c r="H38" i="9"/>
  <c r="H81" i="9"/>
  <c r="H7" i="22"/>
  <c r="K7" i="22" s="1"/>
  <c r="H41" i="9"/>
  <c r="H14" i="9" s="1"/>
  <c r="K14" i="9" s="1"/>
  <c r="P8" i="39"/>
  <c r="L57" i="24"/>
  <c r="J60" i="24"/>
  <c r="P87" i="40" s="1"/>
  <c r="I61" i="24"/>
  <c r="I10" i="22"/>
  <c r="J5" i="22"/>
  <c r="I59" i="22"/>
  <c r="I107" i="22" s="1"/>
  <c r="H14" i="19"/>
  <c r="J14" i="19" s="1"/>
  <c r="J15" i="19" s="1"/>
  <c r="I42" i="19"/>
  <c r="F6" i="39"/>
  <c r="F9" i="39" s="1"/>
  <c r="I39" i="19"/>
  <c r="F50" i="16"/>
  <c r="D150" i="47"/>
  <c r="ES2" i="52" s="1"/>
  <c r="G50" i="19"/>
  <c r="I63" i="24"/>
  <c r="I49" i="20" s="1"/>
  <c r="I93" i="20" s="1"/>
  <c r="G48" i="10"/>
  <c r="G92" i="10" s="1"/>
  <c r="I83" i="19"/>
  <c r="G55" i="20"/>
  <c r="G99" i="20" s="1"/>
  <c r="J59" i="24"/>
  <c r="H55" i="22" s="1"/>
  <c r="H37" i="10"/>
  <c r="H83" i="10"/>
  <c r="F34" i="36"/>
  <c r="F31" i="36"/>
  <c r="F49" i="36"/>
  <c r="F30" i="36"/>
  <c r="F32" i="36"/>
  <c r="F33" i="36"/>
  <c r="N13" i="39" s="1"/>
  <c r="F40" i="36"/>
  <c r="F41" i="36"/>
  <c r="F37" i="36"/>
  <c r="F35" i="36"/>
  <c r="I38" i="20"/>
  <c r="F36" i="16"/>
  <c r="D143" i="47"/>
  <c r="EL2" i="52" s="1"/>
  <c r="F14" i="31"/>
  <c r="F14" i="30"/>
  <c r="H50" i="18"/>
  <c r="AO16" i="40"/>
  <c r="H31" i="18"/>
  <c r="H23" i="18" s="1"/>
  <c r="AO15" i="46"/>
  <c r="AO17" i="49"/>
  <c r="AO16" i="41"/>
  <c r="H5" i="18"/>
  <c r="H16" i="18"/>
  <c r="AO16" i="33"/>
  <c r="J7" i="55"/>
  <c r="J42" i="55"/>
  <c r="J111" i="55"/>
  <c r="J12" i="55"/>
  <c r="J94" i="55"/>
  <c r="J48" i="55"/>
  <c r="J39" i="55"/>
  <c r="J5" i="55"/>
  <c r="J37" i="55"/>
  <c r="K71" i="55"/>
  <c r="J32" i="55"/>
  <c r="J28" i="55"/>
  <c r="J85" i="55"/>
  <c r="J15" i="55"/>
  <c r="J63" i="55"/>
  <c r="J9" i="55"/>
  <c r="J43" i="55"/>
  <c r="J45" i="55"/>
  <c r="J31" i="55"/>
  <c r="J110" i="55"/>
  <c r="J52" i="55"/>
  <c r="J104" i="55"/>
  <c r="J13" i="55"/>
  <c r="J108" i="55"/>
  <c r="J23" i="55"/>
  <c r="J10" i="55"/>
  <c r="J53" i="55"/>
  <c r="J18" i="55"/>
  <c r="J47" i="55"/>
  <c r="J60" i="55"/>
  <c r="J96" i="55"/>
  <c r="J64" i="55"/>
  <c r="J66" i="55"/>
  <c r="J21" i="55"/>
  <c r="J89" i="55"/>
  <c r="J62" i="55"/>
  <c r="J35" i="55"/>
  <c r="J34" i="55"/>
  <c r="J30" i="55"/>
  <c r="J107" i="55"/>
  <c r="J59" i="55"/>
  <c r="J40" i="55"/>
  <c r="J106" i="55"/>
  <c r="J29" i="55"/>
  <c r="J20" i="55"/>
  <c r="J25" i="55"/>
  <c r="J6" i="55"/>
  <c r="J65" i="55"/>
  <c r="J24" i="55"/>
  <c r="J17" i="55"/>
  <c r="J67" i="55"/>
  <c r="J98" i="55"/>
  <c r="J87" i="55"/>
  <c r="J105" i="55"/>
  <c r="J16" i="55"/>
  <c r="J38" i="55"/>
  <c r="J56" i="55"/>
  <c r="J58" i="55"/>
  <c r="J50" i="55"/>
  <c r="J8" i="55"/>
  <c r="J57" i="55"/>
  <c r="J101" i="55"/>
  <c r="J82" i="55"/>
  <c r="J55" i="55"/>
  <c r="J54" i="55"/>
  <c r="J26" i="55"/>
  <c r="J81" i="55"/>
  <c r="J19" i="55"/>
  <c r="J103" i="55"/>
  <c r="I86" i="46"/>
  <c r="K86" i="46"/>
  <c r="AN86" i="46" s="1"/>
  <c r="AN97" i="46" s="1"/>
  <c r="XR2" i="52"/>
  <c r="AVH2" i="52"/>
  <c r="Q67" i="12"/>
  <c r="O95" i="12" s="1"/>
  <c r="C59" i="22"/>
  <c r="C107" i="22" s="1"/>
  <c r="D463" i="47"/>
  <c r="D266" i="47"/>
  <c r="J106" i="19"/>
  <c r="B81" i="9"/>
  <c r="B41" i="9"/>
  <c r="B14" i="9" s="1"/>
  <c r="E14" i="9" s="1"/>
  <c r="B85" i="9"/>
  <c r="B82" i="9"/>
  <c r="B39" i="9"/>
  <c r="H56" i="22"/>
  <c r="K56" i="22" s="1"/>
  <c r="B56" i="22"/>
  <c r="E56" i="22" s="1"/>
  <c r="N56" i="22"/>
  <c r="Q56" i="22" s="1"/>
  <c r="B7" i="22"/>
  <c r="E7" i="22" s="1"/>
  <c r="A5" i="22"/>
  <c r="N75" i="22"/>
  <c r="Q75" i="22" s="1"/>
  <c r="N26" i="22"/>
  <c r="Q26" i="22" s="1"/>
  <c r="B38" i="9"/>
  <c r="H26" i="22"/>
  <c r="K26" i="22" s="1"/>
  <c r="B6" i="22"/>
  <c r="E6" i="22" s="1"/>
  <c r="B37" i="9"/>
  <c r="B83" i="9"/>
  <c r="C86" i="40"/>
  <c r="A5" i="11"/>
  <c r="A26" i="11" s="1"/>
  <c r="E26" i="11" s="1"/>
  <c r="D250" i="47"/>
  <c r="D445" i="47"/>
  <c r="B43" i="55"/>
  <c r="B18" i="55"/>
  <c r="B94" i="55"/>
  <c r="B15" i="55"/>
  <c r="B30" i="55"/>
  <c r="B61" i="55"/>
  <c r="B106" i="55"/>
  <c r="B55" i="55"/>
  <c r="B65" i="55"/>
  <c r="B7" i="55"/>
  <c r="B108" i="55"/>
  <c r="B83" i="55"/>
  <c r="B107" i="55"/>
  <c r="B59" i="55"/>
  <c r="B45" i="55"/>
  <c r="B34" i="55"/>
  <c r="B36" i="55"/>
  <c r="B38" i="55"/>
  <c r="B32" i="55"/>
  <c r="B98" i="55"/>
  <c r="B56" i="55"/>
  <c r="B6" i="55"/>
  <c r="B31" i="55"/>
  <c r="B35" i="55"/>
  <c r="B47" i="55"/>
  <c r="B58" i="55"/>
  <c r="B52" i="55"/>
  <c r="B26" i="55"/>
  <c r="B22" i="55"/>
  <c r="B104" i="55"/>
  <c r="B21" i="55"/>
  <c r="B54" i="55"/>
  <c r="B12" i="55"/>
  <c r="B60" i="55"/>
  <c r="B42" i="55"/>
  <c r="B66" i="55"/>
  <c r="B24" i="55"/>
  <c r="B109" i="55"/>
  <c r="B8" i="55"/>
  <c r="B63" i="55"/>
  <c r="B29" i="55"/>
  <c r="B13" i="55"/>
  <c r="B17" i="55"/>
  <c r="B50" i="55"/>
  <c r="B20" i="55"/>
  <c r="B51" i="55"/>
  <c r="B40" i="55"/>
  <c r="B14" i="55"/>
  <c r="B37" i="55"/>
  <c r="B5" i="55"/>
  <c r="B48" i="55"/>
  <c r="B39" i="55"/>
  <c r="B46" i="55"/>
  <c r="B10" i="55"/>
  <c r="B27" i="55"/>
  <c r="B64" i="55"/>
  <c r="B33" i="55"/>
  <c r="B57" i="55"/>
  <c r="B105" i="55"/>
  <c r="B16" i="55"/>
  <c r="C71" i="55"/>
  <c r="B41" i="55"/>
  <c r="B11" i="55"/>
  <c r="B85" i="55"/>
  <c r="B28" i="55"/>
  <c r="B87" i="55"/>
  <c r="B89" i="55"/>
  <c r="B67" i="55"/>
  <c r="B19" i="55"/>
  <c r="B110" i="55"/>
  <c r="B25" i="55"/>
  <c r="B9" i="55"/>
  <c r="B101" i="55"/>
  <c r="B62" i="55"/>
  <c r="B23" i="55"/>
  <c r="B53" i="55"/>
  <c r="B111" i="55"/>
  <c r="D378" i="47"/>
  <c r="B4" i="36"/>
  <c r="B10" i="36"/>
  <c r="B102" i="12" s="1"/>
  <c r="B65" i="12" s="1"/>
  <c r="E65" i="12" s="1"/>
  <c r="B14" i="36"/>
  <c r="D245" i="47" s="1"/>
  <c r="IJ2" i="52" s="1"/>
  <c r="B3" i="36"/>
  <c r="B107" i="12" s="1"/>
  <c r="B62" i="12" s="1"/>
  <c r="C62" i="12" s="1"/>
  <c r="C118" i="12" s="1"/>
  <c r="B6" i="36"/>
  <c r="B98" i="12" s="1"/>
  <c r="B8" i="36"/>
  <c r="B100" i="12" s="1"/>
  <c r="B13" i="36"/>
  <c r="B5" i="36"/>
  <c r="B22" i="36"/>
  <c r="B7" i="36"/>
  <c r="P24" i="39"/>
  <c r="C104" i="49"/>
  <c r="AZ94" i="41"/>
  <c r="BA94" i="41"/>
  <c r="N103" i="51"/>
  <c r="L96" i="55" s="1"/>
  <c r="Y102" i="46"/>
  <c r="Y103" i="46" s="1"/>
  <c r="Y104" i="49"/>
  <c r="Y105" i="49" s="1"/>
  <c r="Y103" i="49"/>
  <c r="C21" i="20"/>
  <c r="I21" i="20"/>
  <c r="O21" i="20"/>
  <c r="YF2" i="52"/>
  <c r="AVV2" i="52"/>
  <c r="C23" i="19"/>
  <c r="C12" i="10"/>
  <c r="I22" i="10"/>
  <c r="C22" i="10"/>
  <c r="O22" i="10"/>
  <c r="Q22" i="10" s="1"/>
  <c r="Q25" i="10" s="1"/>
  <c r="O12" i="1"/>
  <c r="C12" i="1"/>
  <c r="AE2" i="52"/>
  <c r="F25" i="16"/>
  <c r="F52" i="16"/>
  <c r="AI2" i="52"/>
  <c r="AA118" i="49"/>
  <c r="AB118" i="49" s="1"/>
  <c r="H9" i="31"/>
  <c r="J6" i="31"/>
  <c r="AFO2" i="52"/>
  <c r="GY2" i="52"/>
  <c r="N113" i="19"/>
  <c r="P113" i="19" s="1"/>
  <c r="AA109" i="49"/>
  <c r="AJO2" i="52"/>
  <c r="LF2" i="52"/>
  <c r="LE2" i="52"/>
  <c r="AJN2" i="52"/>
  <c r="AP89" i="33"/>
  <c r="AN89" i="33"/>
  <c r="AO89" i="33"/>
  <c r="K40" i="26"/>
  <c r="K80" i="26" s="1"/>
  <c r="K81" i="26" s="1"/>
  <c r="AL118" i="49"/>
  <c r="AM118" i="49" s="1"/>
  <c r="K103" i="33"/>
  <c r="Q113" i="40"/>
  <c r="P114" i="40"/>
  <c r="F26" i="30"/>
  <c r="AG115" i="46"/>
  <c r="AL113" i="46"/>
  <c r="AM113" i="46" s="1"/>
  <c r="AH113" i="46"/>
  <c r="AL17" i="49"/>
  <c r="D758" i="47" s="1"/>
  <c r="AG82" i="49"/>
  <c r="V117" i="49"/>
  <c r="W115" i="49"/>
  <c r="N115" i="46"/>
  <c r="O113" i="46"/>
  <c r="J6" i="30"/>
  <c r="AL62" i="46"/>
  <c r="V78" i="46"/>
  <c r="AL78" i="46" s="1"/>
  <c r="H113" i="46"/>
  <c r="G115" i="46"/>
  <c r="H115" i="46" s="1"/>
  <c r="AH51" i="41"/>
  <c r="E101" i="40"/>
  <c r="C101" i="40"/>
  <c r="AB113" i="51"/>
  <c r="AA114" i="51"/>
  <c r="V81" i="51"/>
  <c r="AL81" i="51" s="1"/>
  <c r="AL61" i="51"/>
  <c r="D80" i="47"/>
  <c r="CA2" i="52" s="1"/>
  <c r="AF114" i="40"/>
  <c r="AE116" i="40"/>
  <c r="AF116" i="40" s="1"/>
  <c r="J107" i="19"/>
  <c r="C66" i="24"/>
  <c r="C72" i="24" s="1"/>
  <c r="AE82" i="49"/>
  <c r="C61" i="12"/>
  <c r="C50" i="19"/>
  <c r="C58" i="19" s="1"/>
  <c r="D58" i="19" s="1"/>
  <c r="F28" i="39"/>
  <c r="AA102" i="49"/>
  <c r="P106" i="49"/>
  <c r="AA105" i="51"/>
  <c r="H28" i="39"/>
  <c r="AA101" i="40"/>
  <c r="P102" i="49"/>
  <c r="P105" i="41"/>
  <c r="P104" i="46"/>
  <c r="E105" i="41"/>
  <c r="P101" i="40"/>
  <c r="C49" i="9"/>
  <c r="I61" i="12"/>
  <c r="AA101" i="41"/>
  <c r="O49" i="9"/>
  <c r="C66" i="22"/>
  <c r="B28" i="39"/>
  <c r="E105" i="40"/>
  <c r="C55" i="20"/>
  <c r="E104" i="46"/>
  <c r="C64" i="11"/>
  <c r="O61" i="12"/>
  <c r="O64" i="11"/>
  <c r="I49" i="9"/>
  <c r="I55" i="20"/>
  <c r="AA106" i="49"/>
  <c r="I57" i="9"/>
  <c r="C54" i="22"/>
  <c r="C47" i="20"/>
  <c r="D708" i="47"/>
  <c r="I47" i="20"/>
  <c r="P105" i="51"/>
  <c r="O55" i="20"/>
  <c r="I53" i="11"/>
  <c r="C37" i="1"/>
  <c r="C57" i="9"/>
  <c r="AA105" i="41"/>
  <c r="N28" i="39"/>
  <c r="J28" i="39"/>
  <c r="C74" i="22"/>
  <c r="O57" i="9"/>
  <c r="D28" i="39"/>
  <c r="AA101" i="51"/>
  <c r="AA100" i="46"/>
  <c r="I64" i="11"/>
  <c r="E100" i="46"/>
  <c r="AA105" i="40"/>
  <c r="P100" i="46"/>
  <c r="E106" i="49"/>
  <c r="O47" i="20"/>
  <c r="O65" i="20" s="1"/>
  <c r="P105" i="40"/>
  <c r="C48" i="10"/>
  <c r="O53" i="11"/>
  <c r="E105" i="51"/>
  <c r="C53" i="11"/>
  <c r="C74" i="11" s="1"/>
  <c r="P101" i="51"/>
  <c r="P101" i="41"/>
  <c r="AA104" i="46"/>
  <c r="E102" i="49"/>
  <c r="E101" i="51"/>
  <c r="C101" i="41"/>
  <c r="E101" i="41"/>
  <c r="D79" i="47"/>
  <c r="BZ2" i="52" s="1"/>
  <c r="AH115" i="49"/>
  <c r="AL115" i="49"/>
  <c r="AM115" i="49" s="1"/>
  <c r="AG117" i="49"/>
  <c r="L115" i="49"/>
  <c r="K117" i="49"/>
  <c r="B109" i="48" s="1"/>
  <c r="F9" i="16"/>
  <c r="AA50" i="51"/>
  <c r="K101" i="41"/>
  <c r="F94" i="48" s="1"/>
  <c r="O38" i="24"/>
  <c r="I38" i="24"/>
  <c r="N117" i="49"/>
  <c r="J109" i="55" s="1"/>
  <c r="O115" i="49"/>
  <c r="J115" i="49"/>
  <c r="I117" i="49"/>
  <c r="J117" i="49" s="1"/>
  <c r="Y103" i="40"/>
  <c r="Y104" i="40" s="1"/>
  <c r="Y102" i="40"/>
  <c r="WP2" i="52" l="1"/>
  <c r="V73" i="48"/>
  <c r="V77" i="48"/>
  <c r="D806" i="47"/>
  <c r="ADV2" i="52" s="1"/>
  <c r="XD2" i="52"/>
  <c r="D813" i="47"/>
  <c r="AEC2" i="52" s="1"/>
  <c r="J42" i="48"/>
  <c r="UL2" i="52"/>
  <c r="J9" i="48"/>
  <c r="UP2" i="52"/>
  <c r="J33" i="48"/>
  <c r="J110" i="48"/>
  <c r="J38" i="48"/>
  <c r="D507" i="47" s="1"/>
  <c r="J58" i="48"/>
  <c r="F22" i="36"/>
  <c r="F23" i="36" s="1"/>
  <c r="J46" i="48"/>
  <c r="J53" i="48"/>
  <c r="WK2" i="52"/>
  <c r="J22" i="48"/>
  <c r="J35" i="48"/>
  <c r="J24" i="31"/>
  <c r="J26" i="31" s="1"/>
  <c r="J37" i="48"/>
  <c r="D506" i="47" s="1"/>
  <c r="AQI2" i="52" s="1"/>
  <c r="J61" i="48"/>
  <c r="J39" i="48"/>
  <c r="D508" i="47" s="1"/>
  <c r="AQK2" i="52" s="1"/>
  <c r="F101" i="55"/>
  <c r="P49" i="55"/>
  <c r="J50" i="48"/>
  <c r="P22" i="55"/>
  <c r="J11" i="48"/>
  <c r="J43" i="48"/>
  <c r="J57" i="48"/>
  <c r="J44" i="48"/>
  <c r="J72" i="48" s="1"/>
  <c r="J83" i="48"/>
  <c r="J104" i="48"/>
  <c r="J12" i="48"/>
  <c r="J49" i="48"/>
  <c r="D511" i="47" s="1"/>
  <c r="AQM2" i="52" s="1"/>
  <c r="J103" i="48"/>
  <c r="P42" i="55"/>
  <c r="J14" i="48"/>
  <c r="J87" i="48"/>
  <c r="J16" i="48"/>
  <c r="J17" i="48"/>
  <c r="J30" i="48"/>
  <c r="AOY2" i="52"/>
  <c r="BCQ2" i="52"/>
  <c r="XL2" i="52"/>
  <c r="F7" i="36"/>
  <c r="AUT2" i="52"/>
  <c r="F14" i="36"/>
  <c r="D277" i="47" s="1"/>
  <c r="JP2" i="52" s="1"/>
  <c r="UR2" i="52"/>
  <c r="P85" i="55"/>
  <c r="F6" i="36"/>
  <c r="F13" i="7" s="1"/>
  <c r="F51" i="55"/>
  <c r="F5" i="36"/>
  <c r="D269" i="47" s="1"/>
  <c r="AHT2" i="52" s="1"/>
  <c r="APC2" i="52"/>
  <c r="F17" i="55"/>
  <c r="ATO2" i="52"/>
  <c r="F13" i="36"/>
  <c r="D276" i="47" s="1"/>
  <c r="JO2" i="52" s="1"/>
  <c r="XI2" i="52"/>
  <c r="P16" i="55"/>
  <c r="F98" i="55"/>
  <c r="APB2" i="52"/>
  <c r="F10" i="36"/>
  <c r="D274" i="47" s="1"/>
  <c r="AHY2" i="52" s="1"/>
  <c r="F3" i="36"/>
  <c r="F8" i="36"/>
  <c r="F15" i="7" s="1"/>
  <c r="P48" i="55"/>
  <c r="F77" i="48"/>
  <c r="P57" i="55"/>
  <c r="APK2" i="52"/>
  <c r="XE2" i="52"/>
  <c r="F4" i="36"/>
  <c r="ALC2" i="52"/>
  <c r="D517" i="47"/>
  <c r="SV2" i="52" s="1"/>
  <c r="P77" i="48"/>
  <c r="AOW2" i="52"/>
  <c r="F73" i="48"/>
  <c r="AG82" i="46"/>
  <c r="AST2" i="52"/>
  <c r="XT2" i="52"/>
  <c r="AEX2" i="52"/>
  <c r="WW2" i="52"/>
  <c r="ASO2" i="52"/>
  <c r="AUO2" i="52"/>
  <c r="BCR2" i="52"/>
  <c r="P51" i="55"/>
  <c r="P74" i="55" s="1"/>
  <c r="P75" i="55" s="1"/>
  <c r="P63" i="55"/>
  <c r="P34" i="55"/>
  <c r="P18" i="55"/>
  <c r="P101" i="55"/>
  <c r="F47" i="55"/>
  <c r="F23" i="55"/>
  <c r="D473" i="47"/>
  <c r="RD2" i="52" s="1"/>
  <c r="F39" i="55"/>
  <c r="F109" i="55"/>
  <c r="T9" i="55"/>
  <c r="P46" i="55"/>
  <c r="P60" i="55"/>
  <c r="P107" i="55"/>
  <c r="P32" i="55"/>
  <c r="P37" i="55"/>
  <c r="P20" i="55"/>
  <c r="VZ2" i="52"/>
  <c r="F61" i="55"/>
  <c r="F34" i="55"/>
  <c r="F41" i="55"/>
  <c r="T80" i="55"/>
  <c r="F57" i="55"/>
  <c r="F19" i="55"/>
  <c r="T34" i="55"/>
  <c r="P53" i="55"/>
  <c r="P108" i="55"/>
  <c r="P62" i="55"/>
  <c r="Q71" i="55"/>
  <c r="P104" i="55"/>
  <c r="P19" i="55"/>
  <c r="P47" i="55"/>
  <c r="P30" i="55"/>
  <c r="F53" i="55"/>
  <c r="P9" i="55"/>
  <c r="P35" i="55"/>
  <c r="F10" i="55"/>
  <c r="T57" i="55"/>
  <c r="T20" i="55"/>
  <c r="F94" i="55"/>
  <c r="F56" i="55"/>
  <c r="P43" i="55"/>
  <c r="P64" i="55"/>
  <c r="P95" i="55"/>
  <c r="P89" i="55"/>
  <c r="F107" i="55"/>
  <c r="F54" i="55"/>
  <c r="P25" i="55"/>
  <c r="P26" i="55"/>
  <c r="T83" i="55"/>
  <c r="QX2" i="52"/>
  <c r="F5" i="55"/>
  <c r="F22" i="55"/>
  <c r="P55" i="55"/>
  <c r="P6" i="55"/>
  <c r="XJ2" i="52"/>
  <c r="P98" i="55"/>
  <c r="P65" i="55"/>
  <c r="P50" i="55"/>
  <c r="P69" i="55"/>
  <c r="F37" i="55"/>
  <c r="F24" i="55"/>
  <c r="F28" i="55"/>
  <c r="F25" i="55"/>
  <c r="F103" i="55"/>
  <c r="F35" i="55"/>
  <c r="F85" i="55"/>
  <c r="F64" i="55"/>
  <c r="P33" i="55"/>
  <c r="V75" i="48"/>
  <c r="P87" i="55"/>
  <c r="P58" i="55"/>
  <c r="P66" i="55"/>
  <c r="P91" i="55"/>
  <c r="D790" i="47" s="1"/>
  <c r="BAV2" i="52" s="1"/>
  <c r="P83" i="55"/>
  <c r="P75" i="48"/>
  <c r="P105" i="55"/>
  <c r="P81" i="55"/>
  <c r="P90" i="55"/>
  <c r="D788" i="47" s="1"/>
  <c r="ADD2" i="52" s="1"/>
  <c r="P12" i="55"/>
  <c r="RF2" i="52"/>
  <c r="P97" i="55"/>
  <c r="P28" i="55"/>
  <c r="P80" i="55"/>
  <c r="P92" i="55"/>
  <c r="D789" i="47" s="1"/>
  <c r="BAU2" i="52" s="1"/>
  <c r="P36" i="55"/>
  <c r="P17" i="55"/>
  <c r="P10" i="55"/>
  <c r="P27" i="55"/>
  <c r="P52" i="55"/>
  <c r="P45" i="55"/>
  <c r="P96" i="55"/>
  <c r="P40" i="55"/>
  <c r="P14" i="55"/>
  <c r="P67" i="55"/>
  <c r="P8" i="55"/>
  <c r="P11" i="55"/>
  <c r="P61" i="55"/>
  <c r="P99" i="55"/>
  <c r="P106" i="55"/>
  <c r="P21" i="55"/>
  <c r="P103" i="55"/>
  <c r="P111" i="55"/>
  <c r="P44" i="55"/>
  <c r="P72" i="55" s="1"/>
  <c r="P31" i="55"/>
  <c r="P54" i="55"/>
  <c r="P41" i="55"/>
  <c r="P109" i="55"/>
  <c r="P38" i="55"/>
  <c r="P23" i="55"/>
  <c r="P94" i="55"/>
  <c r="P29" i="55"/>
  <c r="P82" i="55"/>
  <c r="P59" i="55"/>
  <c r="P15" i="55"/>
  <c r="P110" i="55"/>
  <c r="P56" i="55"/>
  <c r="P5" i="55"/>
  <c r="P7" i="55"/>
  <c r="P13" i="55"/>
  <c r="P39" i="55"/>
  <c r="D45" i="47"/>
  <c r="AR2" i="52" s="1"/>
  <c r="F69" i="48"/>
  <c r="G74" i="48" s="1"/>
  <c r="X81" i="55"/>
  <c r="X109" i="55"/>
  <c r="X6" i="55"/>
  <c r="X24" i="55"/>
  <c r="F111" i="55"/>
  <c r="F63" i="55"/>
  <c r="F45" i="55"/>
  <c r="F8" i="55"/>
  <c r="F46" i="55"/>
  <c r="F87" i="55"/>
  <c r="AUE2" i="52"/>
  <c r="F83" i="55"/>
  <c r="F36" i="55"/>
  <c r="F20" i="55"/>
  <c r="F29" i="55"/>
  <c r="F104" i="55"/>
  <c r="F42" i="55"/>
  <c r="ATV2" i="52"/>
  <c r="QZ2" i="52"/>
  <c r="ASI2" i="52"/>
  <c r="AMV2" i="52"/>
  <c r="AEA2" i="52"/>
  <c r="F14" i="55"/>
  <c r="F62" i="55"/>
  <c r="F31" i="55"/>
  <c r="F26" i="55"/>
  <c r="F67" i="55"/>
  <c r="F32" i="55"/>
  <c r="AUY2" i="52"/>
  <c r="G71" i="55"/>
  <c r="XP2" i="52"/>
  <c r="ATN2" i="52"/>
  <c r="P97" i="51"/>
  <c r="P102" i="51" s="1"/>
  <c r="F59" i="55"/>
  <c r="F55" i="55"/>
  <c r="F15" i="55"/>
  <c r="F58" i="55"/>
  <c r="F30" i="55"/>
  <c r="RA2" i="52"/>
  <c r="L31" i="48"/>
  <c r="F48" i="55"/>
  <c r="F50" i="55"/>
  <c r="F38" i="55"/>
  <c r="P99" i="51"/>
  <c r="P106" i="51" s="1"/>
  <c r="F110" i="55"/>
  <c r="F108" i="55"/>
  <c r="F33" i="55"/>
  <c r="F43" i="55"/>
  <c r="F27" i="55"/>
  <c r="F6" i="55"/>
  <c r="K12" i="10"/>
  <c r="K13" i="10" s="1"/>
  <c r="K16" i="10" s="1"/>
  <c r="X34" i="55"/>
  <c r="F66" i="55"/>
  <c r="F12" i="55"/>
  <c r="F60" i="55"/>
  <c r="L108" i="48"/>
  <c r="UT2" i="52"/>
  <c r="X73" i="48"/>
  <c r="P71" i="48"/>
  <c r="F13" i="55"/>
  <c r="F89" i="55"/>
  <c r="F18" i="55"/>
  <c r="F9" i="55"/>
  <c r="F16" i="55"/>
  <c r="L57" i="48"/>
  <c r="L21" i="48"/>
  <c r="UI2" i="52"/>
  <c r="P73" i="48"/>
  <c r="X108" i="55"/>
  <c r="P69" i="48"/>
  <c r="Q74" i="48" s="1"/>
  <c r="F105" i="55"/>
  <c r="V71" i="48"/>
  <c r="F21" i="55"/>
  <c r="F40" i="55"/>
  <c r="F65" i="55"/>
  <c r="F11" i="55"/>
  <c r="F52" i="55"/>
  <c r="F106" i="55"/>
  <c r="F7" i="55"/>
  <c r="L18" i="48"/>
  <c r="X5" i="55"/>
  <c r="X45" i="55"/>
  <c r="D617" i="47"/>
  <c r="WR2" i="52" s="1"/>
  <c r="XB2" i="52"/>
  <c r="X14" i="55"/>
  <c r="X35" i="55"/>
  <c r="X20" i="55"/>
  <c r="X33" i="55"/>
  <c r="X103" i="55"/>
  <c r="UV2" i="52"/>
  <c r="X63" i="55"/>
  <c r="X54" i="55"/>
  <c r="WV2" i="52"/>
  <c r="X104" i="55"/>
  <c r="X91" i="55"/>
  <c r="D803" i="47" s="1"/>
  <c r="X57" i="55"/>
  <c r="X69" i="48"/>
  <c r="Y74" i="48" s="1"/>
  <c r="X11" i="55"/>
  <c r="AVD2" i="52"/>
  <c r="X80" i="55"/>
  <c r="X7" i="55"/>
  <c r="X49" i="55"/>
  <c r="X29" i="55"/>
  <c r="X25" i="55"/>
  <c r="X92" i="55"/>
  <c r="D801" i="47" s="1"/>
  <c r="BBG2" i="52" s="1"/>
  <c r="AJY2" i="52"/>
  <c r="V69" i="48"/>
  <c r="W74" i="48" s="1"/>
  <c r="X106" i="55"/>
  <c r="X12" i="55"/>
  <c r="X107" i="55"/>
  <c r="X52" i="55"/>
  <c r="X101" i="55"/>
  <c r="X87" i="55"/>
  <c r="AUK2" i="52"/>
  <c r="X8" i="55"/>
  <c r="X9" i="55"/>
  <c r="X105" i="55"/>
  <c r="X77" i="48"/>
  <c r="X23" i="55"/>
  <c r="X89" i="55"/>
  <c r="AUW2" i="52"/>
  <c r="X51" i="55"/>
  <c r="X74" i="55" s="1"/>
  <c r="X75" i="55" s="1"/>
  <c r="X27" i="55"/>
  <c r="X65" i="55"/>
  <c r="X55" i="55"/>
  <c r="Y71" i="55"/>
  <c r="L10" i="48"/>
  <c r="L38" i="48"/>
  <c r="D525" i="47" s="1"/>
  <c r="ARA2" i="52" s="1"/>
  <c r="L87" i="48"/>
  <c r="J5" i="48"/>
  <c r="J63" i="48"/>
  <c r="J82" i="48"/>
  <c r="J34" i="48"/>
  <c r="L8" i="48"/>
  <c r="M71" i="48"/>
  <c r="D832" i="47" s="1"/>
  <c r="BCL2" i="52" s="1"/>
  <c r="L45" i="48"/>
  <c r="D528" i="47" s="1"/>
  <c r="TG2" i="52" s="1"/>
  <c r="L46" i="48"/>
  <c r="L44" i="48"/>
  <c r="L72" i="48" s="1"/>
  <c r="J65" i="48"/>
  <c r="J26" i="48"/>
  <c r="J98" i="48"/>
  <c r="J32" i="48"/>
  <c r="J28" i="48"/>
  <c r="D505" i="47" s="1"/>
  <c r="SJ2" i="52" s="1"/>
  <c r="J18" i="48"/>
  <c r="L30" i="48"/>
  <c r="L52" i="48"/>
  <c r="L40" i="48"/>
  <c r="D527" i="47" s="1"/>
  <c r="ARC2" i="52" s="1"/>
  <c r="X71" i="48"/>
  <c r="L6" i="48"/>
  <c r="L23" i="48"/>
  <c r="L27" i="48"/>
  <c r="L101" i="48"/>
  <c r="X30" i="55"/>
  <c r="X62" i="55"/>
  <c r="X44" i="55"/>
  <c r="X72" i="55" s="1"/>
  <c r="X19" i="55"/>
  <c r="X66" i="55"/>
  <c r="L53" i="48"/>
  <c r="L49" i="48"/>
  <c r="D529" i="47" s="1"/>
  <c r="ARD2" i="52" s="1"/>
  <c r="L105" i="48"/>
  <c r="J52" i="48"/>
  <c r="J29" i="48"/>
  <c r="J81" i="48"/>
  <c r="L32" i="48"/>
  <c r="L51" i="48"/>
  <c r="L74" i="48" s="1"/>
  <c r="D809" i="47" s="1"/>
  <c r="BBO2" i="52" s="1"/>
  <c r="UO2" i="52"/>
  <c r="J20" i="48"/>
  <c r="D504" i="47" s="1"/>
  <c r="SI2" i="52" s="1"/>
  <c r="K71" i="48"/>
  <c r="D831" i="47" s="1"/>
  <c r="AEU2" i="52" s="1"/>
  <c r="J21" i="48"/>
  <c r="J6" i="48"/>
  <c r="J108" i="48"/>
  <c r="J24" i="48"/>
  <c r="L110" i="48"/>
  <c r="L109" i="48"/>
  <c r="L41" i="48"/>
  <c r="D520" i="47" s="1"/>
  <c r="SY2" i="52" s="1"/>
  <c r="L107" i="48"/>
  <c r="L39" i="48"/>
  <c r="D526" i="47" s="1"/>
  <c r="TE2" i="52" s="1"/>
  <c r="UM2" i="52"/>
  <c r="X40" i="55"/>
  <c r="X99" i="55"/>
  <c r="X110" i="55"/>
  <c r="X36" i="55"/>
  <c r="X28" i="55"/>
  <c r="X17" i="55"/>
  <c r="L104" i="48"/>
  <c r="J13" i="48"/>
  <c r="D503" i="47" s="1"/>
  <c r="J40" i="48"/>
  <c r="J66" i="48"/>
  <c r="J27" i="48"/>
  <c r="J10" i="48"/>
  <c r="L66" i="48"/>
  <c r="L17" i="48"/>
  <c r="L29" i="48"/>
  <c r="L15" i="48"/>
  <c r="XO2" i="52"/>
  <c r="X42" i="55"/>
  <c r="X38" i="55"/>
  <c r="J59" i="48"/>
  <c r="J47" i="48"/>
  <c r="J41" i="48"/>
  <c r="D502" i="47" s="1"/>
  <c r="AQE2" i="52" s="1"/>
  <c r="J31" i="48"/>
  <c r="J67" i="48"/>
  <c r="J19" i="48"/>
  <c r="L67" i="48"/>
  <c r="L5" i="48"/>
  <c r="L83" i="48"/>
  <c r="L85" i="48"/>
  <c r="L9" i="48"/>
  <c r="X41" i="55"/>
  <c r="X39" i="55"/>
  <c r="X111" i="55"/>
  <c r="X10" i="55"/>
  <c r="X98" i="55"/>
  <c r="X83" i="55"/>
  <c r="X56" i="55"/>
  <c r="X97" i="55"/>
  <c r="X13" i="55"/>
  <c r="J45" i="48"/>
  <c r="D510" i="47" s="1"/>
  <c r="SO2" i="52" s="1"/>
  <c r="L59" i="48"/>
  <c r="J36" i="48"/>
  <c r="J15" i="48"/>
  <c r="J23" i="48"/>
  <c r="J48" i="48"/>
  <c r="J54" i="48"/>
  <c r="J62" i="48"/>
  <c r="L55" i="48"/>
  <c r="L60" i="48"/>
  <c r="L61" i="48"/>
  <c r="XG2" i="52"/>
  <c r="L25" i="48"/>
  <c r="L47" i="48"/>
  <c r="L43" i="48"/>
  <c r="L56" i="48"/>
  <c r="X96" i="55"/>
  <c r="X32" i="55"/>
  <c r="X94" i="55"/>
  <c r="X58" i="55"/>
  <c r="X50" i="55"/>
  <c r="X15" i="55"/>
  <c r="X16" i="55"/>
  <c r="X64" i="55"/>
  <c r="X67" i="55"/>
  <c r="X69" i="55"/>
  <c r="X21" i="55"/>
  <c r="X59" i="55"/>
  <c r="L42" i="48"/>
  <c r="L33" i="48"/>
  <c r="L103" i="48"/>
  <c r="L28" i="48"/>
  <c r="D523" i="47" s="1"/>
  <c r="AQY2" i="52" s="1"/>
  <c r="L22" i="48"/>
  <c r="L63" i="48"/>
  <c r="L82" i="48"/>
  <c r="L48" i="48"/>
  <c r="L65" i="48"/>
  <c r="L37" i="48"/>
  <c r="D524" i="47" s="1"/>
  <c r="AQZ2" i="52" s="1"/>
  <c r="L50" i="48"/>
  <c r="J109" i="48"/>
  <c r="J101" i="48"/>
  <c r="J8" i="48"/>
  <c r="J55" i="48"/>
  <c r="J106" i="48"/>
  <c r="L58" i="48"/>
  <c r="L16" i="48"/>
  <c r="L89" i="48"/>
  <c r="ASF2" i="52"/>
  <c r="X43" i="55"/>
  <c r="X95" i="55"/>
  <c r="X61" i="55"/>
  <c r="X37" i="55"/>
  <c r="J51" i="48"/>
  <c r="J74" i="48" s="1"/>
  <c r="J75" i="48" s="1"/>
  <c r="J64" i="48"/>
  <c r="J7" i="48"/>
  <c r="J60" i="48"/>
  <c r="J25" i="48"/>
  <c r="L26" i="48"/>
  <c r="L111" i="48"/>
  <c r="L35" i="48"/>
  <c r="L11" i="48"/>
  <c r="L36" i="48"/>
  <c r="L62" i="48"/>
  <c r="X47" i="55"/>
  <c r="X60" i="55"/>
  <c r="X90" i="55"/>
  <c r="D800" i="47" s="1"/>
  <c r="BBF2" i="52" s="1"/>
  <c r="X53" i="55"/>
  <c r="X26" i="55"/>
  <c r="X46" i="55"/>
  <c r="L34" i="48"/>
  <c r="L24" i="48"/>
  <c r="L13" i="48"/>
  <c r="D521" i="47" s="1"/>
  <c r="AQW2" i="52" s="1"/>
  <c r="J85" i="48"/>
  <c r="L20" i="48"/>
  <c r="D522" i="47" s="1"/>
  <c r="TA2" i="52" s="1"/>
  <c r="L106" i="48"/>
  <c r="L12" i="48"/>
  <c r="J89" i="48"/>
  <c r="J111" i="48"/>
  <c r="J105" i="48"/>
  <c r="J107" i="48"/>
  <c r="L98" i="48"/>
  <c r="L7" i="48"/>
  <c r="L14" i="48"/>
  <c r="L54" i="48"/>
  <c r="L19" i="48"/>
  <c r="X31" i="55"/>
  <c r="X85" i="55"/>
  <c r="X48" i="55"/>
  <c r="X22" i="55"/>
  <c r="X82" i="55"/>
  <c r="T52" i="55"/>
  <c r="VS2" i="52"/>
  <c r="T7" i="55"/>
  <c r="T103" i="55"/>
  <c r="T54" i="55"/>
  <c r="ATT2" i="52"/>
  <c r="T73" i="48"/>
  <c r="T32" i="55"/>
  <c r="T110" i="55"/>
  <c r="T87" i="55"/>
  <c r="T50" i="55"/>
  <c r="T63" i="55"/>
  <c r="T5" i="55"/>
  <c r="T98" i="55"/>
  <c r="U71" i="55"/>
  <c r="T19" i="55"/>
  <c r="T53" i="55"/>
  <c r="T62" i="55"/>
  <c r="T105" i="55"/>
  <c r="T56" i="55"/>
  <c r="T29" i="55"/>
  <c r="T26" i="55"/>
  <c r="T60" i="55"/>
  <c r="T35" i="55"/>
  <c r="T46" i="55"/>
  <c r="T25" i="55"/>
  <c r="T65" i="55"/>
  <c r="T111" i="55"/>
  <c r="T97" i="55"/>
  <c r="T45" i="55"/>
  <c r="T42" i="55"/>
  <c r="T17" i="55"/>
  <c r="T12" i="55"/>
  <c r="T41" i="55"/>
  <c r="T94" i="55"/>
  <c r="T101" i="55"/>
  <c r="T10" i="55"/>
  <c r="T49" i="55"/>
  <c r="T27" i="55"/>
  <c r="T39" i="55"/>
  <c r="T66" i="55"/>
  <c r="T6" i="55"/>
  <c r="T13" i="55"/>
  <c r="T82" i="55"/>
  <c r="T92" i="55"/>
  <c r="D795" i="47" s="1"/>
  <c r="ADK2" i="52" s="1"/>
  <c r="T8" i="55"/>
  <c r="T96" i="55"/>
  <c r="T64" i="55"/>
  <c r="T67" i="55"/>
  <c r="T15" i="55"/>
  <c r="T22" i="55"/>
  <c r="AUB2" i="52"/>
  <c r="T77" i="48"/>
  <c r="VT2" i="52"/>
  <c r="E81" i="11"/>
  <c r="T69" i="48"/>
  <c r="U74" i="48" s="1"/>
  <c r="VY2" i="52"/>
  <c r="ATX2" i="52"/>
  <c r="BCP2" i="52"/>
  <c r="T85" i="55"/>
  <c r="T40" i="55"/>
  <c r="T33" i="55"/>
  <c r="T59" i="55"/>
  <c r="T18" i="55"/>
  <c r="T23" i="55"/>
  <c r="ATP2" i="52"/>
  <c r="D597" i="47"/>
  <c r="ATQ2" i="52" s="1"/>
  <c r="T38" i="55"/>
  <c r="T61" i="55"/>
  <c r="T81" i="55"/>
  <c r="T37" i="55"/>
  <c r="T106" i="55"/>
  <c r="T43" i="55"/>
  <c r="T89" i="55"/>
  <c r="WE2" i="52"/>
  <c r="T104" i="55"/>
  <c r="T109" i="55"/>
  <c r="T58" i="55"/>
  <c r="T24" i="55"/>
  <c r="T47" i="55"/>
  <c r="T14" i="55"/>
  <c r="T71" i="48"/>
  <c r="T28" i="55"/>
  <c r="T69" i="55"/>
  <c r="T55" i="55"/>
  <c r="T21" i="55"/>
  <c r="T51" i="55"/>
  <c r="T74" i="55" s="1"/>
  <c r="T75" i="55" s="1"/>
  <c r="T44" i="55"/>
  <c r="T72" i="55" s="1"/>
  <c r="T107" i="55"/>
  <c r="T36" i="55"/>
  <c r="T108" i="55"/>
  <c r="T95" i="55"/>
  <c r="T91" i="55"/>
  <c r="D796" i="47" s="1"/>
  <c r="BBB2" i="52" s="1"/>
  <c r="T30" i="55"/>
  <c r="K82" i="49"/>
  <c r="AO82" i="49" s="1"/>
  <c r="T99" i="55"/>
  <c r="T16" i="55"/>
  <c r="T48" i="55"/>
  <c r="T31" i="55"/>
  <c r="T90" i="55"/>
  <c r="D794" i="47" s="1"/>
  <c r="BAZ2" i="52" s="1"/>
  <c r="K129" i="11"/>
  <c r="AB115" i="49"/>
  <c r="AB54" i="41"/>
  <c r="AD54" i="41" s="1"/>
  <c r="AF54" i="41" s="1"/>
  <c r="AH54" i="41" s="1"/>
  <c r="AG83" i="41" s="1"/>
  <c r="AL116" i="51"/>
  <c r="AM116" i="51" s="1"/>
  <c r="Q114" i="51"/>
  <c r="K81" i="11"/>
  <c r="AN62" i="49"/>
  <c r="H48" i="10"/>
  <c r="K48" i="10" s="1"/>
  <c r="H56" i="10"/>
  <c r="H89" i="10"/>
  <c r="H92" i="10" s="1"/>
  <c r="I154" i="12"/>
  <c r="K66" i="10"/>
  <c r="K69" i="10" s="1"/>
  <c r="K72" i="10" s="1"/>
  <c r="AP62" i="49"/>
  <c r="D166" i="47"/>
  <c r="FI2" i="52" s="1"/>
  <c r="H13" i="30"/>
  <c r="D158" i="47"/>
  <c r="FA2" i="52" s="1"/>
  <c r="US2" i="52"/>
  <c r="J24" i="30"/>
  <c r="J26" i="30" s="1"/>
  <c r="H89" i="11"/>
  <c r="H44" i="11"/>
  <c r="H17" i="11" s="1"/>
  <c r="K17" i="11" s="1"/>
  <c r="K18" i="11" s="1"/>
  <c r="K19" i="11" s="1"/>
  <c r="K21" i="11" s="1"/>
  <c r="H90" i="11"/>
  <c r="D167" i="47"/>
  <c r="FJ2" i="52" s="1"/>
  <c r="H88" i="11"/>
  <c r="D104" i="55"/>
  <c r="D46" i="55"/>
  <c r="D111" i="55"/>
  <c r="D66" i="55"/>
  <c r="H52" i="16"/>
  <c r="D160" i="47"/>
  <c r="FC2" i="52" s="1"/>
  <c r="H15" i="30"/>
  <c r="C58" i="11"/>
  <c r="C106" i="11" s="1"/>
  <c r="AJ13" i="49"/>
  <c r="J43" i="16"/>
  <c r="D114" i="47"/>
  <c r="DI2" i="52" s="1"/>
  <c r="H36" i="16"/>
  <c r="H42" i="16" s="1"/>
  <c r="H14" i="31"/>
  <c r="K86" i="51"/>
  <c r="K97" i="51" s="1"/>
  <c r="I86" i="51"/>
  <c r="I99" i="51" s="1"/>
  <c r="G98" i="51"/>
  <c r="C98" i="51"/>
  <c r="C104" i="51" s="1"/>
  <c r="C97" i="51"/>
  <c r="C102" i="51" s="1"/>
  <c r="B96" i="55"/>
  <c r="H14" i="30"/>
  <c r="C99" i="51"/>
  <c r="C106" i="51" s="1"/>
  <c r="G99" i="51"/>
  <c r="B110" i="12"/>
  <c r="B166" i="12" s="1"/>
  <c r="H48" i="16"/>
  <c r="B163" i="12"/>
  <c r="B118" i="12"/>
  <c r="E118" i="12" s="1"/>
  <c r="B42" i="11"/>
  <c r="B44" i="12"/>
  <c r="B41" i="11"/>
  <c r="B43" i="12"/>
  <c r="B15" i="18"/>
  <c r="B33" i="18" s="1"/>
  <c r="B109" i="12"/>
  <c r="B165" i="12" s="1"/>
  <c r="V83" i="41"/>
  <c r="V86" i="40"/>
  <c r="V98" i="40" s="1"/>
  <c r="N97" i="40"/>
  <c r="N102" i="40" s="1"/>
  <c r="AL62" i="49"/>
  <c r="K82" i="46"/>
  <c r="I156" i="12"/>
  <c r="D52" i="48"/>
  <c r="R83" i="41"/>
  <c r="D499" i="47"/>
  <c r="SD2" i="52" s="1"/>
  <c r="C71" i="24"/>
  <c r="C74" i="24" s="1"/>
  <c r="B48" i="16"/>
  <c r="E71" i="48"/>
  <c r="D828" i="47" s="1"/>
  <c r="AER2" i="52" s="1"/>
  <c r="T83" i="41"/>
  <c r="I155" i="12"/>
  <c r="D29" i="48"/>
  <c r="D15" i="48"/>
  <c r="T82" i="46"/>
  <c r="D298" i="47"/>
  <c r="KK2" i="52" s="1"/>
  <c r="B17" i="31"/>
  <c r="B23" i="31" s="1"/>
  <c r="B29" i="31" s="1"/>
  <c r="J40" i="16"/>
  <c r="I158" i="12"/>
  <c r="D58" i="48"/>
  <c r="I157" i="12"/>
  <c r="D28" i="48"/>
  <c r="D451" i="47" s="1"/>
  <c r="AOI2" i="52" s="1"/>
  <c r="B89" i="10"/>
  <c r="B92" i="10" s="1"/>
  <c r="D103" i="48"/>
  <c r="Q65" i="20"/>
  <c r="Q68" i="20" s="1"/>
  <c r="Q69" i="20" s="1"/>
  <c r="Q72" i="20" s="1"/>
  <c r="AE82" i="46"/>
  <c r="I82" i="46"/>
  <c r="OC2" i="52"/>
  <c r="B52" i="36"/>
  <c r="E4" i="20"/>
  <c r="E7" i="20" s="1"/>
  <c r="Q4" i="1"/>
  <c r="Q23" i="1" s="1"/>
  <c r="N89" i="9"/>
  <c r="N111" i="9" s="1"/>
  <c r="AL81" i="41"/>
  <c r="E116" i="51"/>
  <c r="D63" i="55"/>
  <c r="AIX2" i="52"/>
  <c r="D4" i="36"/>
  <c r="D41" i="55"/>
  <c r="AKT2" i="52"/>
  <c r="B48" i="10"/>
  <c r="E48" i="10" s="1"/>
  <c r="D25" i="55"/>
  <c r="N90" i="19"/>
  <c r="N112" i="19" s="1"/>
  <c r="D58" i="55"/>
  <c r="H39" i="48"/>
  <c r="D490" i="47" s="1"/>
  <c r="APT2" i="52" s="1"/>
  <c r="E15" i="20"/>
  <c r="D109" i="55"/>
  <c r="N104" i="40"/>
  <c r="AKS2" i="52"/>
  <c r="MQ2" i="52"/>
  <c r="B65" i="20"/>
  <c r="E14" i="20"/>
  <c r="M84" i="12"/>
  <c r="AKZ2" i="52"/>
  <c r="H52" i="36"/>
  <c r="R86" i="40"/>
  <c r="R99" i="40" s="1"/>
  <c r="N99" i="40"/>
  <c r="N106" i="40" s="1"/>
  <c r="T86" i="40"/>
  <c r="T99" i="40" s="1"/>
  <c r="Q113" i="46"/>
  <c r="AKV2" i="52"/>
  <c r="B56" i="10"/>
  <c r="MJ2" i="52"/>
  <c r="AJE2" i="52"/>
  <c r="H36" i="36"/>
  <c r="H42" i="36" s="1"/>
  <c r="AKR2" i="52"/>
  <c r="D24" i="55"/>
  <c r="D42" i="55"/>
  <c r="D61" i="55"/>
  <c r="P116" i="41"/>
  <c r="D53" i="55"/>
  <c r="D8" i="55"/>
  <c r="D105" i="55"/>
  <c r="O155" i="12"/>
  <c r="H48" i="36"/>
  <c r="O154" i="12"/>
  <c r="D35" i="55"/>
  <c r="O159" i="12"/>
  <c r="AL116" i="40"/>
  <c r="AM116" i="40" s="1"/>
  <c r="O158" i="12"/>
  <c r="D19" i="55"/>
  <c r="D37" i="55"/>
  <c r="D27" i="55"/>
  <c r="D45" i="55"/>
  <c r="D51" i="55"/>
  <c r="D11" i="55"/>
  <c r="D47" i="55"/>
  <c r="D17" i="55"/>
  <c r="D56" i="55"/>
  <c r="D94" i="55"/>
  <c r="D13" i="55"/>
  <c r="D55" i="55"/>
  <c r="D59" i="55"/>
  <c r="M53" i="11"/>
  <c r="M64" i="11" s="1"/>
  <c r="Q64" i="11" s="1"/>
  <c r="Q66" i="11" s="1"/>
  <c r="Q67" i="11" s="1"/>
  <c r="Q69" i="11" s="1"/>
  <c r="N55" i="22"/>
  <c r="Q55" i="22" s="1"/>
  <c r="D21" i="55"/>
  <c r="ANK2" i="52"/>
  <c r="D31" i="55"/>
  <c r="D6" i="55"/>
  <c r="N49" i="9"/>
  <c r="N93" i="9" s="1"/>
  <c r="O156" i="12"/>
  <c r="D103" i="55"/>
  <c r="D12" i="55"/>
  <c r="D6" i="36"/>
  <c r="D254" i="47" s="1"/>
  <c r="D26" i="55"/>
  <c r="D7" i="55"/>
  <c r="D10" i="55"/>
  <c r="E85" i="46"/>
  <c r="E97" i="46" s="1"/>
  <c r="H3" i="39"/>
  <c r="D50" i="55"/>
  <c r="D839" i="47"/>
  <c r="BCS2" i="52" s="1"/>
  <c r="D8" i="36"/>
  <c r="D40" i="55"/>
  <c r="D15" i="55"/>
  <c r="D28" i="55"/>
  <c r="N88" i="20"/>
  <c r="N109" i="20" s="1"/>
  <c r="C19" i="36"/>
  <c r="D247" i="47" s="1"/>
  <c r="AGY2" i="52" s="1"/>
  <c r="J2" i="31"/>
  <c r="J9" i="31" s="1"/>
  <c r="F23" i="31"/>
  <c r="F29" i="31" s="1"/>
  <c r="D14" i="36"/>
  <c r="D261" i="47" s="1"/>
  <c r="IZ2" i="52" s="1"/>
  <c r="B103" i="55"/>
  <c r="D43" i="55"/>
  <c r="D30" i="55"/>
  <c r="D39" i="55"/>
  <c r="D60" i="55"/>
  <c r="D98" i="55"/>
  <c r="D83" i="55"/>
  <c r="D33" i="55"/>
  <c r="D16" i="55"/>
  <c r="D22" i="36"/>
  <c r="D23" i="36" s="1"/>
  <c r="D10" i="36"/>
  <c r="B92" i="11" s="1"/>
  <c r="B113" i="11" s="1"/>
  <c r="E113" i="11" s="1"/>
  <c r="D23" i="55"/>
  <c r="D18" i="55"/>
  <c r="D32" i="55"/>
  <c r="D34" i="55"/>
  <c r="D38" i="55"/>
  <c r="E71" i="55"/>
  <c r="D106" i="55"/>
  <c r="D57" i="55"/>
  <c r="D82" i="55"/>
  <c r="D64" i="55"/>
  <c r="D7" i="36"/>
  <c r="F14" i="39" s="1"/>
  <c r="D110" i="55"/>
  <c r="D67" i="55"/>
  <c r="D20" i="55"/>
  <c r="D107" i="55"/>
  <c r="D36" i="55"/>
  <c r="D62" i="55"/>
  <c r="D89" i="55"/>
  <c r="D52" i="55"/>
  <c r="D22" i="55"/>
  <c r="D85" i="55"/>
  <c r="D5" i="36"/>
  <c r="D253" i="47" s="1"/>
  <c r="D13" i="36"/>
  <c r="D260" i="47" s="1"/>
  <c r="IY2" i="52" s="1"/>
  <c r="P71" i="24"/>
  <c r="P74" i="24" s="1"/>
  <c r="D3" i="36"/>
  <c r="D87" i="55"/>
  <c r="D14" i="55"/>
  <c r="D29" i="55"/>
  <c r="D9" i="55"/>
  <c r="D65" i="55"/>
  <c r="D5" i="55"/>
  <c r="D54" i="55"/>
  <c r="D48" i="55"/>
  <c r="D108" i="55"/>
  <c r="E97" i="51"/>
  <c r="E102" i="51" s="1"/>
  <c r="E98" i="51"/>
  <c r="A53" i="11"/>
  <c r="A64" i="11" s="1"/>
  <c r="E64" i="11" s="1"/>
  <c r="A37" i="1"/>
  <c r="A72" i="1" s="1"/>
  <c r="E19" i="36"/>
  <c r="D263" i="47" s="1"/>
  <c r="JB2" i="52" s="1"/>
  <c r="F82" i="55"/>
  <c r="G19" i="36"/>
  <c r="D279" i="47" s="1"/>
  <c r="AIC2" i="52" s="1"/>
  <c r="F81" i="48"/>
  <c r="D33" i="48"/>
  <c r="D56" i="48"/>
  <c r="D55" i="48"/>
  <c r="D59" i="48"/>
  <c r="D27" i="48"/>
  <c r="D108" i="48"/>
  <c r="B103" i="48"/>
  <c r="D38" i="48"/>
  <c r="D453" i="47" s="1"/>
  <c r="QJ2" i="52" s="1"/>
  <c r="D6" i="48"/>
  <c r="D41" i="48"/>
  <c r="D448" i="47" s="1"/>
  <c r="QE2" i="52" s="1"/>
  <c r="D101" i="48"/>
  <c r="D48" i="48"/>
  <c r="D67" i="48"/>
  <c r="D53" i="48"/>
  <c r="D107" i="48"/>
  <c r="D85" i="48"/>
  <c r="D39" i="48"/>
  <c r="D454" i="47" s="1"/>
  <c r="AOL2" i="52" s="1"/>
  <c r="D10" i="48"/>
  <c r="D32" i="48"/>
  <c r="D44" i="48"/>
  <c r="D72" i="48" s="1"/>
  <c r="D49" i="48"/>
  <c r="D457" i="47" s="1"/>
  <c r="AON2" i="52" s="1"/>
  <c r="D57" i="48"/>
  <c r="D8" i="48"/>
  <c r="D45" i="48"/>
  <c r="D456" i="47" s="1"/>
  <c r="QM2" i="52" s="1"/>
  <c r="D12" i="48"/>
  <c r="D65" i="48"/>
  <c r="D62" i="48"/>
  <c r="D14" i="48"/>
  <c r="D11" i="48"/>
  <c r="D34" i="48"/>
  <c r="D19" i="48"/>
  <c r="D89" i="48"/>
  <c r="B40" i="11"/>
  <c r="D22" i="48"/>
  <c r="D54" i="48"/>
  <c r="D21" i="48"/>
  <c r="D37" i="48"/>
  <c r="D452" i="47" s="1"/>
  <c r="QI2" i="52" s="1"/>
  <c r="D9" i="48"/>
  <c r="D66" i="48"/>
  <c r="D111" i="48"/>
  <c r="D30" i="48"/>
  <c r="D31" i="48"/>
  <c r="D106" i="48"/>
  <c r="B44" i="11"/>
  <c r="B17" i="11" s="1"/>
  <c r="E17" i="11" s="1"/>
  <c r="D105" i="48"/>
  <c r="D13" i="48"/>
  <c r="D449" i="47" s="1"/>
  <c r="D64" i="48"/>
  <c r="D7" i="48"/>
  <c r="D18" i="48"/>
  <c r="D25" i="48"/>
  <c r="D47" i="48"/>
  <c r="D109" i="48"/>
  <c r="D63" i="48"/>
  <c r="D43" i="48"/>
  <c r="D60" i="48"/>
  <c r="D26" i="48"/>
  <c r="D36" i="48"/>
  <c r="D110" i="48"/>
  <c r="D35" i="48"/>
  <c r="D104" i="48"/>
  <c r="D46" i="48"/>
  <c r="D61" i="48"/>
  <c r="D83" i="48"/>
  <c r="D42" i="48"/>
  <c r="D17" i="48"/>
  <c r="D23" i="48"/>
  <c r="D40" i="48"/>
  <c r="D20" i="48"/>
  <c r="D450" i="47" s="1"/>
  <c r="AOH2" i="52" s="1"/>
  <c r="D5" i="48"/>
  <c r="D16" i="48"/>
  <c r="D98" i="48"/>
  <c r="D24" i="48"/>
  <c r="D51" i="48"/>
  <c r="D74" i="48" s="1"/>
  <c r="D805" i="47" s="1"/>
  <c r="D50" i="48"/>
  <c r="N47" i="20"/>
  <c r="N91" i="20" s="1"/>
  <c r="D60" i="19"/>
  <c r="D62" i="19" s="1"/>
  <c r="Q12" i="10"/>
  <c r="O34" i="10" s="1"/>
  <c r="Q34" i="10" s="1"/>
  <c r="B51" i="18"/>
  <c r="B32" i="18"/>
  <c r="S32" i="18" s="1"/>
  <c r="T32" i="18" s="1"/>
  <c r="D750" i="47" s="1"/>
  <c r="S14" i="18"/>
  <c r="T14" i="18" s="1"/>
  <c r="D657" i="47" s="1"/>
  <c r="D512" i="47"/>
  <c r="AQN2" i="52" s="1"/>
  <c r="B50" i="18"/>
  <c r="B16" i="18"/>
  <c r="AN16" i="33"/>
  <c r="AN84" i="33" s="1"/>
  <c r="B5" i="18"/>
  <c r="A5" i="18" s="1"/>
  <c r="L12" i="39"/>
  <c r="AN17" i="49"/>
  <c r="B31" i="18"/>
  <c r="AN16" i="40"/>
  <c r="AN84" i="40" s="1"/>
  <c r="AN16" i="41"/>
  <c r="AN84" i="41" s="1"/>
  <c r="AN15" i="46"/>
  <c r="AN83" i="46" s="1"/>
  <c r="E147" i="12"/>
  <c r="H28" i="1"/>
  <c r="H62" i="1"/>
  <c r="H61" i="1"/>
  <c r="C46" i="36"/>
  <c r="D311" i="47" s="1"/>
  <c r="AJG2" i="52" s="1"/>
  <c r="H65" i="1"/>
  <c r="H63" i="1"/>
  <c r="H90" i="19"/>
  <c r="H112" i="19" s="1"/>
  <c r="AG2" i="52"/>
  <c r="B14" i="30"/>
  <c r="D649" i="47"/>
  <c r="PA2" i="52"/>
  <c r="H79" i="36"/>
  <c r="WZ2" i="52"/>
  <c r="HM2" i="52"/>
  <c r="ANH2" i="52"/>
  <c r="E86" i="41"/>
  <c r="E98" i="41" s="1"/>
  <c r="F12" i="49"/>
  <c r="ANF2" i="52"/>
  <c r="HO2" i="52"/>
  <c r="H75" i="36"/>
  <c r="OW2" i="52"/>
  <c r="H63" i="36"/>
  <c r="H65" i="36" s="1"/>
  <c r="D419" i="47" s="1"/>
  <c r="D262" i="47"/>
  <c r="AHM2" i="52" s="1"/>
  <c r="D326" i="47"/>
  <c r="LM2" i="52" s="1"/>
  <c r="D246" i="47"/>
  <c r="AGX2" i="52" s="1"/>
  <c r="B48" i="36"/>
  <c r="H63" i="16"/>
  <c r="H65" i="16" s="1"/>
  <c r="PE2" i="52"/>
  <c r="D358" i="47"/>
  <c r="MS2" i="52" s="1"/>
  <c r="AGC2" i="52"/>
  <c r="D231" i="47"/>
  <c r="AGJ2" i="52" s="1"/>
  <c r="XM2" i="52"/>
  <c r="D230" i="47"/>
  <c r="HU2" i="52" s="1"/>
  <c r="H77" i="16"/>
  <c r="D342" i="47"/>
  <c r="MC2" i="52" s="1"/>
  <c r="D406" i="47"/>
  <c r="AMR2" i="52" s="1"/>
  <c r="H28" i="55"/>
  <c r="C51" i="9"/>
  <c r="C95" i="9" s="1"/>
  <c r="H82" i="55"/>
  <c r="D374" i="47"/>
  <c r="ALN2" i="52" s="1"/>
  <c r="D278" i="47"/>
  <c r="AIB2" i="52" s="1"/>
  <c r="AGA2" i="52"/>
  <c r="D310" i="47"/>
  <c r="AJF2" i="52" s="1"/>
  <c r="H77" i="36"/>
  <c r="J77" i="36" s="1"/>
  <c r="KG2" i="52"/>
  <c r="J62" i="16"/>
  <c r="Q27" i="10"/>
  <c r="Q28" i="10"/>
  <c r="Q26" i="10"/>
  <c r="Q29" i="10" s="1"/>
  <c r="P27" i="19"/>
  <c r="P29" i="19" s="1"/>
  <c r="P28" i="19"/>
  <c r="J27" i="19"/>
  <c r="J29" i="19" s="1"/>
  <c r="J28" i="19"/>
  <c r="AN2" i="52"/>
  <c r="E5" i="19"/>
  <c r="E34" i="19" s="1"/>
  <c r="D390" i="47"/>
  <c r="AMC2" i="52" s="1"/>
  <c r="HQ2" i="52"/>
  <c r="C50" i="10"/>
  <c r="C94" i="10" s="1"/>
  <c r="AGH2" i="52"/>
  <c r="H75" i="16"/>
  <c r="E86" i="46"/>
  <c r="G86" i="41"/>
  <c r="G98" i="41" s="1"/>
  <c r="N68" i="19"/>
  <c r="AL116" i="41"/>
  <c r="AM116" i="41" s="1"/>
  <c r="AA116" i="41"/>
  <c r="AB114" i="41"/>
  <c r="BBL2" i="52"/>
  <c r="A54" i="22"/>
  <c r="A102" i="22" s="1"/>
  <c r="E88" i="49"/>
  <c r="C77" i="12"/>
  <c r="C57" i="20"/>
  <c r="C101" i="20" s="1"/>
  <c r="B55" i="22"/>
  <c r="E55" i="22" s="1"/>
  <c r="I77" i="12"/>
  <c r="E86" i="40"/>
  <c r="E97" i="40" s="1"/>
  <c r="E102" i="40" s="1"/>
  <c r="H75" i="22"/>
  <c r="K75" i="22" s="1"/>
  <c r="D111" i="47"/>
  <c r="DF2" i="52" s="1"/>
  <c r="B36" i="16"/>
  <c r="AJA2" i="52"/>
  <c r="GX2" i="52"/>
  <c r="AL61" i="40"/>
  <c r="AG81" i="40"/>
  <c r="AL81" i="40" s="1"/>
  <c r="H59" i="48"/>
  <c r="Q12" i="20"/>
  <c r="Q13" i="20" s="1"/>
  <c r="Q16" i="20" s="1"/>
  <c r="E116" i="40"/>
  <c r="F114" i="40"/>
  <c r="Q115" i="49"/>
  <c r="P117" i="49"/>
  <c r="V82" i="46"/>
  <c r="AA115" i="46"/>
  <c r="AB113" i="46"/>
  <c r="V80" i="46"/>
  <c r="AL80" i="46" s="1"/>
  <c r="D5" i="19"/>
  <c r="D6" i="19" s="1"/>
  <c r="D8" i="19" s="1"/>
  <c r="I119" i="40"/>
  <c r="B15" i="31"/>
  <c r="KP2" i="52"/>
  <c r="AP61" i="33"/>
  <c r="AN61" i="33"/>
  <c r="K81" i="33"/>
  <c r="AL81" i="33" s="1"/>
  <c r="AO61" i="33"/>
  <c r="D112" i="47"/>
  <c r="DG2" i="52" s="1"/>
  <c r="B36" i="36"/>
  <c r="H64" i="1" s="1"/>
  <c r="H15" i="55"/>
  <c r="AK2" i="52"/>
  <c r="H46" i="55"/>
  <c r="H12" i="55"/>
  <c r="AL116" i="33"/>
  <c r="AM116" i="33" s="1"/>
  <c r="K83" i="33"/>
  <c r="AL61" i="33"/>
  <c r="B50" i="19"/>
  <c r="D50" i="19" s="1"/>
  <c r="B68" i="19"/>
  <c r="B90" i="19"/>
  <c r="H108" i="55"/>
  <c r="H23" i="55"/>
  <c r="H5" i="55"/>
  <c r="H38" i="55"/>
  <c r="H81" i="55"/>
  <c r="H101" i="55"/>
  <c r="H6" i="55"/>
  <c r="A12" i="10"/>
  <c r="E12" i="10" s="1"/>
  <c r="E13" i="10" s="1"/>
  <c r="E16" i="10" s="1"/>
  <c r="E4" i="10"/>
  <c r="E5" i="10" s="1"/>
  <c r="E8" i="10" s="1"/>
  <c r="ATZ2" i="52"/>
  <c r="J70" i="16"/>
  <c r="A66" i="10"/>
  <c r="A110" i="10" s="1"/>
  <c r="K120" i="9"/>
  <c r="K119" i="9"/>
  <c r="K121" i="9" s="1"/>
  <c r="Q119" i="9"/>
  <c r="Q121" i="9" s="1"/>
  <c r="Q120" i="9"/>
  <c r="K4" i="10"/>
  <c r="K5" i="10" s="1"/>
  <c r="K8" i="10" s="1"/>
  <c r="OV2" i="52"/>
  <c r="J61" i="16"/>
  <c r="D13" i="31"/>
  <c r="D183" i="47"/>
  <c r="FZ2" i="52" s="1"/>
  <c r="D63" i="16"/>
  <c r="D65" i="16" s="1"/>
  <c r="D77" i="16"/>
  <c r="AFI2" i="52"/>
  <c r="GM2" i="52"/>
  <c r="D190" i="47"/>
  <c r="GG2" i="52" s="1"/>
  <c r="D75" i="16"/>
  <c r="ALW2" i="52"/>
  <c r="AL2" i="52"/>
  <c r="ALZ2" i="52"/>
  <c r="D584" i="47"/>
  <c r="VK2" i="52" s="1"/>
  <c r="ATU2" i="52"/>
  <c r="D199" i="47"/>
  <c r="GP2" i="52" s="1"/>
  <c r="NQ2" i="52"/>
  <c r="PS2" i="52"/>
  <c r="K23" i="19"/>
  <c r="ALX2" i="52"/>
  <c r="D75" i="36"/>
  <c r="K5" i="19"/>
  <c r="K34" i="19" s="1"/>
  <c r="J5" i="19"/>
  <c r="J6" i="19" s="1"/>
  <c r="J8" i="19" s="1"/>
  <c r="D79" i="36"/>
  <c r="N15" i="39"/>
  <c r="N17" i="39"/>
  <c r="PQ2" i="52"/>
  <c r="N14" i="39"/>
  <c r="T85" i="46"/>
  <c r="T98" i="46" s="1"/>
  <c r="I82" i="10"/>
  <c r="I84" i="10"/>
  <c r="J58" i="10" s="1"/>
  <c r="J94" i="10" s="1"/>
  <c r="J102" i="10" s="1"/>
  <c r="I83" i="10"/>
  <c r="I81" i="10"/>
  <c r="I85" i="10"/>
  <c r="J51" i="10" s="1"/>
  <c r="D23" i="16"/>
  <c r="D75" i="55" s="1"/>
  <c r="J32" i="16"/>
  <c r="B63" i="16"/>
  <c r="N43" i="11" s="1"/>
  <c r="N6" i="11" s="1"/>
  <c r="Q6" i="11" s="1"/>
  <c r="C56" i="10"/>
  <c r="J45" i="1"/>
  <c r="J48" i="1" s="1"/>
  <c r="AMB2" i="52"/>
  <c r="N98" i="49"/>
  <c r="N103" i="49" s="1"/>
  <c r="D15" i="31"/>
  <c r="D63" i="36"/>
  <c r="D65" i="36" s="1"/>
  <c r="E61" i="36" s="1"/>
  <c r="B75" i="16"/>
  <c r="PP2" i="52"/>
  <c r="H52" i="48"/>
  <c r="F2" i="39"/>
  <c r="B3" i="39"/>
  <c r="E87" i="46"/>
  <c r="H109" i="48"/>
  <c r="H27" i="48"/>
  <c r="E87" i="41"/>
  <c r="H54" i="48"/>
  <c r="H106" i="48"/>
  <c r="H60" i="48"/>
  <c r="A66" i="22"/>
  <c r="H55" i="48"/>
  <c r="H31" i="48"/>
  <c r="Q55" i="20"/>
  <c r="Q56" i="20" s="1"/>
  <c r="Q59" i="20" s="1"/>
  <c r="B61" i="1"/>
  <c r="ANO2" i="52"/>
  <c r="D126" i="47"/>
  <c r="DU2" i="52" s="1"/>
  <c r="J33" i="16"/>
  <c r="J13" i="30" s="1"/>
  <c r="H50" i="19"/>
  <c r="B74" i="48"/>
  <c r="D804" i="47" s="1"/>
  <c r="F63" i="16"/>
  <c r="F69" i="16" s="1"/>
  <c r="B50" i="16"/>
  <c r="E87" i="49"/>
  <c r="E99" i="49" s="1"/>
  <c r="K37" i="1"/>
  <c r="K58" i="1" s="1"/>
  <c r="NJ2" i="52"/>
  <c r="H5" i="36"/>
  <c r="D285" i="47" s="1"/>
  <c r="JX2" i="52" s="1"/>
  <c r="D13" i="30"/>
  <c r="B90" i="11"/>
  <c r="N42" i="39"/>
  <c r="D391" i="47"/>
  <c r="AMD2" i="52" s="1"/>
  <c r="NP2" i="52"/>
  <c r="ALU2" i="52"/>
  <c r="H47" i="48"/>
  <c r="H15" i="48"/>
  <c r="E89" i="49"/>
  <c r="A49" i="9"/>
  <c r="E49" i="9" s="1"/>
  <c r="H7" i="48"/>
  <c r="H23" i="48"/>
  <c r="H64" i="48"/>
  <c r="H6" i="48"/>
  <c r="H9" i="48"/>
  <c r="H67" i="48"/>
  <c r="H83" i="48"/>
  <c r="H42" i="48"/>
  <c r="H38" i="48"/>
  <c r="D489" i="47" s="1"/>
  <c r="APS2" i="52" s="1"/>
  <c r="H110" i="48"/>
  <c r="P5" i="19"/>
  <c r="P34" i="19" s="1"/>
  <c r="S66" i="22"/>
  <c r="H65" i="48"/>
  <c r="H43" i="48"/>
  <c r="H10" i="48"/>
  <c r="H37" i="48"/>
  <c r="D488" i="47" s="1"/>
  <c r="APR2" i="52" s="1"/>
  <c r="H49" i="48"/>
  <c r="D493" i="47" s="1"/>
  <c r="RX2" i="52" s="1"/>
  <c r="H108" i="48"/>
  <c r="H20" i="48"/>
  <c r="D486" i="47" s="1"/>
  <c r="RQ2" i="52" s="1"/>
  <c r="H28" i="48"/>
  <c r="D487" i="47" s="1"/>
  <c r="APQ2" i="52" s="1"/>
  <c r="H11" i="48"/>
  <c r="H87" i="48"/>
  <c r="D14" i="31"/>
  <c r="H30" i="48"/>
  <c r="H48" i="48"/>
  <c r="H33" i="48"/>
  <c r="B75" i="22"/>
  <c r="E75" i="22" s="1"/>
  <c r="H107" i="48"/>
  <c r="H98" i="48"/>
  <c r="H45" i="48"/>
  <c r="D492" i="47" s="1"/>
  <c r="RW2" i="52" s="1"/>
  <c r="H85" i="48"/>
  <c r="H19" i="48"/>
  <c r="H35" i="48"/>
  <c r="H25" i="48"/>
  <c r="H56" i="48"/>
  <c r="H14" i="48"/>
  <c r="H58" i="48"/>
  <c r="D132" i="47"/>
  <c r="EA2" i="52" s="1"/>
  <c r="E90" i="49"/>
  <c r="AFL2" i="52"/>
  <c r="D25" i="16"/>
  <c r="H62" i="48"/>
  <c r="H32" i="48"/>
  <c r="H8" i="48"/>
  <c r="H16" i="48"/>
  <c r="D9" i="16"/>
  <c r="D15" i="16" s="1"/>
  <c r="H34" i="48"/>
  <c r="H57" i="48"/>
  <c r="H18" i="48"/>
  <c r="H5" i="48"/>
  <c r="H61" i="48"/>
  <c r="H29" i="48"/>
  <c r="H21" i="48"/>
  <c r="H53" i="48"/>
  <c r="H89" i="48"/>
  <c r="H26" i="48"/>
  <c r="KO2" i="52"/>
  <c r="AIY2" i="52"/>
  <c r="G87" i="40"/>
  <c r="H111" i="48"/>
  <c r="H13" i="48"/>
  <c r="D485" i="47" s="1"/>
  <c r="H50" i="48"/>
  <c r="H46" i="48"/>
  <c r="H101" i="48"/>
  <c r="H104" i="48"/>
  <c r="H22" i="48"/>
  <c r="H103" i="48"/>
  <c r="H63" i="48"/>
  <c r="H12" i="48"/>
  <c r="I71" i="48"/>
  <c r="D830" i="47" s="1"/>
  <c r="BCJ2" i="52" s="1"/>
  <c r="H66" i="48"/>
  <c r="H51" i="48"/>
  <c r="H74" i="48" s="1"/>
  <c r="D807" i="47" s="1"/>
  <c r="H17" i="48"/>
  <c r="H105" i="48"/>
  <c r="H24" i="48"/>
  <c r="H41" i="48"/>
  <c r="D484" i="47" s="1"/>
  <c r="APN2" i="52" s="1"/>
  <c r="H36" i="48"/>
  <c r="H40" i="48"/>
  <c r="O37" i="1"/>
  <c r="O48" i="10"/>
  <c r="O66" i="10" s="1"/>
  <c r="O56" i="10"/>
  <c r="C158" i="12"/>
  <c r="O83" i="10"/>
  <c r="C155" i="12"/>
  <c r="T88" i="46"/>
  <c r="R87" i="49"/>
  <c r="R99" i="49" s="1"/>
  <c r="J60" i="16"/>
  <c r="N99" i="49"/>
  <c r="N105" i="49" s="1"/>
  <c r="O29" i="1"/>
  <c r="V87" i="49"/>
  <c r="V100" i="49" s="1"/>
  <c r="T87" i="49"/>
  <c r="T99" i="49" s="1"/>
  <c r="D21" i="16"/>
  <c r="D73" i="55" s="1"/>
  <c r="P87" i="41"/>
  <c r="D705" i="47"/>
  <c r="AXO2" i="52" s="1"/>
  <c r="B69" i="48"/>
  <c r="D444" i="47" s="1"/>
  <c r="QA2" i="52" s="1"/>
  <c r="PO2" i="52"/>
  <c r="B73" i="48"/>
  <c r="B77" i="48"/>
  <c r="A5" i="9"/>
  <c r="A13" i="9" s="1"/>
  <c r="E13" i="9" s="1"/>
  <c r="E15" i="9" s="1"/>
  <c r="E16" i="9" s="1"/>
  <c r="E18" i="9" s="1"/>
  <c r="J57" i="16"/>
  <c r="N96" i="46"/>
  <c r="N101" i="46" s="1"/>
  <c r="R85" i="46"/>
  <c r="R97" i="46" s="1"/>
  <c r="J79" i="16"/>
  <c r="N98" i="46"/>
  <c r="N105" i="46" s="1"/>
  <c r="C87" i="40"/>
  <c r="AM2" i="52"/>
  <c r="N97" i="46"/>
  <c r="N103" i="46" s="1"/>
  <c r="J58" i="16"/>
  <c r="Q7" i="18"/>
  <c r="M5" i="18"/>
  <c r="J16" i="16"/>
  <c r="D128" i="47"/>
  <c r="DW2" i="52" s="1"/>
  <c r="R87" i="51"/>
  <c r="V87" i="51"/>
  <c r="D74" i="55"/>
  <c r="AC96" i="46"/>
  <c r="D36" i="16"/>
  <c r="D16" i="30" s="1"/>
  <c r="D21" i="30" s="1"/>
  <c r="D25" i="30" s="1"/>
  <c r="AC98" i="46"/>
  <c r="J34" i="16"/>
  <c r="J14" i="31" s="1"/>
  <c r="D14" i="30"/>
  <c r="D127" i="47"/>
  <c r="DV2" i="52" s="1"/>
  <c r="J31" i="16"/>
  <c r="D52" i="16"/>
  <c r="J30" i="16"/>
  <c r="AH2" i="52"/>
  <c r="R88" i="46"/>
  <c r="F46" i="16"/>
  <c r="D548" i="47"/>
  <c r="ARV2" i="52" s="1"/>
  <c r="P33" i="24"/>
  <c r="B26" i="22"/>
  <c r="E26" i="22" s="1"/>
  <c r="A56" i="10"/>
  <c r="A100" i="10" s="1"/>
  <c r="A17" i="22"/>
  <c r="E17" i="22" s="1"/>
  <c r="E18" i="22" s="1"/>
  <c r="E20" i="22" s="1"/>
  <c r="E88" i="41"/>
  <c r="E55" i="20"/>
  <c r="E58" i="20" s="1"/>
  <c r="G88" i="41"/>
  <c r="PR2" i="52"/>
  <c r="PN2" i="52"/>
  <c r="E88" i="46"/>
  <c r="J33" i="24"/>
  <c r="J3" i="30" s="1"/>
  <c r="N86" i="33"/>
  <c r="T86" i="33" s="1"/>
  <c r="T97" i="33" s="1"/>
  <c r="T102" i="33" s="1"/>
  <c r="N99" i="51"/>
  <c r="N106" i="51" s="1"/>
  <c r="P86" i="33"/>
  <c r="P99" i="33" s="1"/>
  <c r="P106" i="33" s="1"/>
  <c r="ARJ2" i="52"/>
  <c r="H25" i="55"/>
  <c r="H31" i="55"/>
  <c r="H29" i="55"/>
  <c r="H62" i="55"/>
  <c r="H61" i="55"/>
  <c r="H57" i="55"/>
  <c r="H39" i="55"/>
  <c r="H17" i="55"/>
  <c r="H40" i="55"/>
  <c r="H80" i="55"/>
  <c r="H50" i="55"/>
  <c r="H37" i="55"/>
  <c r="H104" i="55"/>
  <c r="H51" i="55"/>
  <c r="H59" i="55"/>
  <c r="H36" i="55"/>
  <c r="H64" i="55"/>
  <c r="H58" i="55"/>
  <c r="H67" i="55"/>
  <c r="H35" i="55"/>
  <c r="H107" i="55"/>
  <c r="H9" i="55"/>
  <c r="H111" i="55"/>
  <c r="H65" i="55"/>
  <c r="H41" i="55"/>
  <c r="H34" i="55"/>
  <c r="H89" i="55"/>
  <c r="H48" i="55"/>
  <c r="H18" i="55"/>
  <c r="H10" i="55"/>
  <c r="H27" i="55"/>
  <c r="H13" i="55"/>
  <c r="I71" i="55"/>
  <c r="H94" i="55"/>
  <c r="H55" i="55"/>
  <c r="H60" i="55"/>
  <c r="H32" i="55"/>
  <c r="H19" i="55"/>
  <c r="H33" i="55"/>
  <c r="H47" i="55"/>
  <c r="H96" i="55"/>
  <c r="H56" i="55"/>
  <c r="H85" i="55"/>
  <c r="H105" i="55"/>
  <c r="H42" i="55"/>
  <c r="H43" i="55"/>
  <c r="H103" i="55"/>
  <c r="H53" i="55"/>
  <c r="H66" i="55"/>
  <c r="E86" i="33"/>
  <c r="E97" i="33" s="1"/>
  <c r="E102" i="33" s="1"/>
  <c r="H22" i="55"/>
  <c r="H21" i="55"/>
  <c r="H14" i="55"/>
  <c r="H106" i="55"/>
  <c r="H45" i="55"/>
  <c r="H24" i="55"/>
  <c r="H63" i="55"/>
  <c r="H30" i="55"/>
  <c r="H83" i="55"/>
  <c r="H54" i="55"/>
  <c r="H52" i="55"/>
  <c r="H20" i="55"/>
  <c r="H7" i="55"/>
  <c r="H109" i="55"/>
  <c r="H8" i="55"/>
  <c r="H16" i="55"/>
  <c r="H11" i="55"/>
  <c r="H98" i="55"/>
  <c r="H87" i="55"/>
  <c r="H110" i="55"/>
  <c r="V97" i="51"/>
  <c r="N98" i="51"/>
  <c r="N104" i="51" s="1"/>
  <c r="R86" i="51"/>
  <c r="R99" i="51" s="1"/>
  <c r="V99" i="51"/>
  <c r="AG97" i="46"/>
  <c r="L80" i="55"/>
  <c r="N97" i="51"/>
  <c r="N102" i="51" s="1"/>
  <c r="T86" i="51"/>
  <c r="T98" i="51" s="1"/>
  <c r="H44" i="12"/>
  <c r="AFS2" i="52"/>
  <c r="J67" i="16"/>
  <c r="G46" i="36"/>
  <c r="D343" i="47" s="1"/>
  <c r="AKK2" i="52" s="1"/>
  <c r="J49" i="16"/>
  <c r="H46" i="12"/>
  <c r="H9" i="12" s="1"/>
  <c r="K9" i="12" s="1"/>
  <c r="P88" i="46"/>
  <c r="ABH2" i="52"/>
  <c r="P88" i="41"/>
  <c r="H4" i="36"/>
  <c r="H16" i="36"/>
  <c r="J16" i="36" s="1"/>
  <c r="C156" i="12"/>
  <c r="C157" i="12"/>
  <c r="I19" i="36"/>
  <c r="D295" i="47" s="1"/>
  <c r="H13" i="36"/>
  <c r="D292" i="47" s="1"/>
  <c r="KE2" i="52" s="1"/>
  <c r="H3" i="36"/>
  <c r="H8" i="36"/>
  <c r="A84" i="12"/>
  <c r="A68" i="19"/>
  <c r="H22" i="36"/>
  <c r="H23" i="36" s="1"/>
  <c r="H6" i="36"/>
  <c r="H13" i="39" s="1"/>
  <c r="C154" i="12"/>
  <c r="H7" i="36"/>
  <c r="H14" i="39" s="1"/>
  <c r="H10" i="36"/>
  <c r="D290" i="47" s="1"/>
  <c r="AC86" i="33"/>
  <c r="AC98" i="33" s="1"/>
  <c r="AC104" i="33" s="1"/>
  <c r="L54" i="41"/>
  <c r="K83" i="41" s="1"/>
  <c r="N84" i="9"/>
  <c r="N86" i="9" s="1"/>
  <c r="O81" i="9" s="1"/>
  <c r="N84" i="12"/>
  <c r="N113" i="12"/>
  <c r="N140" i="12" s="1"/>
  <c r="N61" i="12"/>
  <c r="N117" i="12" s="1"/>
  <c r="N89" i="10"/>
  <c r="N56" i="10"/>
  <c r="N66" i="10"/>
  <c r="N48" i="10"/>
  <c r="ZO2" i="52"/>
  <c r="ZM2" i="52"/>
  <c r="AXB2" i="52"/>
  <c r="ABL2" i="52"/>
  <c r="D50" i="16"/>
  <c r="ABO2" i="52"/>
  <c r="J35" i="16"/>
  <c r="J15" i="30" s="1"/>
  <c r="AXH2" i="52"/>
  <c r="AYY2" i="52"/>
  <c r="ZP2" i="52"/>
  <c r="ABK2" i="52"/>
  <c r="D214" i="47"/>
  <c r="AFT2" i="52" s="1"/>
  <c r="AG86" i="33"/>
  <c r="AG97" i="33" s="1"/>
  <c r="AG102" i="33" s="1"/>
  <c r="Y98" i="33"/>
  <c r="Y104" i="33" s="1"/>
  <c r="V97" i="55" s="1"/>
  <c r="Y99" i="33"/>
  <c r="Y106" i="33" s="1"/>
  <c r="V99" i="55" s="1"/>
  <c r="Y97" i="33"/>
  <c r="Y102" i="33" s="1"/>
  <c r="V95" i="55" s="1"/>
  <c r="J37" i="16"/>
  <c r="J17" i="31" s="1"/>
  <c r="K12" i="1"/>
  <c r="T88" i="51"/>
  <c r="R88" i="51"/>
  <c r="AXI2" i="52"/>
  <c r="ABN2" i="52"/>
  <c r="N53" i="18"/>
  <c r="N45" i="18" s="1"/>
  <c r="Q45" i="18" s="1"/>
  <c r="M42" i="18"/>
  <c r="M92" i="10"/>
  <c r="O82" i="10"/>
  <c r="P16" i="19"/>
  <c r="P18" i="19" s="1"/>
  <c r="T88" i="49"/>
  <c r="O85" i="10"/>
  <c r="P59" i="10" s="1"/>
  <c r="P95" i="10" s="1"/>
  <c r="P103" i="10" s="1"/>
  <c r="N26" i="18"/>
  <c r="Q26" i="18" s="1"/>
  <c r="HA2" i="52"/>
  <c r="Q21" i="20"/>
  <c r="Q24" i="20" s="1"/>
  <c r="J64" i="16"/>
  <c r="N8" i="18"/>
  <c r="Q8" i="18" s="1"/>
  <c r="F75" i="16"/>
  <c r="J58" i="36"/>
  <c r="AFM2" i="52"/>
  <c r="O62" i="1"/>
  <c r="D135" i="47"/>
  <c r="ED2" i="52" s="1"/>
  <c r="O65" i="1"/>
  <c r="AC99" i="51"/>
  <c r="Y104" i="51"/>
  <c r="K12" i="20"/>
  <c r="J68" i="16"/>
  <c r="R88" i="49"/>
  <c r="AE97" i="46"/>
  <c r="O64" i="1"/>
  <c r="N91" i="11"/>
  <c r="N54" i="11" s="1"/>
  <c r="Q54" i="11" s="1"/>
  <c r="T90" i="49"/>
  <c r="AE96" i="46"/>
  <c r="V89" i="49"/>
  <c r="AC97" i="51"/>
  <c r="AG96" i="46"/>
  <c r="R89" i="49"/>
  <c r="R90" i="49"/>
  <c r="P23" i="18"/>
  <c r="Q23" i="18" s="1"/>
  <c r="H54" i="12"/>
  <c r="H14" i="12" s="1"/>
  <c r="K14" i="12" s="1"/>
  <c r="J41" i="16"/>
  <c r="D17" i="30"/>
  <c r="D23" i="30" s="1"/>
  <c r="D29" i="30" s="1"/>
  <c r="D17" i="31"/>
  <c r="D23" i="31" s="1"/>
  <c r="D29" i="31" s="1"/>
  <c r="D48" i="16"/>
  <c r="AIF2" i="52"/>
  <c r="AE97" i="51"/>
  <c r="Q6" i="12"/>
  <c r="Q7" i="12" s="1"/>
  <c r="Q18" i="12" s="1"/>
  <c r="AE99" i="51"/>
  <c r="N58" i="9"/>
  <c r="Q58" i="9" s="1"/>
  <c r="AZ95" i="41"/>
  <c r="AG97" i="51"/>
  <c r="AG98" i="51"/>
  <c r="N40" i="9"/>
  <c r="N42" i="9" s="1"/>
  <c r="O39" i="9" s="1"/>
  <c r="F71" i="48"/>
  <c r="Y86" i="46"/>
  <c r="M5" i="9"/>
  <c r="M17" i="22"/>
  <c r="F80" i="55"/>
  <c r="VP2" i="52"/>
  <c r="Q7" i="20"/>
  <c r="Q6" i="20"/>
  <c r="H2" i="39"/>
  <c r="N2" i="39"/>
  <c r="J77" i="55"/>
  <c r="Q5" i="11"/>
  <c r="M26" i="11"/>
  <c r="Q26" i="11" s="1"/>
  <c r="B2" i="39"/>
  <c r="AA87" i="49"/>
  <c r="AA99" i="49" s="1"/>
  <c r="N113" i="11"/>
  <c r="Q113" i="11" s="1"/>
  <c r="O39" i="10"/>
  <c r="O41" i="10"/>
  <c r="P7" i="10" s="1"/>
  <c r="Q7" i="10" s="1"/>
  <c r="O38" i="10"/>
  <c r="Q8" i="22"/>
  <c r="Q9" i="22" s="1"/>
  <c r="Q11" i="22" s="1"/>
  <c r="J76" i="16"/>
  <c r="N103" i="11"/>
  <c r="Q103" i="11" s="1"/>
  <c r="O84" i="10"/>
  <c r="P58" i="10" s="1"/>
  <c r="O61" i="1"/>
  <c r="N70" i="12"/>
  <c r="Q70" i="12" s="1"/>
  <c r="F79" i="36"/>
  <c r="D42" i="36"/>
  <c r="J57" i="36"/>
  <c r="J62" i="36"/>
  <c r="J61" i="36"/>
  <c r="D321" i="47"/>
  <c r="AJQ2" i="52" s="1"/>
  <c r="O81" i="10"/>
  <c r="O63" i="1"/>
  <c r="D46" i="36"/>
  <c r="LN2" i="52"/>
  <c r="P61" i="19"/>
  <c r="P63" i="19" s="1"/>
  <c r="P62" i="19"/>
  <c r="O40" i="10"/>
  <c r="P6" i="10" s="1"/>
  <c r="Q6" i="10" s="1"/>
  <c r="O37" i="10"/>
  <c r="J59" i="16"/>
  <c r="R88" i="41"/>
  <c r="T88" i="41"/>
  <c r="V88" i="41"/>
  <c r="J64" i="36"/>
  <c r="O58" i="11"/>
  <c r="O106" i="11" s="1"/>
  <c r="ALK2" i="52"/>
  <c r="J68" i="36"/>
  <c r="F17" i="39"/>
  <c r="D182" i="47"/>
  <c r="FY2" i="52" s="1"/>
  <c r="B77" i="16"/>
  <c r="O28" i="1"/>
  <c r="O30" i="1"/>
  <c r="O27" i="1"/>
  <c r="O26" i="1"/>
  <c r="B71" i="48"/>
  <c r="Q18" i="11"/>
  <c r="Q19" i="11" s="1"/>
  <c r="Q21" i="11" s="1"/>
  <c r="AUL2" i="52"/>
  <c r="D215" i="47"/>
  <c r="HF2" i="52" s="1"/>
  <c r="QO2" i="52"/>
  <c r="L81" i="55"/>
  <c r="L81" i="48"/>
  <c r="R87" i="46"/>
  <c r="T87" i="46"/>
  <c r="V87" i="46"/>
  <c r="H113" i="11"/>
  <c r="K113" i="11" s="1"/>
  <c r="P86" i="46"/>
  <c r="P88" i="40"/>
  <c r="B23" i="30"/>
  <c r="B29" i="30" s="1"/>
  <c r="I51" i="9"/>
  <c r="I95" i="9" s="1"/>
  <c r="D476" i="47"/>
  <c r="APF2" i="52" s="1"/>
  <c r="P5" i="1"/>
  <c r="P7" i="1" s="1"/>
  <c r="D71" i="47"/>
  <c r="BR2" i="52" s="1"/>
  <c r="BA95" i="41"/>
  <c r="H81" i="48"/>
  <c r="B88" i="11"/>
  <c r="B89" i="11"/>
  <c r="BCG2" i="52"/>
  <c r="C81" i="10"/>
  <c r="B80" i="55"/>
  <c r="L65" i="39"/>
  <c r="L67" i="39" s="1"/>
  <c r="K4" i="20"/>
  <c r="ANB2" i="52"/>
  <c r="J67" i="36"/>
  <c r="D2" i="39"/>
  <c r="G53" i="11"/>
  <c r="K53" i="11" s="1"/>
  <c r="ALH2" i="52"/>
  <c r="NB2" i="52"/>
  <c r="AMQ2" i="52"/>
  <c r="OM2" i="52"/>
  <c r="O57" i="20"/>
  <c r="O101" i="20" s="1"/>
  <c r="O58" i="10"/>
  <c r="O102" i="10" s="1"/>
  <c r="F114" i="41"/>
  <c r="E116" i="41"/>
  <c r="D372" i="47"/>
  <c r="B75" i="36"/>
  <c r="AMS2" i="52"/>
  <c r="OP2" i="52"/>
  <c r="AA88" i="46"/>
  <c r="AA88" i="41"/>
  <c r="O50" i="10"/>
  <c r="O94" i="10" s="1"/>
  <c r="AA87" i="46"/>
  <c r="AA87" i="41"/>
  <c r="AA86" i="33"/>
  <c r="AA97" i="51"/>
  <c r="AA102" i="51" s="1"/>
  <c r="B63" i="36"/>
  <c r="D366" i="47"/>
  <c r="F113" i="46"/>
  <c r="E115" i="46"/>
  <c r="AB10" i="40"/>
  <c r="O68" i="22"/>
  <c r="O116" i="22" s="1"/>
  <c r="O51" i="9"/>
  <c r="O95" i="9" s="1"/>
  <c r="AA87" i="40"/>
  <c r="AA85" i="46"/>
  <c r="AA90" i="49"/>
  <c r="R47" i="48"/>
  <c r="R23" i="48"/>
  <c r="R106" i="48"/>
  <c r="R103" i="48"/>
  <c r="R39" i="48"/>
  <c r="D580" i="47" s="1"/>
  <c r="R21" i="48"/>
  <c r="R85" i="48"/>
  <c r="R24" i="48"/>
  <c r="R110" i="48"/>
  <c r="R108" i="48"/>
  <c r="R90" i="48"/>
  <c r="D585" i="47" s="1"/>
  <c r="R9" i="48"/>
  <c r="R66" i="48"/>
  <c r="R59" i="48"/>
  <c r="R58" i="48"/>
  <c r="R89" i="48"/>
  <c r="R52" i="48"/>
  <c r="R60" i="48"/>
  <c r="R25" i="48"/>
  <c r="R32" i="48"/>
  <c r="R29" i="48"/>
  <c r="R57" i="48"/>
  <c r="R8" i="48"/>
  <c r="R20" i="48"/>
  <c r="D576" i="47" s="1"/>
  <c r="R15" i="48"/>
  <c r="R50" i="48"/>
  <c r="R19" i="48"/>
  <c r="R11" i="48"/>
  <c r="R63" i="48"/>
  <c r="R49" i="48"/>
  <c r="D583" i="47" s="1"/>
  <c r="R53" i="48"/>
  <c r="R87" i="48"/>
  <c r="R61" i="48"/>
  <c r="R99" i="48"/>
  <c r="R81" i="48"/>
  <c r="R22" i="48"/>
  <c r="R38" i="48"/>
  <c r="D579" i="47" s="1"/>
  <c r="R54" i="48"/>
  <c r="R10" i="48"/>
  <c r="R13" i="48"/>
  <c r="R48" i="48"/>
  <c r="R6" i="48"/>
  <c r="R36" i="48"/>
  <c r="R109" i="48"/>
  <c r="R28" i="48"/>
  <c r="D577" i="47" s="1"/>
  <c r="R56" i="48"/>
  <c r="R12" i="48"/>
  <c r="R7" i="48"/>
  <c r="R18" i="48"/>
  <c r="R65" i="48"/>
  <c r="R64" i="48"/>
  <c r="R96" i="48"/>
  <c r="R17" i="48"/>
  <c r="R44" i="48"/>
  <c r="R72" i="48" s="1"/>
  <c r="R92" i="48"/>
  <c r="D586" i="47" s="1"/>
  <c r="R95" i="48"/>
  <c r="D591" i="47" s="1"/>
  <c r="R42" i="48"/>
  <c r="R94" i="48"/>
  <c r="R35" i="48"/>
  <c r="R40" i="48"/>
  <c r="R27" i="48"/>
  <c r="R104" i="48"/>
  <c r="R46" i="48"/>
  <c r="R5" i="48"/>
  <c r="S71" i="48"/>
  <c r="D835" i="47" s="1"/>
  <c r="R43" i="48"/>
  <c r="R26" i="48"/>
  <c r="R62" i="48"/>
  <c r="R30" i="48"/>
  <c r="R55" i="48"/>
  <c r="R105" i="48"/>
  <c r="R34" i="48"/>
  <c r="R111" i="48"/>
  <c r="R67" i="48"/>
  <c r="R107" i="48"/>
  <c r="R16" i="48"/>
  <c r="R98" i="48"/>
  <c r="R45" i="48"/>
  <c r="D582" i="47" s="1"/>
  <c r="VI2" i="52" s="1"/>
  <c r="R33" i="48"/>
  <c r="R91" i="48"/>
  <c r="D587" i="47" s="1"/>
  <c r="R101" i="48"/>
  <c r="R83" i="48"/>
  <c r="R80" i="48"/>
  <c r="R14" i="48"/>
  <c r="R51" i="48"/>
  <c r="R74" i="48" s="1"/>
  <c r="R97" i="48"/>
  <c r="R82" i="48"/>
  <c r="R31" i="48"/>
  <c r="R37" i="48"/>
  <c r="D578" i="47" s="1"/>
  <c r="R41" i="48"/>
  <c r="D574" i="47" s="1"/>
  <c r="NC2" i="52"/>
  <c r="ALI2" i="52"/>
  <c r="AMJ2" i="52"/>
  <c r="OF2" i="52"/>
  <c r="M94" i="19"/>
  <c r="M112" i="19" s="1"/>
  <c r="M68" i="19"/>
  <c r="M37" i="1"/>
  <c r="AA88" i="49"/>
  <c r="R13" i="55"/>
  <c r="R15" i="55"/>
  <c r="R33" i="55"/>
  <c r="R96" i="55"/>
  <c r="R37" i="55"/>
  <c r="R18" i="55"/>
  <c r="R97" i="55"/>
  <c r="R6" i="55"/>
  <c r="R40" i="55"/>
  <c r="R22" i="55"/>
  <c r="R83" i="55"/>
  <c r="R7" i="55"/>
  <c r="R92" i="55"/>
  <c r="D792" i="47" s="1"/>
  <c r="R28" i="55"/>
  <c r="R30" i="55"/>
  <c r="R23" i="55"/>
  <c r="R42" i="55"/>
  <c r="R29" i="55"/>
  <c r="R8" i="55"/>
  <c r="R59" i="55"/>
  <c r="R85" i="55"/>
  <c r="R55" i="55"/>
  <c r="S71" i="55"/>
  <c r="R57" i="55"/>
  <c r="R105" i="55"/>
  <c r="R31" i="55"/>
  <c r="R90" i="55"/>
  <c r="D791" i="47" s="1"/>
  <c r="R81" i="55"/>
  <c r="R54" i="55"/>
  <c r="R32" i="55"/>
  <c r="R56" i="55"/>
  <c r="R5" i="55"/>
  <c r="R10" i="55"/>
  <c r="R61" i="55"/>
  <c r="R82" i="55"/>
  <c r="R58" i="55"/>
  <c r="R95" i="55"/>
  <c r="R39" i="55"/>
  <c r="R38" i="55"/>
  <c r="R111" i="55"/>
  <c r="R45" i="55"/>
  <c r="R63" i="55"/>
  <c r="R87" i="55"/>
  <c r="R99" i="55"/>
  <c r="R109" i="55"/>
  <c r="R41" i="55"/>
  <c r="R104" i="55"/>
  <c r="R50" i="55"/>
  <c r="R24" i="55"/>
  <c r="R36" i="55"/>
  <c r="R67" i="55"/>
  <c r="R94" i="55"/>
  <c r="R26" i="55"/>
  <c r="R17" i="55"/>
  <c r="R27" i="55"/>
  <c r="R108" i="55"/>
  <c r="R11" i="55"/>
  <c r="R66" i="55"/>
  <c r="R101" i="55"/>
  <c r="R19" i="55"/>
  <c r="R34" i="55"/>
  <c r="R60" i="55"/>
  <c r="R12" i="55"/>
  <c r="R46" i="55"/>
  <c r="R98" i="55"/>
  <c r="R64" i="55"/>
  <c r="R35" i="55"/>
  <c r="R89" i="55"/>
  <c r="R25" i="55"/>
  <c r="R20" i="55"/>
  <c r="R62" i="55"/>
  <c r="R106" i="55"/>
  <c r="R51" i="55"/>
  <c r="R74" i="55" s="1"/>
  <c r="R107" i="55"/>
  <c r="R52" i="55"/>
  <c r="R48" i="55"/>
  <c r="R14" i="55"/>
  <c r="R80" i="55"/>
  <c r="R65" i="55"/>
  <c r="R110" i="55"/>
  <c r="R21" i="55"/>
  <c r="R103" i="55"/>
  <c r="R16" i="55"/>
  <c r="R47" i="55"/>
  <c r="R91" i="55"/>
  <c r="D793" i="47" s="1"/>
  <c r="R9" i="55"/>
  <c r="R43" i="55"/>
  <c r="R53" i="55"/>
  <c r="D398" i="47"/>
  <c r="F63" i="36"/>
  <c r="V86" i="41"/>
  <c r="R86" i="41"/>
  <c r="N99" i="41"/>
  <c r="N106" i="41" s="1"/>
  <c r="N98" i="41"/>
  <c r="N104" i="41" s="1"/>
  <c r="N97" i="41"/>
  <c r="N102" i="41" s="1"/>
  <c r="T86" i="41"/>
  <c r="B79" i="36"/>
  <c r="OI2" i="52"/>
  <c r="AMM2" i="52"/>
  <c r="AA86" i="40"/>
  <c r="M54" i="22"/>
  <c r="AA89" i="49"/>
  <c r="D494" i="47"/>
  <c r="APW2" i="52" s="1"/>
  <c r="J60" i="36"/>
  <c r="R88" i="40"/>
  <c r="V88" i="40"/>
  <c r="T88" i="40"/>
  <c r="OH2" i="52"/>
  <c r="AML2" i="52"/>
  <c r="J76" i="36"/>
  <c r="D365" i="47"/>
  <c r="D402" i="47"/>
  <c r="F75" i="36"/>
  <c r="J59" i="36"/>
  <c r="M49" i="9"/>
  <c r="AA86" i="46"/>
  <c r="M66" i="22"/>
  <c r="AA88" i="40"/>
  <c r="AA86" i="41"/>
  <c r="ASA2" i="52"/>
  <c r="G25" i="22"/>
  <c r="K25" i="22" s="1"/>
  <c r="K27" i="22" s="1"/>
  <c r="G110" i="10"/>
  <c r="J7" i="16"/>
  <c r="AWV2" i="52"/>
  <c r="AWU2" i="52"/>
  <c r="AYD2" i="52"/>
  <c r="D5" i="1"/>
  <c r="D7" i="1" s="1"/>
  <c r="B62" i="1"/>
  <c r="J10" i="16"/>
  <c r="PW2" i="52"/>
  <c r="J22" i="16"/>
  <c r="I40" i="10"/>
  <c r="J6" i="10" s="1"/>
  <c r="I37" i="10"/>
  <c r="G87" i="49"/>
  <c r="G98" i="49" s="1"/>
  <c r="I41" i="10"/>
  <c r="J15" i="10" s="1"/>
  <c r="I38" i="10"/>
  <c r="I39" i="10"/>
  <c r="I86" i="41"/>
  <c r="I97" i="41" s="1"/>
  <c r="K22" i="10"/>
  <c r="K25" i="10" s="1"/>
  <c r="T87" i="33"/>
  <c r="K86" i="41"/>
  <c r="R87" i="33"/>
  <c r="C97" i="41"/>
  <c r="C98" i="41"/>
  <c r="AAO2" i="52"/>
  <c r="H74" i="55"/>
  <c r="H23" i="16"/>
  <c r="H75" i="55" s="1"/>
  <c r="I88" i="40"/>
  <c r="C97" i="33"/>
  <c r="C102" i="33" s="1"/>
  <c r="D14" i="10"/>
  <c r="AN98" i="41"/>
  <c r="C82" i="10"/>
  <c r="D55" i="47"/>
  <c r="BB2" i="52" s="1"/>
  <c r="GO2" i="52"/>
  <c r="AFE2" i="52"/>
  <c r="H9" i="16"/>
  <c r="H11" i="16" s="1"/>
  <c r="I10" i="16" s="1"/>
  <c r="J6" i="16"/>
  <c r="H25" i="16"/>
  <c r="AF2" i="52"/>
  <c r="J8" i="16"/>
  <c r="ABA2" i="52"/>
  <c r="ABB2" i="52"/>
  <c r="F115" i="49"/>
  <c r="E117" i="49"/>
  <c r="E21" i="20"/>
  <c r="E24" i="20" s="1"/>
  <c r="E26" i="20" s="1"/>
  <c r="K21" i="20"/>
  <c r="K24" i="20" s="1"/>
  <c r="J12" i="1"/>
  <c r="J15" i="1" s="1"/>
  <c r="P88" i="49"/>
  <c r="T108" i="51"/>
  <c r="V90" i="51"/>
  <c r="V108" i="51" s="1"/>
  <c r="F114" i="33"/>
  <c r="E116" i="33"/>
  <c r="KS2" i="52"/>
  <c r="AJC2" i="52"/>
  <c r="AB114" i="40"/>
  <c r="AA116" i="40"/>
  <c r="G54" i="22"/>
  <c r="G102" i="22" s="1"/>
  <c r="G26" i="11"/>
  <c r="K26" i="11" s="1"/>
  <c r="D17" i="19"/>
  <c r="AP98" i="41"/>
  <c r="AP100" i="41"/>
  <c r="C85" i="10"/>
  <c r="D59" i="10" s="1"/>
  <c r="D95" i="10" s="1"/>
  <c r="D103" i="10" s="1"/>
  <c r="C83" i="10"/>
  <c r="K5" i="11"/>
  <c r="K7" i="12"/>
  <c r="P86" i="40"/>
  <c r="P97" i="40" s="1"/>
  <c r="P102" i="40" s="1"/>
  <c r="BBS2" i="52"/>
  <c r="K55" i="22"/>
  <c r="P86" i="41"/>
  <c r="P97" i="41" s="1"/>
  <c r="P102" i="41" s="1"/>
  <c r="G49" i="9"/>
  <c r="G57" i="9" s="1"/>
  <c r="K57" i="9" s="1"/>
  <c r="E22" i="10"/>
  <c r="E25" i="10" s="1"/>
  <c r="AVS2" i="52"/>
  <c r="K13" i="12"/>
  <c r="C105" i="49"/>
  <c r="C100" i="49"/>
  <c r="C107" i="49" s="1"/>
  <c r="K5" i="9"/>
  <c r="K7" i="9" s="1"/>
  <c r="AJT2" i="52"/>
  <c r="LK2" i="52"/>
  <c r="L71" i="55"/>
  <c r="C98" i="49"/>
  <c r="C103" i="49" s="1"/>
  <c r="G35" i="22"/>
  <c r="K35" i="22" s="1"/>
  <c r="K38" i="22" s="1"/>
  <c r="K87" i="49"/>
  <c r="C84" i="10"/>
  <c r="D50" i="10" s="1"/>
  <c r="AO98" i="41"/>
  <c r="I87" i="49"/>
  <c r="I100" i="49" s="1"/>
  <c r="Q10" i="40"/>
  <c r="O54" i="40" s="1"/>
  <c r="G117" i="12"/>
  <c r="G140" i="12" s="1"/>
  <c r="G56" i="10"/>
  <c r="P87" i="49"/>
  <c r="P98" i="49" s="1"/>
  <c r="P103" i="49" s="1"/>
  <c r="J73" i="55"/>
  <c r="P85" i="46"/>
  <c r="P96" i="46" s="1"/>
  <c r="P101" i="46" s="1"/>
  <c r="N3" i="39"/>
  <c r="D15" i="10"/>
  <c r="AO99" i="41"/>
  <c r="J24" i="7"/>
  <c r="J26" i="7" s="1"/>
  <c r="G86" i="33"/>
  <c r="G97" i="33" s="1"/>
  <c r="G102" i="33" s="1"/>
  <c r="J2" i="7"/>
  <c r="J9" i="7" s="1"/>
  <c r="D47" i="47"/>
  <c r="AT2" i="52" s="1"/>
  <c r="B27" i="1"/>
  <c r="C99" i="33"/>
  <c r="C106" i="33" s="1"/>
  <c r="D48" i="47"/>
  <c r="AU2" i="52" s="1"/>
  <c r="B28" i="1"/>
  <c r="D46" i="47"/>
  <c r="AS2" i="52" s="1"/>
  <c r="B9" i="16"/>
  <c r="B15" i="16" s="1"/>
  <c r="B26" i="1"/>
  <c r="I86" i="33"/>
  <c r="I98" i="33" s="1"/>
  <c r="I104" i="33" s="1"/>
  <c r="B23" i="16"/>
  <c r="B75" i="55" s="1"/>
  <c r="B74" i="55"/>
  <c r="D53" i="47"/>
  <c r="AZ2" i="52" s="1"/>
  <c r="C98" i="33"/>
  <c r="C104" i="33" s="1"/>
  <c r="AN100" i="41"/>
  <c r="I87" i="46"/>
  <c r="D54" i="47"/>
  <c r="BA2" i="52" s="1"/>
  <c r="J14" i="16"/>
  <c r="D50" i="47"/>
  <c r="AW2" i="52" s="1"/>
  <c r="B21" i="16"/>
  <c r="B73" i="55" s="1"/>
  <c r="B30" i="1"/>
  <c r="G87" i="46"/>
  <c r="J62" i="19"/>
  <c r="J64" i="19" s="1"/>
  <c r="B3" i="16"/>
  <c r="J4" i="16"/>
  <c r="H65" i="20"/>
  <c r="H47" i="20"/>
  <c r="H91" i="20" s="1"/>
  <c r="H88" i="20"/>
  <c r="H109" i="20" s="1"/>
  <c r="H61" i="12"/>
  <c r="H117" i="12" s="1"/>
  <c r="H113" i="12"/>
  <c r="H140" i="12" s="1"/>
  <c r="H84" i="12"/>
  <c r="K4" i="1"/>
  <c r="K23" i="1" s="1"/>
  <c r="J4" i="1"/>
  <c r="P89" i="49"/>
  <c r="P90" i="49"/>
  <c r="G66" i="22"/>
  <c r="L77" i="55"/>
  <c r="O59" i="49"/>
  <c r="L73" i="55"/>
  <c r="K55" i="20"/>
  <c r="K58" i="20" s="1"/>
  <c r="D93" i="47"/>
  <c r="CN2" i="52" s="1"/>
  <c r="J5" i="16"/>
  <c r="K88" i="46"/>
  <c r="I88" i="46"/>
  <c r="G88" i="46"/>
  <c r="D100" i="47"/>
  <c r="CU2" i="52" s="1"/>
  <c r="H21" i="16"/>
  <c r="J13" i="16"/>
  <c r="K88" i="41"/>
  <c r="I88" i="41"/>
  <c r="K87" i="33"/>
  <c r="G87" i="33"/>
  <c r="I87" i="33"/>
  <c r="C97" i="46"/>
  <c r="C98" i="46"/>
  <c r="F92" i="55" s="1"/>
  <c r="D774" i="47" s="1"/>
  <c r="BAF2" i="52" s="1"/>
  <c r="K85" i="46"/>
  <c r="H80" i="48" s="1"/>
  <c r="G85" i="46"/>
  <c r="I85" i="46"/>
  <c r="C96" i="46"/>
  <c r="AN98" i="46"/>
  <c r="B77" i="55"/>
  <c r="G94" i="19"/>
  <c r="B71" i="55"/>
  <c r="G68" i="19"/>
  <c r="D340" i="47"/>
  <c r="J40" i="36"/>
  <c r="AKN2" i="52"/>
  <c r="MG2" i="52"/>
  <c r="K19" i="22"/>
  <c r="D145" i="47"/>
  <c r="EN2" i="52" s="1"/>
  <c r="H45" i="12"/>
  <c r="F38" i="16"/>
  <c r="F16" i="30"/>
  <c r="F21" i="30" s="1"/>
  <c r="F25" i="30" s="1"/>
  <c r="D348" i="47" s="1"/>
  <c r="F16" i="31"/>
  <c r="F21" i="31" s="1"/>
  <c r="F25" i="31" s="1"/>
  <c r="D334" i="47"/>
  <c r="J33" i="36"/>
  <c r="H98" i="12"/>
  <c r="F36" i="36"/>
  <c r="F42" i="36" s="1"/>
  <c r="J13" i="39"/>
  <c r="H84" i="9"/>
  <c r="F42" i="16"/>
  <c r="P87" i="51"/>
  <c r="N45" i="48"/>
  <c r="D546" i="47" s="1"/>
  <c r="TY2" i="52" s="1"/>
  <c r="N98" i="48"/>
  <c r="N19" i="48"/>
  <c r="N103" i="48"/>
  <c r="N26" i="48"/>
  <c r="N57" i="48"/>
  <c r="N16" i="48"/>
  <c r="N59" i="48"/>
  <c r="N52" i="48"/>
  <c r="N81" i="48"/>
  <c r="N7" i="48"/>
  <c r="N22" i="48"/>
  <c r="N14" i="48"/>
  <c r="N28" i="48"/>
  <c r="D541" i="47" s="1"/>
  <c r="N15" i="48"/>
  <c r="N58" i="48"/>
  <c r="N5" i="48"/>
  <c r="N63" i="48"/>
  <c r="N12" i="48"/>
  <c r="N96" i="48"/>
  <c r="N55" i="48"/>
  <c r="N34" i="48"/>
  <c r="N41" i="48"/>
  <c r="D538" i="47" s="1"/>
  <c r="N20" i="48"/>
  <c r="D540" i="47" s="1"/>
  <c r="N107" i="48"/>
  <c r="N104" i="48"/>
  <c r="N46" i="48"/>
  <c r="N82" i="48"/>
  <c r="N106" i="48"/>
  <c r="N10" i="48"/>
  <c r="N65" i="48"/>
  <c r="N44" i="48"/>
  <c r="N72" i="48" s="1"/>
  <c r="N62" i="48"/>
  <c r="N18" i="48"/>
  <c r="N67" i="48"/>
  <c r="N8" i="48"/>
  <c r="N51" i="48"/>
  <c r="N74" i="48" s="1"/>
  <c r="N89" i="48"/>
  <c r="N49" i="48"/>
  <c r="D547" i="47" s="1"/>
  <c r="N23" i="48"/>
  <c r="N37" i="48"/>
  <c r="D542" i="47" s="1"/>
  <c r="N9" i="48"/>
  <c r="N109" i="48"/>
  <c r="N48" i="48"/>
  <c r="N50" i="48"/>
  <c r="N105" i="48"/>
  <c r="N24" i="48"/>
  <c r="N32" i="48"/>
  <c r="N101" i="48"/>
  <c r="N83" i="48"/>
  <c r="N31" i="48"/>
  <c r="N43" i="48"/>
  <c r="N30" i="48"/>
  <c r="O71" i="48"/>
  <c r="D833" i="47" s="1"/>
  <c r="N29" i="48"/>
  <c r="N42" i="48"/>
  <c r="N17" i="48"/>
  <c r="N36" i="48"/>
  <c r="N40" i="48"/>
  <c r="N38" i="48"/>
  <c r="D543" i="47" s="1"/>
  <c r="N110" i="48"/>
  <c r="N47" i="48"/>
  <c r="N87" i="48"/>
  <c r="N111" i="48"/>
  <c r="N64" i="48"/>
  <c r="N61" i="48"/>
  <c r="N33" i="48"/>
  <c r="N85" i="48"/>
  <c r="N39" i="48"/>
  <c r="D544" i="47" s="1"/>
  <c r="N13" i="48"/>
  <c r="N21" i="48"/>
  <c r="N66" i="48"/>
  <c r="N56" i="48"/>
  <c r="N27" i="48"/>
  <c r="N60" i="48"/>
  <c r="N108" i="48"/>
  <c r="N35" i="48"/>
  <c r="N54" i="48"/>
  <c r="N25" i="48"/>
  <c r="N53" i="48"/>
  <c r="N94" i="48"/>
  <c r="N6" i="48"/>
  <c r="N11" i="48"/>
  <c r="H99" i="12"/>
  <c r="J14" i="39"/>
  <c r="J34" i="36"/>
  <c r="D335" i="47"/>
  <c r="K5" i="22"/>
  <c r="K8" i="22" s="1"/>
  <c r="T86" i="46"/>
  <c r="R86" i="46"/>
  <c r="V86" i="46"/>
  <c r="N35" i="55"/>
  <c r="V106" i="55"/>
  <c r="V43" i="55"/>
  <c r="V59" i="55"/>
  <c r="N54" i="55"/>
  <c r="V40" i="55"/>
  <c r="V108" i="55"/>
  <c r="N55" i="55"/>
  <c r="N31" i="55"/>
  <c r="N58" i="55"/>
  <c r="N33" i="55"/>
  <c r="O71" i="55"/>
  <c r="V61" i="55"/>
  <c r="N87" i="55"/>
  <c r="N81" i="55"/>
  <c r="V56" i="55"/>
  <c r="V32" i="55"/>
  <c r="N94" i="55"/>
  <c r="N8" i="55"/>
  <c r="N36" i="55"/>
  <c r="V46" i="55"/>
  <c r="N57" i="55"/>
  <c r="V62" i="55"/>
  <c r="V50" i="55"/>
  <c r="V87" i="55"/>
  <c r="N104" i="55"/>
  <c r="N38" i="55"/>
  <c r="V38" i="55"/>
  <c r="N26" i="55"/>
  <c r="N60" i="55"/>
  <c r="V5" i="55"/>
  <c r="V15" i="55"/>
  <c r="N52" i="55"/>
  <c r="N13" i="55"/>
  <c r="N42" i="55"/>
  <c r="N85" i="55"/>
  <c r="N80" i="55"/>
  <c r="N107" i="55"/>
  <c r="V57" i="55"/>
  <c r="V58" i="55"/>
  <c r="V92" i="55"/>
  <c r="D798" i="47" s="1"/>
  <c r="N16" i="55"/>
  <c r="V52" i="55"/>
  <c r="N15" i="55"/>
  <c r="N56" i="55"/>
  <c r="N30" i="55"/>
  <c r="V13" i="55"/>
  <c r="N6" i="55"/>
  <c r="N64" i="55"/>
  <c r="N28" i="55"/>
  <c r="N59" i="55"/>
  <c r="N66" i="55"/>
  <c r="N47" i="55"/>
  <c r="N50" i="55"/>
  <c r="V12" i="55"/>
  <c r="V27" i="55"/>
  <c r="V107" i="55"/>
  <c r="V17" i="55"/>
  <c r="V111" i="55"/>
  <c r="N20" i="55"/>
  <c r="V10" i="55"/>
  <c r="V110" i="55"/>
  <c r="V80" i="55"/>
  <c r="V47" i="55"/>
  <c r="V83" i="55"/>
  <c r="N48" i="55"/>
  <c r="V8" i="55"/>
  <c r="V37" i="55"/>
  <c r="V20" i="55"/>
  <c r="N89" i="55"/>
  <c r="N83" i="55"/>
  <c r="V55" i="55"/>
  <c r="V60" i="55"/>
  <c r="N22" i="55"/>
  <c r="N106" i="55"/>
  <c r="N37" i="55"/>
  <c r="V29" i="55"/>
  <c r="V36" i="55"/>
  <c r="N40" i="55"/>
  <c r="V94" i="55"/>
  <c r="V104" i="55"/>
  <c r="V16" i="55"/>
  <c r="N24" i="55"/>
  <c r="V53" i="55"/>
  <c r="N41" i="55"/>
  <c r="N45" i="55"/>
  <c r="N21" i="55"/>
  <c r="N25" i="55"/>
  <c r="V63" i="55"/>
  <c r="V35" i="55"/>
  <c r="N7" i="55"/>
  <c r="N23" i="55"/>
  <c r="V22" i="55"/>
  <c r="V28" i="55"/>
  <c r="V41" i="55"/>
  <c r="N46" i="55"/>
  <c r="V82" i="55"/>
  <c r="V66" i="55"/>
  <c r="N29" i="55"/>
  <c r="N19" i="55"/>
  <c r="V67" i="55"/>
  <c r="N39" i="55"/>
  <c r="V25" i="55"/>
  <c r="V11" i="55"/>
  <c r="N11" i="55"/>
  <c r="V45" i="55"/>
  <c r="N101" i="55"/>
  <c r="N108" i="55"/>
  <c r="V7" i="55"/>
  <c r="V65" i="55"/>
  <c r="N5" i="55"/>
  <c r="N32" i="55"/>
  <c r="N10" i="55"/>
  <c r="N27" i="55"/>
  <c r="V42" i="55"/>
  <c r="V31" i="55"/>
  <c r="N62" i="55"/>
  <c r="N14" i="55"/>
  <c r="N98" i="55"/>
  <c r="V54" i="55"/>
  <c r="N51" i="55"/>
  <c r="N74" i="55" s="1"/>
  <c r="V14" i="55"/>
  <c r="V98" i="55"/>
  <c r="N34" i="55"/>
  <c r="V23" i="55"/>
  <c r="N109" i="55"/>
  <c r="V51" i="55"/>
  <c r="V74" i="55" s="1"/>
  <c r="N43" i="55"/>
  <c r="V34" i="55"/>
  <c r="V33" i="55"/>
  <c r="V39" i="55"/>
  <c r="N110" i="55"/>
  <c r="N12" i="55"/>
  <c r="V64" i="55"/>
  <c r="V21" i="55"/>
  <c r="V18" i="55"/>
  <c r="N9" i="55"/>
  <c r="V89" i="55"/>
  <c r="V109" i="55"/>
  <c r="V19" i="55"/>
  <c r="N105" i="55"/>
  <c r="V48" i="55"/>
  <c r="N65" i="55"/>
  <c r="N17" i="55"/>
  <c r="V6" i="55"/>
  <c r="V24" i="55"/>
  <c r="N53" i="55"/>
  <c r="V85" i="55"/>
  <c r="V105" i="55"/>
  <c r="V101" i="55"/>
  <c r="N103" i="55"/>
  <c r="N111" i="55"/>
  <c r="N67" i="55"/>
  <c r="V103" i="55"/>
  <c r="N96" i="55"/>
  <c r="V81" i="55"/>
  <c r="V26" i="55"/>
  <c r="V30" i="55"/>
  <c r="V96" i="55"/>
  <c r="N18" i="55"/>
  <c r="N63" i="55"/>
  <c r="N82" i="55"/>
  <c r="V9" i="55"/>
  <c r="N61" i="55"/>
  <c r="I58" i="10"/>
  <c r="I102" i="10" s="1"/>
  <c r="J35" i="36"/>
  <c r="D336" i="47"/>
  <c r="H100" i="12"/>
  <c r="J15" i="39"/>
  <c r="J30" i="36"/>
  <c r="H107" i="12"/>
  <c r="J31" i="36"/>
  <c r="F52" i="36"/>
  <c r="G23" i="9"/>
  <c r="K23" i="9" s="1"/>
  <c r="G13" i="9"/>
  <c r="K13" i="9" s="1"/>
  <c r="K15" i="9" s="1"/>
  <c r="D338" i="47"/>
  <c r="J17" i="39"/>
  <c r="F48" i="36"/>
  <c r="J37" i="36"/>
  <c r="H102" i="12"/>
  <c r="F50" i="36"/>
  <c r="J50" i="36" s="1"/>
  <c r="J49" i="36"/>
  <c r="H109" i="12"/>
  <c r="P6" i="39"/>
  <c r="D341" i="47"/>
  <c r="MB2" i="52" s="1"/>
  <c r="J41" i="36"/>
  <c r="J16" i="19"/>
  <c r="J18" i="19" s="1"/>
  <c r="J17" i="19"/>
  <c r="H102" i="9"/>
  <c r="K102" i="9" s="1"/>
  <c r="H58" i="9"/>
  <c r="K58" i="9" s="1"/>
  <c r="J71" i="24"/>
  <c r="J74" i="24" s="1"/>
  <c r="D333" i="47"/>
  <c r="J32" i="36"/>
  <c r="H40" i="9"/>
  <c r="H42" i="9" s="1"/>
  <c r="I40" i="9" s="1"/>
  <c r="P88" i="51"/>
  <c r="J71" i="55"/>
  <c r="J23" i="18"/>
  <c r="K23" i="18" s="1"/>
  <c r="G23" i="18"/>
  <c r="ARE2" i="52"/>
  <c r="TI2" i="52"/>
  <c r="H53" i="18"/>
  <c r="H45" i="18" s="1"/>
  <c r="K45" i="18" s="1"/>
  <c r="H42" i="18"/>
  <c r="J108" i="19"/>
  <c r="H8" i="18"/>
  <c r="K8" i="18" s="1"/>
  <c r="H34" i="18"/>
  <c r="H26" i="18" s="1"/>
  <c r="K26" i="18" s="1"/>
  <c r="J5" i="18"/>
  <c r="K5" i="18" s="1"/>
  <c r="K7" i="18" s="1"/>
  <c r="G5" i="18"/>
  <c r="G72" i="1"/>
  <c r="J37" i="1"/>
  <c r="AQJ2" i="52"/>
  <c r="SL2" i="52"/>
  <c r="SP2" i="52"/>
  <c r="AJJ2" i="52"/>
  <c r="LA2" i="52"/>
  <c r="SK2" i="52"/>
  <c r="AN99" i="46"/>
  <c r="AO86" i="46"/>
  <c r="AP86" i="46"/>
  <c r="BCI2" i="52"/>
  <c r="AES2" i="52"/>
  <c r="A16" i="11"/>
  <c r="E16" i="11" s="1"/>
  <c r="E5" i="11"/>
  <c r="K86" i="40"/>
  <c r="C97" i="40"/>
  <c r="C98" i="40"/>
  <c r="C99" i="40"/>
  <c r="B58" i="9"/>
  <c r="E58" i="9" s="1"/>
  <c r="B102" i="9"/>
  <c r="E102" i="9" s="1"/>
  <c r="D15" i="39"/>
  <c r="E5" i="22"/>
  <c r="E8" i="22" s="1"/>
  <c r="D17" i="39"/>
  <c r="B84" i="9"/>
  <c r="B86" i="9" s="1"/>
  <c r="JE2" i="52"/>
  <c r="AHQ2" i="52"/>
  <c r="D13" i="39"/>
  <c r="D14" i="39"/>
  <c r="B40" i="9"/>
  <c r="QT2" i="52"/>
  <c r="AOT2" i="52"/>
  <c r="D80" i="55"/>
  <c r="D240" i="47"/>
  <c r="B15" i="7"/>
  <c r="B15" i="39"/>
  <c r="B9" i="36"/>
  <c r="B101" i="12" s="1"/>
  <c r="B64" i="12" s="1"/>
  <c r="E64" i="12" s="1"/>
  <c r="B13" i="39"/>
  <c r="B13" i="7"/>
  <c r="D238" i="47"/>
  <c r="PT2" i="52"/>
  <c r="ANV2" i="52"/>
  <c r="D237" i="47"/>
  <c r="D242" i="47"/>
  <c r="B21" i="36"/>
  <c r="B17" i="7"/>
  <c r="B17" i="39"/>
  <c r="B23" i="36"/>
  <c r="D244" i="47"/>
  <c r="B65" i="1"/>
  <c r="ALR2" i="52"/>
  <c r="NM2" i="52"/>
  <c r="AOC2" i="52"/>
  <c r="QB2" i="52"/>
  <c r="B63" i="1"/>
  <c r="ANW2" i="52"/>
  <c r="PV2" i="52"/>
  <c r="AHB2" i="52"/>
  <c r="IO2" i="52"/>
  <c r="D239" i="47"/>
  <c r="B14" i="7"/>
  <c r="B25" i="36"/>
  <c r="Q12" i="1"/>
  <c r="P12" i="1"/>
  <c r="P15" i="1" s="1"/>
  <c r="E23" i="19"/>
  <c r="D23" i="19"/>
  <c r="D26" i="19" s="1"/>
  <c r="E12" i="1"/>
  <c r="D12" i="1"/>
  <c r="D15" i="1" s="1"/>
  <c r="D17" i="1" s="1"/>
  <c r="OX2" i="52"/>
  <c r="ANA2" i="52"/>
  <c r="K98" i="33"/>
  <c r="K104" i="33" s="1"/>
  <c r="K99" i="33"/>
  <c r="K106" i="33" s="1"/>
  <c r="K97" i="33"/>
  <c r="K102" i="33" s="1"/>
  <c r="AN102" i="33" s="1"/>
  <c r="Q62" i="12"/>
  <c r="K18" i="22"/>
  <c r="K20" i="22" s="1"/>
  <c r="AE99" i="33"/>
  <c r="AE106" i="33" s="1"/>
  <c r="AE98" i="33"/>
  <c r="AE104" i="33" s="1"/>
  <c r="AE97" i="33"/>
  <c r="AE102" i="33" s="1"/>
  <c r="D18" i="19"/>
  <c r="E38" i="36"/>
  <c r="D323" i="47"/>
  <c r="E36" i="36"/>
  <c r="E35" i="36"/>
  <c r="E34" i="36"/>
  <c r="E33" i="36"/>
  <c r="E37" i="36"/>
  <c r="V98" i="46"/>
  <c r="V96" i="46"/>
  <c r="V97" i="46"/>
  <c r="O72" i="1"/>
  <c r="O50" i="19"/>
  <c r="AL117" i="49"/>
  <c r="AM117" i="49" s="1"/>
  <c r="G102" i="49"/>
  <c r="E104" i="49"/>
  <c r="I102" i="49"/>
  <c r="R105" i="40"/>
  <c r="T105" i="40"/>
  <c r="AE101" i="51"/>
  <c r="AA103" i="51"/>
  <c r="AC101" i="51"/>
  <c r="C45" i="1"/>
  <c r="E37" i="1"/>
  <c r="E58" i="1" s="1"/>
  <c r="T101" i="40"/>
  <c r="R101" i="40"/>
  <c r="P103" i="40"/>
  <c r="R106" i="49"/>
  <c r="T106" i="49"/>
  <c r="Q114" i="40"/>
  <c r="P116" i="40"/>
  <c r="C101" i="9"/>
  <c r="K104" i="46"/>
  <c r="O92" i="10"/>
  <c r="C91" i="20"/>
  <c r="I114" i="22"/>
  <c r="V104" i="46"/>
  <c r="C102" i="22"/>
  <c r="I117" i="12"/>
  <c r="AG100" i="46"/>
  <c r="C92" i="10"/>
  <c r="V105" i="40"/>
  <c r="O112" i="11"/>
  <c r="O91" i="20"/>
  <c r="C41" i="18"/>
  <c r="E41" i="18" s="1"/>
  <c r="K105" i="41"/>
  <c r="V101" i="41"/>
  <c r="I99" i="20"/>
  <c r="K99" i="20" s="1"/>
  <c r="V105" i="41"/>
  <c r="I102" i="22"/>
  <c r="AG106" i="49"/>
  <c r="AG107" i="49" s="1"/>
  <c r="O101" i="11"/>
  <c r="C114" i="22"/>
  <c r="O22" i="18"/>
  <c r="Q22" i="18" s="1"/>
  <c r="O101" i="9"/>
  <c r="I41" i="18"/>
  <c r="K41" i="18" s="1"/>
  <c r="AG105" i="41"/>
  <c r="AG106" i="41" s="1"/>
  <c r="O114" i="22"/>
  <c r="O99" i="20"/>
  <c r="Q99" i="20" s="1"/>
  <c r="V101" i="40"/>
  <c r="AG105" i="51"/>
  <c r="AG106" i="51" s="1"/>
  <c r="C101" i="11"/>
  <c r="AG104" i="46"/>
  <c r="AG105" i="46" s="1"/>
  <c r="O94" i="19"/>
  <c r="AG101" i="51"/>
  <c r="V100" i="46"/>
  <c r="V101" i="51"/>
  <c r="L94" i="48" s="1"/>
  <c r="K105" i="51"/>
  <c r="C99" i="20"/>
  <c r="E99" i="20" s="1"/>
  <c r="O102" i="22"/>
  <c r="K105" i="40"/>
  <c r="V106" i="49"/>
  <c r="V105" i="51"/>
  <c r="I22" i="18"/>
  <c r="K22" i="18" s="1"/>
  <c r="O122" i="22"/>
  <c r="K102" i="49"/>
  <c r="C112" i="11"/>
  <c r="O41" i="18"/>
  <c r="Q41" i="18" s="1"/>
  <c r="Q44" i="18" s="1"/>
  <c r="O100" i="10"/>
  <c r="I94" i="19"/>
  <c r="C22" i="18"/>
  <c r="E22" i="18" s="1"/>
  <c r="O117" i="12"/>
  <c r="I91" i="20"/>
  <c r="C122" i="22"/>
  <c r="K106" i="49"/>
  <c r="B98" i="48" s="1"/>
  <c r="I92" i="10"/>
  <c r="I122" i="22"/>
  <c r="C72" i="1"/>
  <c r="C117" i="12"/>
  <c r="I112" i="11"/>
  <c r="C100" i="10"/>
  <c r="AG102" i="49"/>
  <c r="C93" i="9"/>
  <c r="I100" i="10"/>
  <c r="I110" i="10" s="1"/>
  <c r="I101" i="11"/>
  <c r="AG101" i="41"/>
  <c r="AG105" i="40"/>
  <c r="AG106" i="40" s="1"/>
  <c r="K100" i="46"/>
  <c r="H94" i="48" s="1"/>
  <c r="V102" i="49"/>
  <c r="J94" i="48" s="1"/>
  <c r="I101" i="9"/>
  <c r="C94" i="19"/>
  <c r="O93" i="9"/>
  <c r="I93" i="9"/>
  <c r="K101" i="51"/>
  <c r="AG101" i="40"/>
  <c r="AC104" i="46"/>
  <c r="AE104" i="46"/>
  <c r="AE105" i="46" s="1"/>
  <c r="D26" i="39"/>
  <c r="I74" i="11"/>
  <c r="AC106" i="49"/>
  <c r="AC107" i="49" s="1"/>
  <c r="AE106" i="49"/>
  <c r="AE107" i="49" s="1"/>
  <c r="G105" i="40"/>
  <c r="I105" i="40"/>
  <c r="I105" i="41"/>
  <c r="G105" i="41"/>
  <c r="AC102" i="49"/>
  <c r="AE102" i="49"/>
  <c r="AA104" i="49"/>
  <c r="C103" i="40"/>
  <c r="D96" i="55" s="1"/>
  <c r="R101" i="41"/>
  <c r="T101" i="41"/>
  <c r="P103" i="41"/>
  <c r="G106" i="49"/>
  <c r="I106" i="49"/>
  <c r="B26" i="39"/>
  <c r="T104" i="46"/>
  <c r="R104" i="46"/>
  <c r="F26" i="39"/>
  <c r="K101" i="40"/>
  <c r="D94" i="48" s="1"/>
  <c r="J9" i="30"/>
  <c r="AA98" i="51"/>
  <c r="T101" i="51"/>
  <c r="R101" i="51"/>
  <c r="P103" i="51"/>
  <c r="P104" i="51" s="1"/>
  <c r="T100" i="46"/>
  <c r="R100" i="46"/>
  <c r="P102" i="46"/>
  <c r="T105" i="51"/>
  <c r="R105" i="51"/>
  <c r="I67" i="9"/>
  <c r="R105" i="41"/>
  <c r="T105" i="41"/>
  <c r="C68" i="19"/>
  <c r="G101" i="40"/>
  <c r="I101" i="40"/>
  <c r="E103" i="40"/>
  <c r="ASE2" i="52"/>
  <c r="UJ2" i="52"/>
  <c r="AC105" i="40"/>
  <c r="AC106" i="40" s="1"/>
  <c r="AE105" i="40"/>
  <c r="AE106" i="40" s="1"/>
  <c r="J26" i="39"/>
  <c r="I65" i="20"/>
  <c r="O67" i="9"/>
  <c r="R102" i="49"/>
  <c r="P104" i="49"/>
  <c r="T102" i="49"/>
  <c r="C84" i="12"/>
  <c r="E61" i="12"/>
  <c r="AL115" i="46"/>
  <c r="AM115" i="46" s="1"/>
  <c r="I105" i="51"/>
  <c r="G105" i="51"/>
  <c r="E106" i="51"/>
  <c r="E102" i="46"/>
  <c r="G100" i="46"/>
  <c r="I100" i="46"/>
  <c r="P28" i="39"/>
  <c r="N26" i="39"/>
  <c r="AAB2" i="52"/>
  <c r="AXR2" i="52"/>
  <c r="O84" i="12"/>
  <c r="AC101" i="41"/>
  <c r="AE101" i="41"/>
  <c r="AA103" i="41"/>
  <c r="AC101" i="40"/>
  <c r="AA103" i="40"/>
  <c r="AE101" i="40"/>
  <c r="G101" i="41"/>
  <c r="I101" i="41"/>
  <c r="E103" i="41"/>
  <c r="O74" i="11"/>
  <c r="AC105" i="41"/>
  <c r="AC106" i="41" s="1"/>
  <c r="AE105" i="41"/>
  <c r="AE106" i="41" s="1"/>
  <c r="C65" i="20"/>
  <c r="E47" i="20"/>
  <c r="I84" i="12"/>
  <c r="H26" i="39"/>
  <c r="I72" i="1"/>
  <c r="I50" i="19"/>
  <c r="D81" i="47"/>
  <c r="CB2" i="52" s="1"/>
  <c r="F11" i="16"/>
  <c r="F19" i="16"/>
  <c r="F15" i="16"/>
  <c r="C103" i="41"/>
  <c r="F96" i="55" s="1"/>
  <c r="G101" i="51"/>
  <c r="I101" i="51"/>
  <c r="E103" i="51"/>
  <c r="C66" i="10"/>
  <c r="AA102" i="46"/>
  <c r="AE100" i="46"/>
  <c r="AC100" i="46"/>
  <c r="C84" i="22"/>
  <c r="G104" i="46"/>
  <c r="I104" i="46"/>
  <c r="C67" i="9"/>
  <c r="AA106" i="51"/>
  <c r="AC105" i="51"/>
  <c r="AE105" i="51"/>
  <c r="D42" i="47"/>
  <c r="AO2" i="52" s="1"/>
  <c r="C33" i="24"/>
  <c r="J3" i="7" s="1"/>
  <c r="AA116" i="51"/>
  <c r="AB114" i="51"/>
  <c r="E62" i="12"/>
  <c r="AZM2" i="52"/>
  <c r="ABZ2" i="52"/>
  <c r="SM2" i="52" l="1"/>
  <c r="J77" i="48"/>
  <c r="F25" i="36"/>
  <c r="TD2" i="52"/>
  <c r="D270" i="47"/>
  <c r="AHU2" i="52" s="1"/>
  <c r="AQG2" i="52"/>
  <c r="P73" i="55"/>
  <c r="F9" i="36"/>
  <c r="F15" i="36" s="1"/>
  <c r="JH2" i="52"/>
  <c r="J73" i="48"/>
  <c r="P76" i="48"/>
  <c r="P78" i="48" s="1"/>
  <c r="D822" i="47" s="1"/>
  <c r="BCB2" i="52" s="1"/>
  <c r="F17" i="7"/>
  <c r="F23" i="7" s="1"/>
  <c r="F29" i="7" s="1"/>
  <c r="F76" i="48"/>
  <c r="F78" i="48" s="1"/>
  <c r="D817" i="47" s="1"/>
  <c r="BBW2" i="52" s="1"/>
  <c r="F21" i="36"/>
  <c r="JM2" i="52"/>
  <c r="F14" i="7"/>
  <c r="D271" i="47"/>
  <c r="AHV2" i="52" s="1"/>
  <c r="Q74" i="55"/>
  <c r="AQS2" i="52"/>
  <c r="AIA2" i="52"/>
  <c r="D272" i="47"/>
  <c r="AHW2" i="52" s="1"/>
  <c r="TH2" i="52"/>
  <c r="P71" i="55"/>
  <c r="SG2" i="52"/>
  <c r="D509" i="47"/>
  <c r="AQL2" i="52" s="1"/>
  <c r="P77" i="55"/>
  <c r="F77" i="55"/>
  <c r="K15" i="10"/>
  <c r="BAT2" i="52"/>
  <c r="ADE2" i="52"/>
  <c r="ADF2" i="52"/>
  <c r="ADP2" i="52"/>
  <c r="V76" i="48"/>
  <c r="V78" i="48" s="1"/>
  <c r="D825" i="47" s="1"/>
  <c r="BCE2" i="52" s="1"/>
  <c r="SZ2" i="52"/>
  <c r="T77" i="55"/>
  <c r="ADY2" i="52"/>
  <c r="APD2" i="52"/>
  <c r="X71" i="55"/>
  <c r="TC2" i="52"/>
  <c r="L75" i="48"/>
  <c r="AQH2" i="52"/>
  <c r="X77" i="55"/>
  <c r="X76" i="48"/>
  <c r="X78" i="48" s="1"/>
  <c r="D826" i="47" s="1"/>
  <c r="F71" i="55"/>
  <c r="B19" i="16"/>
  <c r="B19" i="36"/>
  <c r="B15" i="36"/>
  <c r="X73" i="55"/>
  <c r="AUJ2" i="52"/>
  <c r="AQX2" i="52"/>
  <c r="D802" i="47"/>
  <c r="BBH2" i="52" s="1"/>
  <c r="L69" i="48"/>
  <c r="M74" i="48" s="1"/>
  <c r="D808" i="47"/>
  <c r="ADX2" i="52" s="1"/>
  <c r="Y74" i="55"/>
  <c r="ARB2" i="52"/>
  <c r="J71" i="48"/>
  <c r="AQV2" i="52"/>
  <c r="L77" i="48"/>
  <c r="K40" i="22"/>
  <c r="K39" i="22"/>
  <c r="K41" i="22" s="1"/>
  <c r="AEV2" i="52"/>
  <c r="ADQ2" i="52"/>
  <c r="BBI2" i="52"/>
  <c r="ADS2" i="52"/>
  <c r="J69" i="48"/>
  <c r="K74" i="48" s="1"/>
  <c r="TF2" i="52"/>
  <c r="L73" i="48"/>
  <c r="L71" i="48"/>
  <c r="BCK2" i="52"/>
  <c r="TB2" i="52"/>
  <c r="T76" i="48"/>
  <c r="T78" i="48" s="1"/>
  <c r="D824" i="47" s="1"/>
  <c r="AEN2" i="52" s="1"/>
  <c r="BBA2" i="52"/>
  <c r="T71" i="55"/>
  <c r="ADL2" i="52"/>
  <c r="D81" i="55"/>
  <c r="B81" i="55"/>
  <c r="U74" i="55"/>
  <c r="ADJ2" i="52"/>
  <c r="VX2" i="52"/>
  <c r="AP82" i="49"/>
  <c r="T73" i="55"/>
  <c r="QH2" i="52"/>
  <c r="AL82" i="49"/>
  <c r="H100" i="10"/>
  <c r="K92" i="10"/>
  <c r="K93" i="10" s="1"/>
  <c r="K96" i="10" s="1"/>
  <c r="AQB2" i="52"/>
  <c r="AC83" i="41"/>
  <c r="RU2" i="52"/>
  <c r="AN82" i="49"/>
  <c r="J4" i="36"/>
  <c r="D17" i="7"/>
  <c r="D23" i="7" s="1"/>
  <c r="D29" i="7" s="1"/>
  <c r="AE83" i="41"/>
  <c r="K71" i="10"/>
  <c r="K70" i="10"/>
  <c r="K73" i="10" s="1"/>
  <c r="H91" i="11"/>
  <c r="H102" i="11" s="1"/>
  <c r="K102" i="11" s="1"/>
  <c r="J91" i="55"/>
  <c r="D781" i="47" s="1"/>
  <c r="BAM2" i="52" s="1"/>
  <c r="J92" i="55"/>
  <c r="D780" i="47" s="1"/>
  <c r="BAL2" i="52" s="1"/>
  <c r="B46" i="16"/>
  <c r="H43" i="11"/>
  <c r="B14" i="39"/>
  <c r="B16" i="39" s="1"/>
  <c r="AOJ2" i="52"/>
  <c r="H16" i="31"/>
  <c r="H21" i="31" s="1"/>
  <c r="H25" i="31" s="1"/>
  <c r="D428" i="47" s="1"/>
  <c r="H38" i="16"/>
  <c r="H18" i="31" s="1"/>
  <c r="I15" i="31" s="1"/>
  <c r="J52" i="16"/>
  <c r="H16" i="30"/>
  <c r="H21" i="30" s="1"/>
  <c r="H25" i="30" s="1"/>
  <c r="D364" i="47" s="1"/>
  <c r="H46" i="16"/>
  <c r="D161" i="47"/>
  <c r="FD2" i="52" s="1"/>
  <c r="D90" i="55"/>
  <c r="D770" i="47" s="1"/>
  <c r="BAB2" i="52" s="1"/>
  <c r="K99" i="51"/>
  <c r="K106" i="51" s="1"/>
  <c r="K98" i="51"/>
  <c r="F13" i="39"/>
  <c r="P13" i="39" s="1"/>
  <c r="D15" i="7"/>
  <c r="F15" i="39"/>
  <c r="I97" i="51"/>
  <c r="I102" i="51" s="1"/>
  <c r="I98" i="51"/>
  <c r="V97" i="40"/>
  <c r="V102" i="40" s="1"/>
  <c r="G106" i="51"/>
  <c r="B94" i="48"/>
  <c r="B110" i="10"/>
  <c r="J48" i="16"/>
  <c r="V99" i="40"/>
  <c r="V106" i="40" s="1"/>
  <c r="B52" i="18"/>
  <c r="B8" i="18"/>
  <c r="E8" i="18" s="1"/>
  <c r="S8" i="18" s="1"/>
  <c r="B43" i="11"/>
  <c r="B45" i="11" s="1"/>
  <c r="C42" i="11" s="1"/>
  <c r="B45" i="12"/>
  <c r="B70" i="12"/>
  <c r="B126" i="12" s="1"/>
  <c r="E126" i="12" s="1"/>
  <c r="B6" i="12"/>
  <c r="B54" i="12"/>
  <c r="B14" i="12" s="1"/>
  <c r="E14" i="12" s="1"/>
  <c r="S14" i="12" s="1"/>
  <c r="E6" i="20"/>
  <c r="B100" i="10"/>
  <c r="E100" i="10" s="1"/>
  <c r="E65" i="20"/>
  <c r="E68" i="20" s="1"/>
  <c r="E69" i="20" s="1"/>
  <c r="E72" i="20" s="1"/>
  <c r="BCH2" i="52"/>
  <c r="U52" i="39"/>
  <c r="E17" i="20"/>
  <c r="E5" i="20"/>
  <c r="E8" i="20" s="1"/>
  <c r="J14" i="36"/>
  <c r="D75" i="48"/>
  <c r="E104" i="51"/>
  <c r="Q70" i="20"/>
  <c r="Q71" i="20"/>
  <c r="AHL2" i="52"/>
  <c r="N94" i="19"/>
  <c r="P94" i="19" s="1"/>
  <c r="AIU2" i="52"/>
  <c r="QN2" i="52"/>
  <c r="D256" i="47"/>
  <c r="AHH2" i="52" s="1"/>
  <c r="D305" i="47"/>
  <c r="AJB2" i="52" s="1"/>
  <c r="J8" i="36"/>
  <c r="J15" i="7" s="1"/>
  <c r="D25" i="36"/>
  <c r="IL2" i="52"/>
  <c r="R106" i="40"/>
  <c r="R97" i="40"/>
  <c r="R102" i="40" s="1"/>
  <c r="R98" i="40"/>
  <c r="T97" i="40"/>
  <c r="T102" i="40" s="1"/>
  <c r="T98" i="40"/>
  <c r="T106" i="40"/>
  <c r="D353" i="47"/>
  <c r="AKU2" i="52" s="1"/>
  <c r="Q13" i="10"/>
  <c r="Q16" i="10" s="1"/>
  <c r="Q53" i="11"/>
  <c r="Q56" i="11" s="1"/>
  <c r="Q58" i="11" s="1"/>
  <c r="M101" i="11"/>
  <c r="M122" i="11" s="1"/>
  <c r="M74" i="11"/>
  <c r="Q74" i="11" s="1"/>
  <c r="H38" i="36"/>
  <c r="I35" i="36" s="1"/>
  <c r="AHN2" i="52"/>
  <c r="D71" i="55"/>
  <c r="D77" i="55"/>
  <c r="E98" i="46"/>
  <c r="E105" i="46" s="1"/>
  <c r="E96" i="46"/>
  <c r="E101" i="46" s="1"/>
  <c r="D21" i="36"/>
  <c r="Q47" i="20"/>
  <c r="O77" i="20" s="1"/>
  <c r="Q77" i="20" s="1"/>
  <c r="H46" i="36"/>
  <c r="D13" i="7"/>
  <c r="Q49" i="9"/>
  <c r="Q51" i="9" s="1"/>
  <c r="J48" i="36"/>
  <c r="D177" i="47"/>
  <c r="FT2" i="52" s="1"/>
  <c r="KX2" i="52"/>
  <c r="D9" i="36"/>
  <c r="D15" i="36" s="1"/>
  <c r="D258" i="47"/>
  <c r="AHJ2" i="52" s="1"/>
  <c r="B69" i="16"/>
  <c r="D255" i="47"/>
  <c r="AHG2" i="52" s="1"/>
  <c r="D14" i="7"/>
  <c r="E103" i="46"/>
  <c r="J23" i="31"/>
  <c r="J29" i="31" s="1"/>
  <c r="A101" i="11"/>
  <c r="A112" i="11" s="1"/>
  <c r="E112" i="11" s="1"/>
  <c r="F113" i="11" s="1"/>
  <c r="QG2" i="52"/>
  <c r="AOF2" i="52"/>
  <c r="J3" i="36"/>
  <c r="QK2" i="52"/>
  <c r="E18" i="11"/>
  <c r="E20" i="11" s="1"/>
  <c r="D61" i="19"/>
  <c r="D63" i="19" s="1"/>
  <c r="E53" i="11"/>
  <c r="F54" i="11" s="1"/>
  <c r="D60" i="49"/>
  <c r="D26" i="49"/>
  <c r="D37" i="1"/>
  <c r="D39" i="1" s="1"/>
  <c r="A74" i="11"/>
  <c r="E74" i="11" s="1"/>
  <c r="JR2" i="52"/>
  <c r="F80" i="48"/>
  <c r="F91" i="55"/>
  <c r="D775" i="47" s="1"/>
  <c r="ACQ2" i="52" s="1"/>
  <c r="F90" i="55"/>
  <c r="D773" i="47" s="1"/>
  <c r="ACO2" i="52" s="1"/>
  <c r="D82" i="48"/>
  <c r="F82" i="48"/>
  <c r="D69" i="48"/>
  <c r="E74" i="48" s="1"/>
  <c r="AOK2" i="52"/>
  <c r="D73" i="48"/>
  <c r="D455" i="47"/>
  <c r="AOM2" i="52" s="1"/>
  <c r="D77" i="48"/>
  <c r="D71" i="48"/>
  <c r="SQ2" i="52"/>
  <c r="AB57" i="49"/>
  <c r="B23" i="18"/>
  <c r="A23" i="18" s="1"/>
  <c r="I61" i="36"/>
  <c r="I60" i="36"/>
  <c r="YE2" i="52"/>
  <c r="AVU2" i="52"/>
  <c r="AZX2" i="52"/>
  <c r="ABR2" i="52"/>
  <c r="D5" i="18"/>
  <c r="E5" i="18" s="1"/>
  <c r="E7" i="18" s="1"/>
  <c r="B34" i="18"/>
  <c r="B26" i="18" s="1"/>
  <c r="E26" i="18" s="1"/>
  <c r="D34" i="49"/>
  <c r="D38" i="49"/>
  <c r="D53" i="49"/>
  <c r="B42" i="18"/>
  <c r="B53" i="18"/>
  <c r="F31" i="49"/>
  <c r="H31" i="49" s="1"/>
  <c r="J31" i="49" s="1"/>
  <c r="L31" i="49" s="1"/>
  <c r="F37" i="49"/>
  <c r="H37" i="49" s="1"/>
  <c r="J37" i="49" s="1"/>
  <c r="L37" i="49" s="1"/>
  <c r="F29" i="49"/>
  <c r="H29" i="49" s="1"/>
  <c r="J29" i="49" s="1"/>
  <c r="L29" i="49" s="1"/>
  <c r="H57" i="49"/>
  <c r="B42" i="36"/>
  <c r="J42" i="36" s="1"/>
  <c r="H94" i="19"/>
  <c r="J94" i="19" s="1"/>
  <c r="B46" i="36"/>
  <c r="J90" i="55"/>
  <c r="D779" i="47" s="1"/>
  <c r="BAK2" i="52" s="1"/>
  <c r="B38" i="36"/>
  <c r="H66" i="1" s="1"/>
  <c r="F58" i="49"/>
  <c r="H58" i="49" s="1"/>
  <c r="J58" i="49" s="1"/>
  <c r="L58" i="49" s="1"/>
  <c r="D39" i="49"/>
  <c r="D36" i="49"/>
  <c r="D46" i="49"/>
  <c r="D43" i="49"/>
  <c r="F38" i="49"/>
  <c r="H38" i="49" s="1"/>
  <c r="J38" i="49" s="1"/>
  <c r="L38" i="49" s="1"/>
  <c r="D42" i="49"/>
  <c r="L57" i="49"/>
  <c r="D54" i="49"/>
  <c r="D33" i="49"/>
  <c r="D27" i="49"/>
  <c r="D30" i="49"/>
  <c r="U57" i="49"/>
  <c r="D29" i="49"/>
  <c r="F47" i="49"/>
  <c r="H47" i="49" s="1"/>
  <c r="J47" i="49" s="1"/>
  <c r="L47" i="49" s="1"/>
  <c r="F34" i="49"/>
  <c r="H34" i="49" s="1"/>
  <c r="J34" i="49" s="1"/>
  <c r="L34" i="49" s="1"/>
  <c r="F26" i="49"/>
  <c r="H26" i="49" s="1"/>
  <c r="J26" i="49" s="1"/>
  <c r="L26" i="49" s="1"/>
  <c r="F30" i="49"/>
  <c r="H30" i="49" s="1"/>
  <c r="J30" i="49" s="1"/>
  <c r="L30" i="49" s="1"/>
  <c r="D37" i="49"/>
  <c r="J57" i="49"/>
  <c r="F35" i="49"/>
  <c r="H35" i="49" s="1"/>
  <c r="J35" i="49" s="1"/>
  <c r="L35" i="49" s="1"/>
  <c r="F57" i="49"/>
  <c r="F45" i="49"/>
  <c r="H45" i="49" s="1"/>
  <c r="J45" i="49" s="1"/>
  <c r="L45" i="49" s="1"/>
  <c r="F36" i="49"/>
  <c r="H36" i="49" s="1"/>
  <c r="J36" i="49" s="1"/>
  <c r="L36" i="49" s="1"/>
  <c r="D35" i="49"/>
  <c r="F27" i="49"/>
  <c r="H27" i="49" s="1"/>
  <c r="J27" i="49" s="1"/>
  <c r="L27" i="49" s="1"/>
  <c r="D59" i="49"/>
  <c r="D48" i="49"/>
  <c r="W57" i="49"/>
  <c r="F39" i="49"/>
  <c r="H39" i="49" s="1"/>
  <c r="J39" i="49" s="1"/>
  <c r="L39" i="49" s="1"/>
  <c r="F28" i="49"/>
  <c r="H28" i="49" s="1"/>
  <c r="J28" i="49" s="1"/>
  <c r="L28" i="49" s="1"/>
  <c r="AH57" i="49"/>
  <c r="D28" i="49"/>
  <c r="O61" i="49"/>
  <c r="Q57" i="49"/>
  <c r="D57" i="49"/>
  <c r="D45" i="49"/>
  <c r="F42" i="49"/>
  <c r="H42" i="49" s="1"/>
  <c r="J42" i="49" s="1"/>
  <c r="L42" i="49" s="1"/>
  <c r="F46" i="49"/>
  <c r="H46" i="49" s="1"/>
  <c r="J46" i="49" s="1"/>
  <c r="L46" i="49" s="1"/>
  <c r="F55" i="49"/>
  <c r="H55" i="49" s="1"/>
  <c r="J55" i="49" s="1"/>
  <c r="L55" i="49" s="1"/>
  <c r="F41" i="49"/>
  <c r="H41" i="49" s="1"/>
  <c r="J41" i="49" s="1"/>
  <c r="L41" i="49" s="1"/>
  <c r="AF57" i="49"/>
  <c r="F44" i="49"/>
  <c r="H44" i="49" s="1"/>
  <c r="J44" i="49" s="1"/>
  <c r="L44" i="49" s="1"/>
  <c r="O60" i="49"/>
  <c r="D31" i="49"/>
  <c r="D55" i="49"/>
  <c r="F48" i="49"/>
  <c r="H48" i="49" s="1"/>
  <c r="J48" i="49" s="1"/>
  <c r="L48" i="49" s="1"/>
  <c r="F43" i="49"/>
  <c r="H43" i="49" s="1"/>
  <c r="J43" i="49" s="1"/>
  <c r="L43" i="49" s="1"/>
  <c r="F33" i="49"/>
  <c r="H33" i="49" s="1"/>
  <c r="J33" i="49" s="1"/>
  <c r="L33" i="49" s="1"/>
  <c r="S57" i="49"/>
  <c r="D61" i="49"/>
  <c r="D44" i="49"/>
  <c r="D58" i="49"/>
  <c r="AD57" i="49"/>
  <c r="D41" i="49"/>
  <c r="D47" i="49"/>
  <c r="B16" i="31"/>
  <c r="B21" i="31" s="1"/>
  <c r="B25" i="31" s="1"/>
  <c r="D188" i="47" s="1"/>
  <c r="GE2" i="52" s="1"/>
  <c r="H29" i="1"/>
  <c r="I63" i="36"/>
  <c r="I65" i="36"/>
  <c r="I62" i="36"/>
  <c r="D417" i="47"/>
  <c r="ANC2" i="52" s="1"/>
  <c r="H73" i="36"/>
  <c r="D424" i="47" s="1"/>
  <c r="PG2" i="52" s="1"/>
  <c r="H69" i="36"/>
  <c r="I64" i="36"/>
  <c r="RR2" i="52"/>
  <c r="AII2" i="52"/>
  <c r="D113" i="47"/>
  <c r="DH2" i="52" s="1"/>
  <c r="B16" i="30"/>
  <c r="B21" i="30" s="1"/>
  <c r="B25" i="30" s="1"/>
  <c r="D316" i="47" s="1"/>
  <c r="B73" i="16"/>
  <c r="D184" i="47" s="1"/>
  <c r="GA2" i="52" s="1"/>
  <c r="B65" i="16"/>
  <c r="C64" i="16" s="1"/>
  <c r="E99" i="41"/>
  <c r="E106" i="41" s="1"/>
  <c r="E97" i="41"/>
  <c r="E102" i="41" s="1"/>
  <c r="AJU2" i="52"/>
  <c r="H69" i="16"/>
  <c r="H73" i="16"/>
  <c r="D232" i="47" s="1"/>
  <c r="HW2" i="52" s="1"/>
  <c r="D225" i="47"/>
  <c r="AGE2" i="52" s="1"/>
  <c r="JA2" i="52"/>
  <c r="B75" i="48"/>
  <c r="B76" i="48" s="1"/>
  <c r="B78" i="48" s="1"/>
  <c r="D815" i="47" s="1"/>
  <c r="AEE2" i="52" s="1"/>
  <c r="H82" i="48"/>
  <c r="B82" i="48"/>
  <c r="OO2" i="52"/>
  <c r="AKY2" i="52"/>
  <c r="IK2" i="52"/>
  <c r="NI2" i="52"/>
  <c r="I63" i="16"/>
  <c r="I60" i="16"/>
  <c r="B42" i="16"/>
  <c r="KW2" i="52"/>
  <c r="HV2" i="52"/>
  <c r="AKJ2" i="52"/>
  <c r="AGI2" i="52"/>
  <c r="G97" i="41"/>
  <c r="G102" i="41" s="1"/>
  <c r="NY2" i="52"/>
  <c r="G99" i="41"/>
  <c r="G106" i="41" s="1"/>
  <c r="JQ2" i="52"/>
  <c r="J10" i="36"/>
  <c r="J17" i="7" s="1"/>
  <c r="J23" i="7" s="1"/>
  <c r="J29" i="7" s="1"/>
  <c r="H17" i="7"/>
  <c r="H23" i="7" s="1"/>
  <c r="H29" i="7" s="1"/>
  <c r="H73" i="48"/>
  <c r="I64" i="16"/>
  <c r="I61" i="16"/>
  <c r="I62" i="16"/>
  <c r="I65" i="16"/>
  <c r="D227" i="47"/>
  <c r="HR2" i="52" s="1"/>
  <c r="P30" i="19"/>
  <c r="E28" i="10"/>
  <c r="E27" i="10"/>
  <c r="E26" i="10"/>
  <c r="E29" i="10" s="1"/>
  <c r="K28" i="10"/>
  <c r="K27" i="10"/>
  <c r="K26" i="10"/>
  <c r="K29" i="10" s="1"/>
  <c r="Q30" i="10"/>
  <c r="J30" i="19"/>
  <c r="D27" i="19"/>
  <c r="D29" i="19" s="1"/>
  <c r="D28" i="19"/>
  <c r="E99" i="40"/>
  <c r="E106" i="40" s="1"/>
  <c r="E50" i="19"/>
  <c r="E79" i="19" s="1"/>
  <c r="I86" i="40"/>
  <c r="I97" i="40" s="1"/>
  <c r="I102" i="40" s="1"/>
  <c r="E54" i="22"/>
  <c r="E57" i="22" s="1"/>
  <c r="Q84" i="12"/>
  <c r="F73" i="16"/>
  <c r="D216" i="47" s="1"/>
  <c r="HG2" i="52" s="1"/>
  <c r="A84" i="22"/>
  <c r="E84" i="22" s="1"/>
  <c r="E87" i="22" s="1"/>
  <c r="G86" i="40"/>
  <c r="G99" i="40" s="1"/>
  <c r="G106" i="40" s="1"/>
  <c r="E98" i="40"/>
  <c r="E104" i="40" s="1"/>
  <c r="B38" i="16"/>
  <c r="C35" i="16" s="1"/>
  <c r="APP2" i="52"/>
  <c r="D7" i="19"/>
  <c r="D9" i="19" s="1"/>
  <c r="Q15" i="20"/>
  <c r="Q14" i="20"/>
  <c r="H77" i="55"/>
  <c r="D73" i="16"/>
  <c r="AOB2" i="52"/>
  <c r="J50" i="16"/>
  <c r="D193" i="47"/>
  <c r="GJ2" i="52" s="1"/>
  <c r="D69" i="16"/>
  <c r="K122" i="9"/>
  <c r="B94" i="19"/>
  <c r="B112" i="19"/>
  <c r="D491" i="47"/>
  <c r="RV2" i="52" s="1"/>
  <c r="I34" i="10"/>
  <c r="K34" i="10" s="1"/>
  <c r="B42" i="39"/>
  <c r="E6" i="10"/>
  <c r="E7" i="10"/>
  <c r="LH2" i="52"/>
  <c r="E66" i="10"/>
  <c r="E69" i="10" s="1"/>
  <c r="Q122" i="9"/>
  <c r="J49" i="1"/>
  <c r="J51" i="1" s="1"/>
  <c r="J50" i="1"/>
  <c r="E27" i="20"/>
  <c r="E25" i="20"/>
  <c r="E28" i="20" s="1"/>
  <c r="Q26" i="20"/>
  <c r="Q25" i="20"/>
  <c r="Q28" i="20" s="1"/>
  <c r="Q27" i="20"/>
  <c r="K27" i="20"/>
  <c r="K26" i="20"/>
  <c r="K25" i="20"/>
  <c r="K28" i="20" s="1"/>
  <c r="C33" i="20"/>
  <c r="E33" i="20" s="1"/>
  <c r="O33" i="20"/>
  <c r="Q33" i="20" s="1"/>
  <c r="D16" i="1"/>
  <c r="D18" i="1" s="1"/>
  <c r="P17" i="1"/>
  <c r="P16" i="1"/>
  <c r="P18" i="1" s="1"/>
  <c r="J16" i="1"/>
  <c r="J18" i="1" s="1"/>
  <c r="J17" i="1"/>
  <c r="K6" i="10"/>
  <c r="J77" i="16"/>
  <c r="D16" i="31"/>
  <c r="D21" i="31" s="1"/>
  <c r="D25" i="31" s="1"/>
  <c r="D204" i="47" s="1"/>
  <c r="GU2" i="52" s="1"/>
  <c r="H69" i="48"/>
  <c r="I74" i="48" s="1"/>
  <c r="ATD2" i="52"/>
  <c r="N23" i="39"/>
  <c r="N29" i="39" s="1"/>
  <c r="J59" i="10"/>
  <c r="J95" i="10" s="1"/>
  <c r="J103" i="10" s="1"/>
  <c r="D46" i="16"/>
  <c r="D42" i="16"/>
  <c r="AFF2" i="52"/>
  <c r="J50" i="10"/>
  <c r="K50" i="10" s="1"/>
  <c r="APV2" i="52"/>
  <c r="J5" i="36"/>
  <c r="J34" i="19"/>
  <c r="H34" i="19"/>
  <c r="T97" i="46"/>
  <c r="T96" i="46"/>
  <c r="T101" i="46" s="1"/>
  <c r="N93" i="11"/>
  <c r="O90" i="11" s="1"/>
  <c r="N45" i="11"/>
  <c r="O43" i="11" s="1"/>
  <c r="J7" i="19"/>
  <c r="J9" i="19" s="1"/>
  <c r="D11" i="16"/>
  <c r="E8" i="16" s="1"/>
  <c r="D19" i="16"/>
  <c r="D65" i="47"/>
  <c r="BL2" i="52" s="1"/>
  <c r="Q56" i="10"/>
  <c r="Q57" i="10" s="1"/>
  <c r="Q60" i="10" s="1"/>
  <c r="Q48" i="10"/>
  <c r="Q49" i="10" s="1"/>
  <c r="Q52" i="10" s="1"/>
  <c r="J63" i="16"/>
  <c r="B49" i="31" s="1"/>
  <c r="D209" i="47"/>
  <c r="GZ2" i="52" s="1"/>
  <c r="F65" i="16"/>
  <c r="G63" i="16" s="1"/>
  <c r="N16" i="39"/>
  <c r="N18" i="39" s="1"/>
  <c r="O18" i="39" s="1"/>
  <c r="C74" i="48"/>
  <c r="A57" i="9"/>
  <c r="E57" i="9" s="1"/>
  <c r="E59" i="9" s="1"/>
  <c r="E61" i="9" s="1"/>
  <c r="A93" i="9"/>
  <c r="A101" i="9" s="1"/>
  <c r="E101" i="9" s="1"/>
  <c r="A67" i="9"/>
  <c r="E67" i="9" s="1"/>
  <c r="E70" i="9" s="1"/>
  <c r="J58" i="1"/>
  <c r="E65" i="36"/>
  <c r="E60" i="36"/>
  <c r="D385" i="47"/>
  <c r="NT2" i="52" s="1"/>
  <c r="E63" i="36"/>
  <c r="E64" i="36"/>
  <c r="D387" i="47"/>
  <c r="NV2" i="52" s="1"/>
  <c r="E62" i="36"/>
  <c r="D73" i="36"/>
  <c r="D392" i="47" s="1"/>
  <c r="AC105" i="46"/>
  <c r="D69" i="36"/>
  <c r="J13" i="31"/>
  <c r="H75" i="48"/>
  <c r="P97" i="33"/>
  <c r="P102" i="33" s="1"/>
  <c r="P98" i="33"/>
  <c r="P104" i="33" s="1"/>
  <c r="F23" i="39"/>
  <c r="F29" i="39" s="1"/>
  <c r="A114" i="22"/>
  <c r="A132" i="22" s="1"/>
  <c r="E66" i="22"/>
  <c r="E68" i="22" s="1"/>
  <c r="A74" i="22"/>
  <c r="E74" i="22" s="1"/>
  <c r="E76" i="22" s="1"/>
  <c r="E78" i="22" s="1"/>
  <c r="J75" i="16"/>
  <c r="P3" i="39"/>
  <c r="AIP2" i="52"/>
  <c r="H21" i="36"/>
  <c r="D287" i="47"/>
  <c r="JZ2" i="52" s="1"/>
  <c r="Q58" i="20"/>
  <c r="J7" i="36"/>
  <c r="J14" i="7" s="1"/>
  <c r="H77" i="48"/>
  <c r="Y37" i="55"/>
  <c r="Y90" i="55" s="1"/>
  <c r="D760" i="47" s="1"/>
  <c r="ACB2" i="52" s="1"/>
  <c r="AET2" i="52"/>
  <c r="H71" i="48"/>
  <c r="N34" i="19"/>
  <c r="P7" i="19"/>
  <c r="T98" i="49"/>
  <c r="T103" i="49" s="1"/>
  <c r="R96" i="46"/>
  <c r="R101" i="46" s="1"/>
  <c r="R98" i="46"/>
  <c r="R105" i="46" s="1"/>
  <c r="J36" i="16"/>
  <c r="E98" i="49"/>
  <c r="E103" i="49" s="1"/>
  <c r="R100" i="49"/>
  <c r="R107" i="49" s="1"/>
  <c r="Q66" i="10"/>
  <c r="Q69" i="10" s="1"/>
  <c r="E100" i="49"/>
  <c r="E107" i="49" s="1"/>
  <c r="R98" i="49"/>
  <c r="R103" i="49" s="1"/>
  <c r="J22" i="36"/>
  <c r="B83" i="36" s="1"/>
  <c r="J23" i="36"/>
  <c r="RT2" i="52"/>
  <c r="T100" i="49"/>
  <c r="T107" i="49" s="1"/>
  <c r="D129" i="47"/>
  <c r="DX2" i="52" s="1"/>
  <c r="NZ2" i="52"/>
  <c r="D38" i="16"/>
  <c r="D18" i="30" s="1"/>
  <c r="E16" i="30" s="1"/>
  <c r="P6" i="19"/>
  <c r="P8" i="19" s="1"/>
  <c r="A23" i="9"/>
  <c r="E23" i="9" s="1"/>
  <c r="E26" i="9" s="1"/>
  <c r="E5" i="9"/>
  <c r="E6" i="9" s="1"/>
  <c r="E8" i="9" s="1"/>
  <c r="J14" i="30"/>
  <c r="J16" i="30" s="1"/>
  <c r="T99" i="51"/>
  <c r="T106" i="51" s="1"/>
  <c r="T97" i="51"/>
  <c r="T102" i="51" s="1"/>
  <c r="RS2" i="52"/>
  <c r="RO2" i="52"/>
  <c r="K87" i="40"/>
  <c r="AP87" i="40" s="1"/>
  <c r="V99" i="49"/>
  <c r="I87" i="40"/>
  <c r="V98" i="49"/>
  <c r="V103" i="49" s="1"/>
  <c r="E98" i="33"/>
  <c r="E104" i="33" s="1"/>
  <c r="ZY2" i="52"/>
  <c r="AA98" i="49"/>
  <c r="AA103" i="49" s="1"/>
  <c r="Q61" i="12"/>
  <c r="Q63" i="12" s="1"/>
  <c r="Q37" i="1"/>
  <c r="Q58" i="1" s="1"/>
  <c r="O45" i="1"/>
  <c r="T98" i="33"/>
  <c r="T104" i="33" s="1"/>
  <c r="R86" i="33"/>
  <c r="R97" i="33" s="1"/>
  <c r="R102" i="33" s="1"/>
  <c r="HE2" i="52"/>
  <c r="A35" i="22"/>
  <c r="E35" i="22" s="1"/>
  <c r="E38" i="22" s="1"/>
  <c r="Q9" i="18"/>
  <c r="H71" i="55"/>
  <c r="E57" i="20"/>
  <c r="E56" i="20"/>
  <c r="E59" i="20" s="1"/>
  <c r="E56" i="10"/>
  <c r="E57" i="10" s="1"/>
  <c r="E60" i="10" s="1"/>
  <c r="P51" i="10"/>
  <c r="UA2" i="52"/>
  <c r="R98" i="51"/>
  <c r="R106" i="51"/>
  <c r="T99" i="33"/>
  <c r="T106" i="33" s="1"/>
  <c r="N98" i="33"/>
  <c r="N91" i="55" s="1"/>
  <c r="D787" i="47" s="1"/>
  <c r="BAS2" i="52" s="1"/>
  <c r="V86" i="33"/>
  <c r="N80" i="48" s="1"/>
  <c r="N99" i="33"/>
  <c r="N92" i="55" s="1"/>
  <c r="D786" i="47" s="1"/>
  <c r="ADB2" i="52" s="1"/>
  <c r="N97" i="33"/>
  <c r="N90" i="55" s="1"/>
  <c r="D785" i="47" s="1"/>
  <c r="ADA2" i="52" s="1"/>
  <c r="V90" i="55"/>
  <c r="D797" i="47" s="1"/>
  <c r="BBC2" i="52" s="1"/>
  <c r="J6" i="36"/>
  <c r="J13" i="7" s="1"/>
  <c r="A25" i="22"/>
  <c r="E25" i="22" s="1"/>
  <c r="E27" i="22" s="1"/>
  <c r="E28" i="22" s="1"/>
  <c r="E99" i="33"/>
  <c r="E106" i="33" s="1"/>
  <c r="E19" i="22"/>
  <c r="E21" i="22" s="1"/>
  <c r="Q9" i="10"/>
  <c r="P8" i="1"/>
  <c r="Q9" i="20"/>
  <c r="R97" i="51"/>
  <c r="R102" i="51" s="1"/>
  <c r="V106" i="51"/>
  <c r="D286" i="47"/>
  <c r="H13" i="7"/>
  <c r="E84" i="12"/>
  <c r="V91" i="55"/>
  <c r="D799" i="47" s="1"/>
  <c r="ADO2" i="52" s="1"/>
  <c r="P19" i="19"/>
  <c r="Q25" i="18"/>
  <c r="Q27" i="18" s="1"/>
  <c r="N102" i="11"/>
  <c r="Q102" i="11" s="1"/>
  <c r="J15" i="31"/>
  <c r="AG99" i="33"/>
  <c r="AG106" i="33" s="1"/>
  <c r="MD2" i="52"/>
  <c r="Y38" i="48"/>
  <c r="Y92" i="48" s="1"/>
  <c r="D764" i="47" s="1"/>
  <c r="ACF2" i="52" s="1"/>
  <c r="J17" i="30"/>
  <c r="J23" i="30" s="1"/>
  <c r="J29" i="30" s="1"/>
  <c r="AC99" i="33"/>
  <c r="AC106" i="33" s="1"/>
  <c r="AC97" i="33"/>
  <c r="AC102" i="33" s="1"/>
  <c r="KH2" i="52"/>
  <c r="AIR2" i="52"/>
  <c r="AC106" i="51"/>
  <c r="H15" i="39"/>
  <c r="H16" i="39" s="1"/>
  <c r="H15" i="7"/>
  <c r="D288" i="47"/>
  <c r="H14" i="7"/>
  <c r="H25" i="36"/>
  <c r="H9" i="36"/>
  <c r="H19" i="36" s="1"/>
  <c r="H17" i="39"/>
  <c r="P17" i="39" s="1"/>
  <c r="J13" i="36"/>
  <c r="AG98" i="33"/>
  <c r="AG104" i="33" s="1"/>
  <c r="O37" i="9"/>
  <c r="N92" i="10"/>
  <c r="Q92" i="10" s="1"/>
  <c r="N100" i="10"/>
  <c r="Q100" i="10" s="1"/>
  <c r="E92" i="10"/>
  <c r="E95" i="10" s="1"/>
  <c r="O83" i="9"/>
  <c r="O42" i="9"/>
  <c r="O85" i="9"/>
  <c r="P50" i="10"/>
  <c r="O86" i="9"/>
  <c r="O82" i="9"/>
  <c r="O84" i="9"/>
  <c r="AFU2" i="52"/>
  <c r="B83" i="16"/>
  <c r="P14" i="10"/>
  <c r="Q14" i="10" s="1"/>
  <c r="P15" i="10"/>
  <c r="Q15" i="10" s="1"/>
  <c r="J79" i="36"/>
  <c r="Q10" i="22"/>
  <c r="Q12" i="22" s="1"/>
  <c r="K14" i="20"/>
  <c r="K13" i="20"/>
  <c r="K16" i="20" s="1"/>
  <c r="K15" i="20"/>
  <c r="N126" i="12"/>
  <c r="Q126" i="12" s="1"/>
  <c r="Q8" i="11"/>
  <c r="Q9" i="11" s="1"/>
  <c r="Q11" i="11" s="1"/>
  <c r="Q13" i="12"/>
  <c r="G64" i="11"/>
  <c r="K64" i="11" s="1"/>
  <c r="K66" i="11" s="1"/>
  <c r="K67" i="11" s="1"/>
  <c r="K69" i="11" s="1"/>
  <c r="P2" i="39"/>
  <c r="P9" i="39" s="1"/>
  <c r="AE106" i="51"/>
  <c r="F11" i="36"/>
  <c r="G9" i="36" s="1"/>
  <c r="F16" i="7"/>
  <c r="F21" i="7" s="1"/>
  <c r="F25" i="7" s="1"/>
  <c r="B65" i="11"/>
  <c r="E65" i="11" s="1"/>
  <c r="E66" i="11" s="1"/>
  <c r="E68" i="11" s="1"/>
  <c r="O40" i="9"/>
  <c r="O38" i="9"/>
  <c r="O41" i="9"/>
  <c r="M25" i="22"/>
  <c r="Q25" i="22" s="1"/>
  <c r="Q27" i="22" s="1"/>
  <c r="Q29" i="22" s="1"/>
  <c r="M35" i="22"/>
  <c r="Q35" i="22" s="1"/>
  <c r="Q38" i="22" s="1"/>
  <c r="Q17" i="22"/>
  <c r="M13" i="9"/>
  <c r="Q13" i="9" s="1"/>
  <c r="Q15" i="9" s="1"/>
  <c r="Q16" i="9" s="1"/>
  <c r="Q18" i="9" s="1"/>
  <c r="Q5" i="9"/>
  <c r="M23" i="9"/>
  <c r="Q23" i="9" s="1"/>
  <c r="Y43" i="55"/>
  <c r="Q20" i="11"/>
  <c r="Q22" i="11" s="1"/>
  <c r="O32" i="40"/>
  <c r="O36" i="40"/>
  <c r="G101" i="11"/>
  <c r="G122" i="11" s="1"/>
  <c r="K7" i="20"/>
  <c r="I33" i="20"/>
  <c r="K33" i="20" s="1"/>
  <c r="K5" i="20"/>
  <c r="K8" i="20" s="1"/>
  <c r="O33" i="40"/>
  <c r="O42" i="40"/>
  <c r="O29" i="40"/>
  <c r="O52" i="40"/>
  <c r="O47" i="40"/>
  <c r="O25" i="40"/>
  <c r="Y43" i="48"/>
  <c r="D756" i="47" s="1"/>
  <c r="ABX2" i="52" s="1"/>
  <c r="W51" i="40"/>
  <c r="O37" i="40"/>
  <c r="O34" i="40"/>
  <c r="N77" i="48"/>
  <c r="O44" i="40"/>
  <c r="O27" i="40"/>
  <c r="O45" i="40"/>
  <c r="O30" i="40"/>
  <c r="O40" i="40"/>
  <c r="O41" i="40"/>
  <c r="O28" i="40"/>
  <c r="O35" i="40"/>
  <c r="O46" i="40"/>
  <c r="S51" i="40"/>
  <c r="O43" i="40"/>
  <c r="O26" i="40"/>
  <c r="O38" i="40"/>
  <c r="O53" i="40"/>
  <c r="AA105" i="49"/>
  <c r="ACP2" i="52"/>
  <c r="AA100" i="49"/>
  <c r="AA107" i="49" s="1"/>
  <c r="V77" i="55"/>
  <c r="Q68" i="11"/>
  <c r="Q70" i="11" s="1"/>
  <c r="J63" i="36"/>
  <c r="D49" i="31" s="1"/>
  <c r="F49" i="31" s="1"/>
  <c r="P64" i="19"/>
  <c r="G74" i="11"/>
  <c r="K74" i="11" s="1"/>
  <c r="Q57" i="20"/>
  <c r="Q46" i="18"/>
  <c r="B41" i="31"/>
  <c r="J41" i="31" s="1"/>
  <c r="B48" i="31" s="1"/>
  <c r="B32" i="31"/>
  <c r="J32" i="31" s="1"/>
  <c r="D48" i="31" s="1"/>
  <c r="R77" i="55"/>
  <c r="B32" i="39"/>
  <c r="B91" i="11"/>
  <c r="B102" i="11" s="1"/>
  <c r="E102" i="11" s="1"/>
  <c r="RG2" i="52"/>
  <c r="Q51" i="40"/>
  <c r="U51" i="40"/>
  <c r="T83" i="40" s="1"/>
  <c r="G112" i="19"/>
  <c r="L90" i="55"/>
  <c r="D782" i="47" s="1"/>
  <c r="L92" i="55"/>
  <c r="D783" i="47" s="1"/>
  <c r="P97" i="46"/>
  <c r="P103" i="46" s="1"/>
  <c r="P98" i="46"/>
  <c r="P105" i="46" s="1"/>
  <c r="J80" i="48"/>
  <c r="L80" i="48"/>
  <c r="L91" i="55"/>
  <c r="D784" i="47" s="1"/>
  <c r="B35" i="30"/>
  <c r="B44" i="30"/>
  <c r="P99" i="40"/>
  <c r="P106" i="40" s="1"/>
  <c r="P99" i="49"/>
  <c r="P105" i="49" s="1"/>
  <c r="C101" i="46"/>
  <c r="H95" i="55" s="1"/>
  <c r="H90" i="55"/>
  <c r="D776" i="47" s="1"/>
  <c r="C105" i="46"/>
  <c r="H92" i="55"/>
  <c r="D777" i="47" s="1"/>
  <c r="C103" i="46"/>
  <c r="H97" i="55" s="1"/>
  <c r="H91" i="55"/>
  <c r="D778" i="47" s="1"/>
  <c r="D81" i="48"/>
  <c r="B92" i="55"/>
  <c r="D768" i="47" s="1"/>
  <c r="ACJ2" i="52" s="1"/>
  <c r="RY2" i="52"/>
  <c r="K61" i="12"/>
  <c r="K6" i="20"/>
  <c r="J75" i="36"/>
  <c r="Y39" i="48"/>
  <c r="Y91" i="48" s="1"/>
  <c r="D765" i="47" s="1"/>
  <c r="M57" i="9"/>
  <c r="Q57" i="9" s="1"/>
  <c r="Q59" i="9" s="1"/>
  <c r="Q60" i="9" s="1"/>
  <c r="Q62" i="9" s="1"/>
  <c r="M93" i="9"/>
  <c r="Q93" i="9" s="1"/>
  <c r="M67" i="9"/>
  <c r="Q67" i="9" s="1"/>
  <c r="AMK2" i="52"/>
  <c r="OG2" i="52"/>
  <c r="ASY2" i="52"/>
  <c r="VE2" i="52"/>
  <c r="AEY2" i="52"/>
  <c r="BCO2" i="52"/>
  <c r="Z54" i="49"/>
  <c r="AB54" i="49" s="1"/>
  <c r="AD54" i="49" s="1"/>
  <c r="AF54" i="49" s="1"/>
  <c r="AH54" i="49" s="1"/>
  <c r="Z59" i="49"/>
  <c r="Z34" i="49"/>
  <c r="AB34" i="49" s="1"/>
  <c r="AD34" i="49" s="1"/>
  <c r="AF34" i="49" s="1"/>
  <c r="AH34" i="49" s="1"/>
  <c r="Z58" i="49"/>
  <c r="Z41" i="49"/>
  <c r="AB41" i="49" s="1"/>
  <c r="AD41" i="49" s="1"/>
  <c r="AF41" i="49" s="1"/>
  <c r="AH41" i="49" s="1"/>
  <c r="Z31" i="49"/>
  <c r="AB31" i="49" s="1"/>
  <c r="AD31" i="49" s="1"/>
  <c r="AF31" i="49" s="1"/>
  <c r="AH31" i="49" s="1"/>
  <c r="Z43" i="49"/>
  <c r="AB43" i="49" s="1"/>
  <c r="AD43" i="49" s="1"/>
  <c r="AF43" i="49" s="1"/>
  <c r="AH43" i="49" s="1"/>
  <c r="Z35" i="49"/>
  <c r="AB35" i="49" s="1"/>
  <c r="AD35" i="49" s="1"/>
  <c r="AF35" i="49" s="1"/>
  <c r="AH35" i="49" s="1"/>
  <c r="Z30" i="49"/>
  <c r="AB30" i="49" s="1"/>
  <c r="AD30" i="49" s="1"/>
  <c r="AF30" i="49" s="1"/>
  <c r="AH30" i="49" s="1"/>
  <c r="Z48" i="49"/>
  <c r="AB48" i="49" s="1"/>
  <c r="AD48" i="49" s="1"/>
  <c r="AF48" i="49" s="1"/>
  <c r="AH48" i="49" s="1"/>
  <c r="Z61" i="49"/>
  <c r="Z38" i="49"/>
  <c r="AB38" i="49" s="1"/>
  <c r="AD38" i="49" s="1"/>
  <c r="AF38" i="49" s="1"/>
  <c r="AH38" i="49" s="1"/>
  <c r="Z47" i="49"/>
  <c r="AB47" i="49" s="1"/>
  <c r="AD47" i="49" s="1"/>
  <c r="AF47" i="49" s="1"/>
  <c r="AH47" i="49" s="1"/>
  <c r="Z36" i="49"/>
  <c r="AB36" i="49" s="1"/>
  <c r="AD36" i="49" s="1"/>
  <c r="AF36" i="49" s="1"/>
  <c r="AH36" i="49" s="1"/>
  <c r="Z53" i="49"/>
  <c r="AB53" i="49" s="1"/>
  <c r="AD53" i="49" s="1"/>
  <c r="AF53" i="49" s="1"/>
  <c r="AH53" i="49" s="1"/>
  <c r="Z46" i="49"/>
  <c r="AB46" i="49" s="1"/>
  <c r="AD46" i="49" s="1"/>
  <c r="AF46" i="49" s="1"/>
  <c r="AH46" i="49" s="1"/>
  <c r="Z42" i="49"/>
  <c r="AB42" i="49" s="1"/>
  <c r="AD42" i="49" s="1"/>
  <c r="AF42" i="49" s="1"/>
  <c r="AH42" i="49" s="1"/>
  <c r="Z26" i="49"/>
  <c r="AB26" i="49" s="1"/>
  <c r="AD26" i="49" s="1"/>
  <c r="AF26" i="49" s="1"/>
  <c r="AH26" i="49" s="1"/>
  <c r="Z39" i="49"/>
  <c r="AB39" i="49" s="1"/>
  <c r="AD39" i="49" s="1"/>
  <c r="AF39" i="49" s="1"/>
  <c r="AH39" i="49" s="1"/>
  <c r="Z33" i="49"/>
  <c r="AB33" i="49" s="1"/>
  <c r="AD33" i="49" s="1"/>
  <c r="AF33" i="49" s="1"/>
  <c r="AH33" i="49" s="1"/>
  <c r="Z37" i="49"/>
  <c r="AB37" i="49" s="1"/>
  <c r="AD37" i="49" s="1"/>
  <c r="AF37" i="49" s="1"/>
  <c r="AH37" i="49" s="1"/>
  <c r="Z27" i="49"/>
  <c r="AB27" i="49" s="1"/>
  <c r="AD27" i="49" s="1"/>
  <c r="AF27" i="49" s="1"/>
  <c r="AH27" i="49" s="1"/>
  <c r="Z55" i="49"/>
  <c r="Z29" i="49"/>
  <c r="AB29" i="49" s="1"/>
  <c r="AD29" i="49" s="1"/>
  <c r="AF29" i="49" s="1"/>
  <c r="AH29" i="49" s="1"/>
  <c r="Z44" i="49"/>
  <c r="AB44" i="49" s="1"/>
  <c r="AD44" i="49" s="1"/>
  <c r="AF44" i="49" s="1"/>
  <c r="AH44" i="49" s="1"/>
  <c r="Z57" i="49"/>
  <c r="Z28" i="49"/>
  <c r="AB28" i="49" s="1"/>
  <c r="AD28" i="49" s="1"/>
  <c r="AF28" i="49" s="1"/>
  <c r="AH28" i="49" s="1"/>
  <c r="Z60" i="49"/>
  <c r="Z45" i="49"/>
  <c r="AB45" i="49" s="1"/>
  <c r="AD45" i="49" s="1"/>
  <c r="AF45" i="49" s="1"/>
  <c r="AH45" i="49" s="1"/>
  <c r="M102" i="22"/>
  <c r="Q102" i="22" s="1"/>
  <c r="Q54" i="22"/>
  <c r="Q57" i="22" s="1"/>
  <c r="Q58" i="22" s="1"/>
  <c r="Q60" i="22" s="1"/>
  <c r="M84" i="22"/>
  <c r="Q84" i="22" s="1"/>
  <c r="Q87" i="22" s="1"/>
  <c r="R75" i="55"/>
  <c r="BAW2" i="52"/>
  <c r="ADG2" i="52"/>
  <c r="VN2" i="52"/>
  <c r="ATG2" i="52"/>
  <c r="R77" i="48"/>
  <c r="R69" i="48"/>
  <c r="S74" i="48" s="1"/>
  <c r="ATK2" i="52"/>
  <c r="VR2" i="52"/>
  <c r="D575" i="47"/>
  <c r="R71" i="48"/>
  <c r="ASW2" i="52"/>
  <c r="VC2" i="52"/>
  <c r="NA2" i="52"/>
  <c r="ALG2" i="52"/>
  <c r="AA99" i="40"/>
  <c r="AA106" i="40" s="1"/>
  <c r="AA98" i="40"/>
  <c r="AA104" i="40" s="1"/>
  <c r="AA97" i="40"/>
  <c r="AA102" i="40" s="1"/>
  <c r="R99" i="41"/>
  <c r="R106" i="41" s="1"/>
  <c r="R98" i="41"/>
  <c r="R97" i="41"/>
  <c r="R102" i="41" s="1"/>
  <c r="VM2" i="52"/>
  <c r="ATF2" i="52"/>
  <c r="AA96" i="46"/>
  <c r="AA101" i="46" s="1"/>
  <c r="AA97" i="46"/>
  <c r="AA103" i="46" s="1"/>
  <c r="AA98" i="46"/>
  <c r="AA105" i="46" s="1"/>
  <c r="D369" i="47"/>
  <c r="B65" i="36"/>
  <c r="P98" i="41"/>
  <c r="P104" i="41" s="1"/>
  <c r="AMO2" i="52"/>
  <c r="OK2" i="52"/>
  <c r="V98" i="41"/>
  <c r="J91" i="48" s="1"/>
  <c r="D515" i="47" s="1"/>
  <c r="V97" i="41"/>
  <c r="V102" i="41" s="1"/>
  <c r="V99" i="41"/>
  <c r="V106" i="41" s="1"/>
  <c r="R73" i="55"/>
  <c r="R71" i="55"/>
  <c r="ATC2" i="52"/>
  <c r="VJ2" i="52"/>
  <c r="AA97" i="41"/>
  <c r="AA102" i="41" s="1"/>
  <c r="AA99" i="41"/>
  <c r="AA106" i="41" s="1"/>
  <c r="AA98" i="41"/>
  <c r="AA104" i="41" s="1"/>
  <c r="B69" i="36"/>
  <c r="BAY2" i="52"/>
  <c r="ADI2" i="52"/>
  <c r="D812" i="47"/>
  <c r="R75" i="48"/>
  <c r="ASX2" i="52"/>
  <c r="VD2" i="52"/>
  <c r="VF2" i="52"/>
  <c r="ASZ2" i="52"/>
  <c r="ATA2" i="52"/>
  <c r="VG2" i="52"/>
  <c r="B73" i="36"/>
  <c r="M72" i="1"/>
  <c r="P72" i="1" s="1"/>
  <c r="P37" i="1"/>
  <c r="D581" i="47"/>
  <c r="R73" i="48"/>
  <c r="AA98" i="33"/>
  <c r="AA104" i="33" s="1"/>
  <c r="AA99" i="33"/>
  <c r="AA106" i="33" s="1"/>
  <c r="AA97" i="33"/>
  <c r="AA102" i="33" s="1"/>
  <c r="P99" i="41"/>
  <c r="P106" i="41" s="1"/>
  <c r="P98" i="40"/>
  <c r="P104" i="40" s="1"/>
  <c r="O58" i="40"/>
  <c r="O60" i="40"/>
  <c r="O59" i="40"/>
  <c r="Q66" i="22"/>
  <c r="M114" i="22"/>
  <c r="M74" i="22"/>
  <c r="Q74" i="22" s="1"/>
  <c r="Q76" i="22" s="1"/>
  <c r="Q77" i="22" s="1"/>
  <c r="Q79" i="22" s="1"/>
  <c r="MZ2" i="52"/>
  <c r="ALF2" i="52"/>
  <c r="T97" i="41"/>
  <c r="T102" i="41" s="1"/>
  <c r="T98" i="41"/>
  <c r="T99" i="41"/>
  <c r="T106" i="41" s="1"/>
  <c r="ATE2" i="52"/>
  <c r="VL2" i="52"/>
  <c r="W53" i="40"/>
  <c r="Z51" i="40"/>
  <c r="AH51" i="40"/>
  <c r="Q44" i="40"/>
  <c r="AH41" i="40"/>
  <c r="L44" i="40"/>
  <c r="W36" i="40"/>
  <c r="F29" i="40"/>
  <c r="Z41" i="40"/>
  <c r="Z43" i="40"/>
  <c r="F36" i="40"/>
  <c r="AF45" i="40"/>
  <c r="J38" i="40"/>
  <c r="Z42" i="40"/>
  <c r="J30" i="40"/>
  <c r="Z36" i="40"/>
  <c r="F43" i="40"/>
  <c r="AD29" i="40"/>
  <c r="AD40" i="40"/>
  <c r="U44" i="40"/>
  <c r="U37" i="40"/>
  <c r="AB32" i="40"/>
  <c r="F46" i="40"/>
  <c r="W30" i="40"/>
  <c r="U32" i="40"/>
  <c r="U30" i="40"/>
  <c r="AB46" i="40"/>
  <c r="S34" i="40"/>
  <c r="AH46" i="40"/>
  <c r="AH58" i="40"/>
  <c r="U34" i="40"/>
  <c r="W29" i="40"/>
  <c r="AD26" i="40"/>
  <c r="F44" i="40"/>
  <c r="L32" i="40"/>
  <c r="AH27" i="40"/>
  <c r="Q30" i="40"/>
  <c r="U35" i="40"/>
  <c r="AD35" i="40"/>
  <c r="AD36" i="40"/>
  <c r="J25" i="40"/>
  <c r="AF34" i="40"/>
  <c r="F26" i="40"/>
  <c r="H35" i="40"/>
  <c r="Z27" i="40"/>
  <c r="S40" i="40"/>
  <c r="J40" i="40"/>
  <c r="U25" i="40"/>
  <c r="W25" i="40"/>
  <c r="AD33" i="40"/>
  <c r="AH36" i="40"/>
  <c r="L33" i="40"/>
  <c r="F34" i="40"/>
  <c r="Z44" i="40"/>
  <c r="H36" i="40"/>
  <c r="J42" i="40"/>
  <c r="Q34" i="40"/>
  <c r="S47" i="40"/>
  <c r="AD30" i="40"/>
  <c r="AH42" i="40"/>
  <c r="Z35" i="40"/>
  <c r="F41" i="40"/>
  <c r="H40" i="40"/>
  <c r="Q25" i="40"/>
  <c r="AB41" i="40"/>
  <c r="Z47" i="40"/>
  <c r="H43" i="40"/>
  <c r="AB28" i="40"/>
  <c r="L34" i="40"/>
  <c r="F33" i="40"/>
  <c r="AD51" i="40"/>
  <c r="Z60" i="40"/>
  <c r="Q59" i="40"/>
  <c r="AH30" i="40"/>
  <c r="Q36" i="40"/>
  <c r="H45" i="40"/>
  <c r="AF51" i="40"/>
  <c r="AE83" i="40" s="1"/>
  <c r="Q54" i="40"/>
  <c r="W58" i="40"/>
  <c r="W52" i="40"/>
  <c r="AH44" i="40"/>
  <c r="W26" i="40"/>
  <c r="Q27" i="40"/>
  <c r="S36" i="40"/>
  <c r="L47" i="40"/>
  <c r="J45" i="40"/>
  <c r="W35" i="40"/>
  <c r="AD47" i="40"/>
  <c r="W37" i="40"/>
  <c r="Q41" i="40"/>
  <c r="F27" i="40"/>
  <c r="F25" i="40"/>
  <c r="H46" i="40"/>
  <c r="Z26" i="40"/>
  <c r="F40" i="40"/>
  <c r="L42" i="40"/>
  <c r="AB25" i="40"/>
  <c r="U36" i="40"/>
  <c r="AF26" i="40"/>
  <c r="AH43" i="40"/>
  <c r="W38" i="40"/>
  <c r="J29" i="40"/>
  <c r="L28" i="40"/>
  <c r="AF27" i="40"/>
  <c r="AH53" i="40"/>
  <c r="H42" i="40"/>
  <c r="F42" i="40"/>
  <c r="AH26" i="40"/>
  <c r="W28" i="40"/>
  <c r="W41" i="40"/>
  <c r="W45" i="40"/>
  <c r="S30" i="40"/>
  <c r="U43" i="40"/>
  <c r="AF44" i="40"/>
  <c r="AB37" i="40"/>
  <c r="Q45" i="40"/>
  <c r="AF32" i="40"/>
  <c r="AF35" i="40"/>
  <c r="AD41" i="40"/>
  <c r="AD32" i="40"/>
  <c r="H27" i="40"/>
  <c r="H38" i="40"/>
  <c r="S29" i="40"/>
  <c r="AF37" i="40"/>
  <c r="AD43" i="40"/>
  <c r="W44" i="40"/>
  <c r="J27" i="40"/>
  <c r="S46" i="40"/>
  <c r="AH59" i="40"/>
  <c r="Z52" i="40"/>
  <c r="Q53" i="40"/>
  <c r="Z54" i="40"/>
  <c r="Q52" i="40"/>
  <c r="W60" i="40"/>
  <c r="AD28" i="40"/>
  <c r="AH60" i="40"/>
  <c r="AH28" i="40"/>
  <c r="Z40" i="40"/>
  <c r="AH25" i="40"/>
  <c r="AH38" i="40"/>
  <c r="S43" i="40"/>
  <c r="AF30" i="40"/>
  <c r="S44" i="40"/>
  <c r="H32" i="40"/>
  <c r="Z46" i="40"/>
  <c r="H25" i="40"/>
  <c r="Z28" i="40"/>
  <c r="J26" i="40"/>
  <c r="W27" i="40"/>
  <c r="W43" i="40"/>
  <c r="J37" i="40"/>
  <c r="L43" i="40"/>
  <c r="J41" i="40"/>
  <c r="H29" i="40"/>
  <c r="AB27" i="40"/>
  <c r="U40" i="40"/>
  <c r="AB43" i="40"/>
  <c r="F45" i="40"/>
  <c r="L26" i="40"/>
  <c r="F37" i="40"/>
  <c r="Z29" i="40"/>
  <c r="U42" i="40"/>
  <c r="AH47" i="40"/>
  <c r="Q26" i="40"/>
  <c r="W33" i="40"/>
  <c r="J44" i="40"/>
  <c r="H44" i="40"/>
  <c r="AD38" i="40"/>
  <c r="AF36" i="40"/>
  <c r="U27" i="40"/>
  <c r="AF46" i="40"/>
  <c r="AH37" i="40"/>
  <c r="Q32" i="40"/>
  <c r="S38" i="40"/>
  <c r="J47" i="40"/>
  <c r="Q46" i="40"/>
  <c r="J46" i="40"/>
  <c r="AH45" i="40"/>
  <c r="U28" i="40"/>
  <c r="AF25" i="40"/>
  <c r="AB44" i="40"/>
  <c r="U45" i="40"/>
  <c r="J35" i="40"/>
  <c r="Z33" i="40"/>
  <c r="H28" i="40"/>
  <c r="AF40" i="40"/>
  <c r="H30" i="40"/>
  <c r="U26" i="40"/>
  <c r="Z30" i="40"/>
  <c r="Q42" i="40"/>
  <c r="AF41" i="40"/>
  <c r="AF29" i="40"/>
  <c r="U38" i="40"/>
  <c r="F38" i="40"/>
  <c r="AD25" i="40"/>
  <c r="S37" i="40"/>
  <c r="W54" i="40"/>
  <c r="AB53" i="40"/>
  <c r="AB59" i="40"/>
  <c r="Z59" i="40"/>
  <c r="F32" i="40"/>
  <c r="Z37" i="40"/>
  <c r="AF33" i="40"/>
  <c r="J34" i="40"/>
  <c r="S45" i="40"/>
  <c r="Z32" i="40"/>
  <c r="Q29" i="40"/>
  <c r="AH33" i="40"/>
  <c r="AD27" i="40"/>
  <c r="L40" i="40"/>
  <c r="S33" i="40"/>
  <c r="L30" i="40"/>
  <c r="J36" i="40"/>
  <c r="L25" i="40"/>
  <c r="L38" i="40"/>
  <c r="W47" i="40"/>
  <c r="F28" i="40"/>
  <c r="Q33" i="40"/>
  <c r="Z58" i="40"/>
  <c r="Z53" i="40"/>
  <c r="AB51" i="40"/>
  <c r="Q58" i="40"/>
  <c r="AB58" i="40"/>
  <c r="L29" i="40"/>
  <c r="L36" i="40"/>
  <c r="Q28" i="40"/>
  <c r="U41" i="40"/>
  <c r="L37" i="40"/>
  <c r="U29" i="40"/>
  <c r="AF47" i="40"/>
  <c r="S26" i="40"/>
  <c r="AD44" i="40"/>
  <c r="AF38" i="40"/>
  <c r="J33" i="40"/>
  <c r="AH54" i="40"/>
  <c r="W40" i="40"/>
  <c r="AD42" i="40"/>
  <c r="Q37" i="40"/>
  <c r="L27" i="40"/>
  <c r="AB36" i="40"/>
  <c r="U46" i="40"/>
  <c r="S35" i="40"/>
  <c r="AH40" i="40"/>
  <c r="AB47" i="40"/>
  <c r="AF42" i="40"/>
  <c r="L35" i="40"/>
  <c r="W32" i="40"/>
  <c r="J28" i="40"/>
  <c r="AD45" i="40"/>
  <c r="F30" i="40"/>
  <c r="Q47" i="40"/>
  <c r="H41" i="40"/>
  <c r="L41" i="40"/>
  <c r="AH52" i="40"/>
  <c r="W34" i="40"/>
  <c r="S27" i="40"/>
  <c r="H33" i="40"/>
  <c r="AD34" i="40"/>
  <c r="Z45" i="40"/>
  <c r="Q43" i="40"/>
  <c r="F47" i="40"/>
  <c r="H26" i="40"/>
  <c r="J32" i="40"/>
  <c r="U33" i="40"/>
  <c r="AB35" i="40"/>
  <c r="AB52" i="40"/>
  <c r="AB54" i="40"/>
  <c r="W59" i="40"/>
  <c r="Q60" i="40"/>
  <c r="Z25" i="40"/>
  <c r="S25" i="40"/>
  <c r="AB38" i="40"/>
  <c r="AB60" i="40"/>
  <c r="S32" i="40"/>
  <c r="H34" i="40"/>
  <c r="AB42" i="40"/>
  <c r="W42" i="40"/>
  <c r="AH29" i="40"/>
  <c r="Q38" i="40"/>
  <c r="AB26" i="40"/>
  <c r="AB30" i="40"/>
  <c r="H37" i="40"/>
  <c r="AB45" i="40"/>
  <c r="F35" i="40"/>
  <c r="AD37" i="40"/>
  <c r="H47" i="40"/>
  <c r="Q40" i="40"/>
  <c r="AD46" i="40"/>
  <c r="AH32" i="40"/>
  <c r="L45" i="40"/>
  <c r="Q35" i="40"/>
  <c r="S28" i="40"/>
  <c r="S41" i="40"/>
  <c r="AF43" i="40"/>
  <c r="J43" i="40"/>
  <c r="AH35" i="40"/>
  <c r="S42" i="40"/>
  <c r="Z34" i="40"/>
  <c r="AB34" i="40"/>
  <c r="Z38" i="40"/>
  <c r="AB33" i="40"/>
  <c r="L46" i="40"/>
  <c r="AB29" i="40"/>
  <c r="W46" i="40"/>
  <c r="AH34" i="40"/>
  <c r="U47" i="40"/>
  <c r="AF28" i="40"/>
  <c r="AB40" i="40"/>
  <c r="F65" i="36"/>
  <c r="F69" i="36"/>
  <c r="D401" i="47"/>
  <c r="F73" i="36"/>
  <c r="BAX2" i="52"/>
  <c r="ADH2" i="52"/>
  <c r="ASU2" i="52"/>
  <c r="VA2" i="52"/>
  <c r="ALM2" i="52"/>
  <c r="NG2" i="52"/>
  <c r="K97" i="41"/>
  <c r="K110" i="10"/>
  <c r="K113" i="10" s="1"/>
  <c r="V107" i="49"/>
  <c r="K98" i="41"/>
  <c r="D8" i="1"/>
  <c r="J9" i="16"/>
  <c r="K20" i="11"/>
  <c r="K22" i="11" s="1"/>
  <c r="I99" i="49"/>
  <c r="I98" i="49"/>
  <c r="I103" i="49" s="1"/>
  <c r="I107" i="49"/>
  <c r="J14" i="10"/>
  <c r="K14" i="10" s="1"/>
  <c r="H15" i="16"/>
  <c r="K99" i="41"/>
  <c r="D51" i="10"/>
  <c r="E51" i="10" s="1"/>
  <c r="G99" i="49"/>
  <c r="G100" i="49"/>
  <c r="G107" i="49" s="1"/>
  <c r="D91" i="55"/>
  <c r="D772" i="47" s="1"/>
  <c r="BAD2" i="52" s="1"/>
  <c r="B91" i="55"/>
  <c r="D769" i="47" s="1"/>
  <c r="B90" i="55"/>
  <c r="D767" i="47" s="1"/>
  <c r="ACI2" i="52" s="1"/>
  <c r="B80" i="48"/>
  <c r="I39" i="9"/>
  <c r="J7" i="10"/>
  <c r="K7" i="10" s="1"/>
  <c r="K6" i="9"/>
  <c r="K8" i="9" s="1"/>
  <c r="K9" i="9" s="1"/>
  <c r="I42" i="9"/>
  <c r="I38" i="9"/>
  <c r="C104" i="41"/>
  <c r="I98" i="41"/>
  <c r="I99" i="41"/>
  <c r="I106" i="41" s="1"/>
  <c r="I37" i="9"/>
  <c r="I41" i="9"/>
  <c r="C102" i="41"/>
  <c r="F95" i="55" s="1"/>
  <c r="K49" i="9"/>
  <c r="K50" i="9" s="1"/>
  <c r="K52" i="9" s="1"/>
  <c r="G67" i="9"/>
  <c r="K67" i="9" s="1"/>
  <c r="E15" i="10"/>
  <c r="E14" i="10"/>
  <c r="C34" i="10"/>
  <c r="E34" i="10" s="1"/>
  <c r="I99" i="33"/>
  <c r="I106" i="33" s="1"/>
  <c r="I97" i="33"/>
  <c r="I102" i="33" s="1"/>
  <c r="G98" i="33"/>
  <c r="G104" i="33" s="1"/>
  <c r="G99" i="33"/>
  <c r="G106" i="33" s="1"/>
  <c r="K100" i="49"/>
  <c r="K107" i="49" s="1"/>
  <c r="K99" i="49"/>
  <c r="AO87" i="49"/>
  <c r="AO98" i="49" s="1"/>
  <c r="K54" i="22"/>
  <c r="K57" i="22" s="1"/>
  <c r="K58" i="22" s="1"/>
  <c r="K60" i="22" s="1"/>
  <c r="K98" i="49"/>
  <c r="K103" i="49" s="1"/>
  <c r="AP87" i="49"/>
  <c r="AP99" i="49" s="1"/>
  <c r="G84" i="22"/>
  <c r="K84" i="22" s="1"/>
  <c r="K87" i="22" s="1"/>
  <c r="I34" i="9"/>
  <c r="K34" i="9" s="1"/>
  <c r="H23" i="1"/>
  <c r="N32" i="39"/>
  <c r="I9" i="16"/>
  <c r="I11" i="16"/>
  <c r="I8" i="16"/>
  <c r="I7" i="16"/>
  <c r="D99" i="47"/>
  <c r="CT2" i="52" s="1"/>
  <c r="H19" i="16"/>
  <c r="D97" i="47"/>
  <c r="CR2" i="52" s="1"/>
  <c r="I6" i="16"/>
  <c r="J23" i="1"/>
  <c r="Y38" i="55"/>
  <c r="Y92" i="55" s="1"/>
  <c r="D761" i="47" s="1"/>
  <c r="AZP2" i="52" s="1"/>
  <c r="K65" i="20"/>
  <c r="K68" i="20" s="1"/>
  <c r="P100" i="49"/>
  <c r="P107" i="49" s="1"/>
  <c r="K59" i="9"/>
  <c r="K60" i="9" s="1"/>
  <c r="K62" i="9" s="1"/>
  <c r="D156" i="47"/>
  <c r="EY2" i="52" s="1"/>
  <c r="Y39" i="55"/>
  <c r="Y91" i="55" s="1"/>
  <c r="D762" i="47" s="1"/>
  <c r="AZQ2" i="52" s="1"/>
  <c r="K51" i="10"/>
  <c r="G93" i="9"/>
  <c r="G111" i="9" s="1"/>
  <c r="K66" i="22"/>
  <c r="K67" i="22" s="1"/>
  <c r="K69" i="22" s="1"/>
  <c r="G114" i="22"/>
  <c r="G122" i="22" s="1"/>
  <c r="K122" i="22" s="1"/>
  <c r="D19" i="19"/>
  <c r="J52" i="36"/>
  <c r="AN87" i="49"/>
  <c r="AN98" i="49" s="1"/>
  <c r="O51" i="40"/>
  <c r="K49" i="10"/>
  <c r="K52" i="10" s="1"/>
  <c r="G74" i="22"/>
  <c r="K74" i="22" s="1"/>
  <c r="K76" i="22" s="1"/>
  <c r="K77" i="22" s="1"/>
  <c r="K79" i="22" s="1"/>
  <c r="C102" i="40"/>
  <c r="K25" i="18"/>
  <c r="K27" i="18" s="1"/>
  <c r="D58" i="10"/>
  <c r="D94" i="10" s="1"/>
  <c r="D102" i="10" s="1"/>
  <c r="E17" i="9"/>
  <c r="E19" i="9" s="1"/>
  <c r="G100" i="10"/>
  <c r="K56" i="10"/>
  <c r="K56" i="20"/>
  <c r="K59" i="20" s="1"/>
  <c r="N71" i="55"/>
  <c r="K57" i="20"/>
  <c r="F65" i="11"/>
  <c r="I106" i="51"/>
  <c r="J23" i="16"/>
  <c r="O42" i="49"/>
  <c r="Q42" i="49" s="1"/>
  <c r="S42" i="49" s="1"/>
  <c r="U42" i="49" s="1"/>
  <c r="W42" i="49" s="1"/>
  <c r="AC2" i="52"/>
  <c r="B25" i="16"/>
  <c r="J25" i="16" s="1"/>
  <c r="J3" i="16"/>
  <c r="R55" i="39" s="1"/>
  <c r="O54" i="49"/>
  <c r="Q54" i="49" s="1"/>
  <c r="S54" i="49" s="1"/>
  <c r="U54" i="49" s="1"/>
  <c r="W54" i="49" s="1"/>
  <c r="B11" i="16"/>
  <c r="B47" i="12" s="1"/>
  <c r="C43" i="12" s="1"/>
  <c r="B29" i="1"/>
  <c r="D49" i="47"/>
  <c r="AV2" i="52" s="1"/>
  <c r="O45" i="49"/>
  <c r="Q45" i="49" s="1"/>
  <c r="S45" i="49" s="1"/>
  <c r="U45" i="49" s="1"/>
  <c r="W45" i="49" s="1"/>
  <c r="O48" i="49"/>
  <c r="Q48" i="49" s="1"/>
  <c r="S48" i="49" s="1"/>
  <c r="U48" i="49" s="1"/>
  <c r="W48" i="49" s="1"/>
  <c r="K84" i="12"/>
  <c r="K47" i="20"/>
  <c r="K48" i="20" s="1"/>
  <c r="K51" i="20" s="1"/>
  <c r="AA104" i="51"/>
  <c r="J6" i="1"/>
  <c r="J5" i="1"/>
  <c r="J7" i="1" s="1"/>
  <c r="O38" i="49"/>
  <c r="Q38" i="49" s="1"/>
  <c r="S38" i="49" s="1"/>
  <c r="U38" i="49" s="1"/>
  <c r="W38" i="49" s="1"/>
  <c r="N77" i="55"/>
  <c r="O34" i="49"/>
  <c r="Q34" i="49" s="1"/>
  <c r="S34" i="49" s="1"/>
  <c r="U34" i="49" s="1"/>
  <c r="W34" i="49" s="1"/>
  <c r="O57" i="49"/>
  <c r="O55" i="49"/>
  <c r="Y37" i="48"/>
  <c r="Y90" i="48" s="1"/>
  <c r="D763" i="47" s="1"/>
  <c r="AZR2" i="52" s="1"/>
  <c r="O31" i="49"/>
  <c r="Q31" i="49" s="1"/>
  <c r="S31" i="49" s="1"/>
  <c r="U31" i="49" s="1"/>
  <c r="W31" i="49" s="1"/>
  <c r="O30" i="49"/>
  <c r="Q30" i="49" s="1"/>
  <c r="S30" i="49" s="1"/>
  <c r="U30" i="49" s="1"/>
  <c r="W30" i="49" s="1"/>
  <c r="O58" i="49"/>
  <c r="O47" i="49"/>
  <c r="Q47" i="49" s="1"/>
  <c r="S47" i="49" s="1"/>
  <c r="U47" i="49" s="1"/>
  <c r="W47" i="49" s="1"/>
  <c r="O36" i="49"/>
  <c r="Q36" i="49" s="1"/>
  <c r="S36" i="49" s="1"/>
  <c r="U36" i="49" s="1"/>
  <c r="W36" i="49" s="1"/>
  <c r="O53" i="49"/>
  <c r="Q53" i="49" s="1"/>
  <c r="S53" i="49" s="1"/>
  <c r="U53" i="49" s="1"/>
  <c r="W53" i="49" s="1"/>
  <c r="O39" i="49"/>
  <c r="Q39" i="49" s="1"/>
  <c r="S39" i="49" s="1"/>
  <c r="U39" i="49" s="1"/>
  <c r="W39" i="49" s="1"/>
  <c r="O41" i="49"/>
  <c r="Q41" i="49" s="1"/>
  <c r="S41" i="49" s="1"/>
  <c r="U41" i="49" s="1"/>
  <c r="W41" i="49" s="1"/>
  <c r="O35" i="49"/>
  <c r="Q35" i="49" s="1"/>
  <c r="S35" i="49" s="1"/>
  <c r="U35" i="49" s="1"/>
  <c r="W35" i="49" s="1"/>
  <c r="O33" i="49"/>
  <c r="Q33" i="49" s="1"/>
  <c r="S33" i="49" s="1"/>
  <c r="U33" i="49" s="1"/>
  <c r="W33" i="49" s="1"/>
  <c r="O43" i="49"/>
  <c r="Q43" i="49" s="1"/>
  <c r="S43" i="49" s="1"/>
  <c r="U43" i="49" s="1"/>
  <c r="W43" i="49" s="1"/>
  <c r="O26" i="49"/>
  <c r="Q26" i="49" s="1"/>
  <c r="S26" i="49" s="1"/>
  <c r="U26" i="49" s="1"/>
  <c r="W26" i="49" s="1"/>
  <c r="O37" i="49"/>
  <c r="Q37" i="49" s="1"/>
  <c r="S37" i="49" s="1"/>
  <c r="U37" i="49" s="1"/>
  <c r="W37" i="49" s="1"/>
  <c r="O28" i="49"/>
  <c r="Q28" i="49" s="1"/>
  <c r="S28" i="49" s="1"/>
  <c r="U28" i="49" s="1"/>
  <c r="W28" i="49" s="1"/>
  <c r="O29" i="49"/>
  <c r="Q29" i="49" s="1"/>
  <c r="S29" i="49" s="1"/>
  <c r="U29" i="49" s="1"/>
  <c r="W29" i="49" s="1"/>
  <c r="O46" i="49"/>
  <c r="Q46" i="49" s="1"/>
  <c r="S46" i="49" s="1"/>
  <c r="U46" i="49" s="1"/>
  <c r="W46" i="49" s="1"/>
  <c r="O27" i="49"/>
  <c r="Q27" i="49" s="1"/>
  <c r="S27" i="49" s="1"/>
  <c r="U27" i="49" s="1"/>
  <c r="W27" i="49" s="1"/>
  <c r="O44" i="49"/>
  <c r="Q44" i="49" s="1"/>
  <c r="S44" i="49" s="1"/>
  <c r="U44" i="49" s="1"/>
  <c r="W44" i="49" s="1"/>
  <c r="G97" i="46"/>
  <c r="G98" i="46"/>
  <c r="G105" i="46" s="1"/>
  <c r="G96" i="46"/>
  <c r="G101" i="46" s="1"/>
  <c r="AP88" i="46"/>
  <c r="AO88" i="46"/>
  <c r="AN88" i="46"/>
  <c r="K97" i="46"/>
  <c r="H91" i="48" s="1"/>
  <c r="D497" i="47" s="1"/>
  <c r="K98" i="46"/>
  <c r="H92" i="48" s="1"/>
  <c r="D496" i="47" s="1"/>
  <c r="K96" i="46"/>
  <c r="H90" i="48" s="1"/>
  <c r="D495" i="47" s="1"/>
  <c r="C104" i="40"/>
  <c r="AN87" i="33"/>
  <c r="AP87" i="33"/>
  <c r="AO87" i="33"/>
  <c r="H73" i="55"/>
  <c r="J21" i="16"/>
  <c r="I96" i="46"/>
  <c r="I101" i="46" s="1"/>
  <c r="I97" i="46"/>
  <c r="I98" i="46"/>
  <c r="I105" i="46" s="1"/>
  <c r="LV2" i="52"/>
  <c r="AKD2" i="52"/>
  <c r="D220" i="47"/>
  <c r="D412" i="47"/>
  <c r="J19" i="19"/>
  <c r="H65" i="12"/>
  <c r="K65" i="12" s="1"/>
  <c r="V71" i="55"/>
  <c r="ADN2" i="52"/>
  <c r="BBD2" i="52"/>
  <c r="ARQ2" i="52"/>
  <c r="TU2" i="52"/>
  <c r="TS2" i="52"/>
  <c r="ARO2" i="52"/>
  <c r="H47" i="12"/>
  <c r="I45" i="12" s="1"/>
  <c r="F18" i="30"/>
  <c r="G37" i="16"/>
  <c r="G38" i="16"/>
  <c r="D147" i="47"/>
  <c r="EP2" i="52" s="1"/>
  <c r="G33" i="16"/>
  <c r="F18" i="31"/>
  <c r="G16" i="31" s="1"/>
  <c r="G36" i="16"/>
  <c r="G34" i="16"/>
  <c r="G35" i="16"/>
  <c r="TW2" i="52"/>
  <c r="ARS2" i="52"/>
  <c r="BCM2" i="52"/>
  <c r="AEW2" i="52"/>
  <c r="TZ2" i="52"/>
  <c r="ARU2" i="52"/>
  <c r="TQ2" i="52"/>
  <c r="ARM2" i="52"/>
  <c r="J16" i="39"/>
  <c r="H8" i="12"/>
  <c r="K8" i="12" s="1"/>
  <c r="D41" i="30" s="1"/>
  <c r="N71" i="48"/>
  <c r="D539" i="47"/>
  <c r="H86" i="9"/>
  <c r="I84" i="9" s="1"/>
  <c r="AKB2" i="52"/>
  <c r="LT2" i="52"/>
  <c r="J23" i="39"/>
  <c r="J29" i="39" s="1"/>
  <c r="ARR2" i="52"/>
  <c r="TV2" i="52"/>
  <c r="H101" i="12"/>
  <c r="J36" i="36"/>
  <c r="D337" i="47"/>
  <c r="F46" i="36"/>
  <c r="F38" i="36"/>
  <c r="N69" i="48"/>
  <c r="H58" i="1"/>
  <c r="LY2" i="52"/>
  <c r="AKG2" i="52"/>
  <c r="V73" i="55"/>
  <c r="N73" i="48"/>
  <c r="D545" i="47"/>
  <c r="Y40" i="48"/>
  <c r="D755" i="47" s="1"/>
  <c r="N75" i="48"/>
  <c r="D810" i="47"/>
  <c r="AKI2" i="52"/>
  <c r="MA2" i="52"/>
  <c r="V75" i="55"/>
  <c r="H165" i="12"/>
  <c r="H110" i="12"/>
  <c r="H166" i="12" s="1"/>
  <c r="H163" i="12"/>
  <c r="H118" i="12" s="1"/>
  <c r="J12" i="39"/>
  <c r="H62" i="12"/>
  <c r="ARP2" i="52"/>
  <c r="TT2" i="52"/>
  <c r="K16" i="9"/>
  <c r="K17" i="9"/>
  <c r="LW2" i="52"/>
  <c r="AKE2" i="52"/>
  <c r="N75" i="55"/>
  <c r="N73" i="55"/>
  <c r="Y40" i="55"/>
  <c r="K9" i="22"/>
  <c r="K10" i="22"/>
  <c r="LU2" i="52"/>
  <c r="AKC2" i="52"/>
  <c r="V105" i="46"/>
  <c r="G42" i="18"/>
  <c r="J42" i="18"/>
  <c r="K42" i="18" s="1"/>
  <c r="K44" i="18" s="1"/>
  <c r="K46" i="18" s="1"/>
  <c r="K9" i="18"/>
  <c r="J39" i="1"/>
  <c r="J38" i="1"/>
  <c r="J40" i="1" s="1"/>
  <c r="SH2" i="52"/>
  <c r="AQF2" i="52"/>
  <c r="AP99" i="46"/>
  <c r="AP98" i="46"/>
  <c r="AP97" i="46"/>
  <c r="AO98" i="46"/>
  <c r="AO99" i="46"/>
  <c r="AO97" i="46"/>
  <c r="APO2" i="52"/>
  <c r="RP2" i="52"/>
  <c r="AIN2" i="52"/>
  <c r="KC2" i="52"/>
  <c r="ADW2" i="52"/>
  <c r="BBM2" i="52"/>
  <c r="E104" i="41"/>
  <c r="C82" i="9"/>
  <c r="C83" i="9"/>
  <c r="C85" i="9"/>
  <c r="C81" i="9"/>
  <c r="C86" i="9"/>
  <c r="AOG2" i="52"/>
  <c r="QF2" i="52"/>
  <c r="E105" i="49"/>
  <c r="B42" i="9"/>
  <c r="C40" i="9" s="1"/>
  <c r="D16" i="39"/>
  <c r="D21" i="39" s="1"/>
  <c r="D25" i="39" s="1"/>
  <c r="C84" i="9"/>
  <c r="E10" i="22"/>
  <c r="E9" i="22"/>
  <c r="IR2" i="52"/>
  <c r="AHE2" i="52"/>
  <c r="AP102" i="33"/>
  <c r="C106" i="40"/>
  <c r="D92" i="55"/>
  <c r="D771" i="47" s="1"/>
  <c r="IS2" i="52"/>
  <c r="AHF2" i="52"/>
  <c r="ADU2" i="52"/>
  <c r="BBK2" i="52"/>
  <c r="D23" i="39"/>
  <c r="D29" i="39" s="1"/>
  <c r="K98" i="40"/>
  <c r="D91" i="48" s="1"/>
  <c r="D461" i="47" s="1"/>
  <c r="K97" i="40"/>
  <c r="K99" i="40"/>
  <c r="D80" i="48"/>
  <c r="IE2" i="52"/>
  <c r="AGS2" i="52"/>
  <c r="AGU2" i="52"/>
  <c r="IG2" i="52"/>
  <c r="B11" i="36"/>
  <c r="B103" i="12" s="1"/>
  <c r="D241" i="47"/>
  <c r="B16" i="7"/>
  <c r="B64" i="1"/>
  <c r="ADT2" i="52"/>
  <c r="BBJ2" i="52"/>
  <c r="IB2" i="52"/>
  <c r="AGP2" i="52"/>
  <c r="B23" i="39"/>
  <c r="B29" i="39" s="1"/>
  <c r="AGQ2" i="52"/>
  <c r="IC2" i="52"/>
  <c r="AGR2" i="52"/>
  <c r="ID2" i="52"/>
  <c r="AGW2" i="52"/>
  <c r="II2" i="52"/>
  <c r="B23" i="7"/>
  <c r="B29" i="7" s="1"/>
  <c r="Q17" i="12"/>
  <c r="Q22" i="12" s="1"/>
  <c r="Q16" i="12"/>
  <c r="Q21" i="12" s="1"/>
  <c r="AO102" i="33"/>
  <c r="K103" i="41"/>
  <c r="F96" i="48" s="1"/>
  <c r="B23" i="1"/>
  <c r="D23" i="1"/>
  <c r="B34" i="19"/>
  <c r="D34" i="19"/>
  <c r="N23" i="1"/>
  <c r="P23" i="1"/>
  <c r="AP104" i="33"/>
  <c r="AO104" i="33"/>
  <c r="AN104" i="33"/>
  <c r="AP106" i="33"/>
  <c r="AO106" i="33"/>
  <c r="AN106" i="33"/>
  <c r="P94" i="10"/>
  <c r="P102" i="10" s="1"/>
  <c r="D332" i="47"/>
  <c r="D140" i="47"/>
  <c r="EI2" i="52" s="1"/>
  <c r="E69" i="12"/>
  <c r="K21" i="22"/>
  <c r="T105" i="46"/>
  <c r="ANE2" i="52"/>
  <c r="PB2" i="52"/>
  <c r="LJ2" i="52"/>
  <c r="AJS2" i="52"/>
  <c r="K29" i="22"/>
  <c r="K28" i="22"/>
  <c r="I46" i="22"/>
  <c r="K46" i="22" s="1"/>
  <c r="AE102" i="46"/>
  <c r="AE103" i="46" s="1"/>
  <c r="AE101" i="46"/>
  <c r="G103" i="41"/>
  <c r="G104" i="41" s="1"/>
  <c r="AKP2" i="52"/>
  <c r="MI2" i="52"/>
  <c r="AC103" i="40"/>
  <c r="AC104" i="40" s="1"/>
  <c r="AC102" i="40"/>
  <c r="G103" i="40"/>
  <c r="T103" i="51"/>
  <c r="T104" i="51" s="1"/>
  <c r="T103" i="41"/>
  <c r="AE104" i="49"/>
  <c r="AE105" i="49" s="1"/>
  <c r="AE103" i="49"/>
  <c r="C112" i="19"/>
  <c r="C111" i="9"/>
  <c r="AP106" i="49"/>
  <c r="AO106" i="49"/>
  <c r="AN106" i="49"/>
  <c r="E102" i="20"/>
  <c r="E101" i="20"/>
  <c r="E100" i="20"/>
  <c r="E103" i="20" s="1"/>
  <c r="R103" i="40"/>
  <c r="N66" i="39"/>
  <c r="P26" i="39"/>
  <c r="C110" i="10"/>
  <c r="D68" i="19"/>
  <c r="D71" i="19" s="1"/>
  <c r="E68" i="19"/>
  <c r="R103" i="41"/>
  <c r="AG103" i="49"/>
  <c r="AG104" i="49"/>
  <c r="AG105" i="49" s="1"/>
  <c r="B123" i="22"/>
  <c r="E123" i="22" s="1"/>
  <c r="AO102" i="49"/>
  <c r="AP102" i="49"/>
  <c r="AN102" i="49"/>
  <c r="K104" i="49"/>
  <c r="V103" i="40"/>
  <c r="V104" i="40" s="1"/>
  <c r="O122" i="11"/>
  <c r="O109" i="20"/>
  <c r="Q109" i="20" s="1"/>
  <c r="Q112" i="20" s="1"/>
  <c r="Q91" i="20"/>
  <c r="T103" i="40"/>
  <c r="F66" i="39"/>
  <c r="V104" i="49"/>
  <c r="I109" i="20"/>
  <c r="K109" i="20" s="1"/>
  <c r="K112" i="20" s="1"/>
  <c r="K91" i="20"/>
  <c r="N123" i="22"/>
  <c r="Q123" i="22" s="1"/>
  <c r="V103" i="51"/>
  <c r="V102" i="51"/>
  <c r="Q101" i="20"/>
  <c r="Q100" i="20"/>
  <c r="Q103" i="20" s="1"/>
  <c r="Q102" i="20"/>
  <c r="C109" i="20"/>
  <c r="E109" i="20" s="1"/>
  <c r="E112" i="20" s="1"/>
  <c r="E91" i="20"/>
  <c r="AE102" i="41"/>
  <c r="AE103" i="41"/>
  <c r="AE104" i="41" s="1"/>
  <c r="D51" i="19"/>
  <c r="D53" i="19" s="1"/>
  <c r="D52" i="19"/>
  <c r="K102" i="46"/>
  <c r="H96" i="48" s="1"/>
  <c r="O140" i="12"/>
  <c r="Q140" i="12" s="1"/>
  <c r="Q117" i="12"/>
  <c r="V102" i="46"/>
  <c r="V103" i="46" s="1"/>
  <c r="V101" i="46"/>
  <c r="I132" i="22"/>
  <c r="K102" i="22"/>
  <c r="T104" i="49"/>
  <c r="T105" i="49" s="1"/>
  <c r="G11" i="16"/>
  <c r="G8" i="16"/>
  <c r="G10" i="16"/>
  <c r="G7" i="16"/>
  <c r="G6" i="16"/>
  <c r="D83" i="47"/>
  <c r="CD2" i="52" s="1"/>
  <c r="G9" i="16"/>
  <c r="R102" i="46"/>
  <c r="R103" i="46" s="1"/>
  <c r="L54" i="11"/>
  <c r="AG102" i="40"/>
  <c r="AG103" i="40"/>
  <c r="AG104" i="40" s="1"/>
  <c r="C140" i="12"/>
  <c r="E140" i="12" s="1"/>
  <c r="E117" i="12"/>
  <c r="E119" i="12" s="1"/>
  <c r="AG103" i="51"/>
  <c r="AG104" i="51" s="1"/>
  <c r="AG102" i="51"/>
  <c r="E45" i="1"/>
  <c r="D45" i="1"/>
  <c r="D48" i="1" s="1"/>
  <c r="I104" i="49"/>
  <c r="AC103" i="49"/>
  <c r="AC104" i="49"/>
  <c r="AC105" i="49" s="1"/>
  <c r="E48" i="20"/>
  <c r="E51" i="20" s="1"/>
  <c r="E49" i="20"/>
  <c r="E50" i="20"/>
  <c r="AC102" i="41"/>
  <c r="AC103" i="41"/>
  <c r="AC104" i="41" s="1"/>
  <c r="E60" i="16"/>
  <c r="E65" i="16"/>
  <c r="E63" i="16"/>
  <c r="D195" i="47"/>
  <c r="E61" i="16"/>
  <c r="E62" i="16"/>
  <c r="E64" i="16"/>
  <c r="E51" i="9"/>
  <c r="E50" i="9"/>
  <c r="E52" i="9" s="1"/>
  <c r="AE102" i="40"/>
  <c r="AE103" i="40"/>
  <c r="AE104" i="40" s="1"/>
  <c r="I102" i="46"/>
  <c r="J66" i="39"/>
  <c r="T102" i="46"/>
  <c r="K103" i="40"/>
  <c r="D96" i="48" s="1"/>
  <c r="K103" i="51"/>
  <c r="K102" i="51"/>
  <c r="AG102" i="41"/>
  <c r="AG103" i="41"/>
  <c r="AG104" i="41" s="1"/>
  <c r="C80" i="1"/>
  <c r="E72" i="1"/>
  <c r="E92" i="1" s="1"/>
  <c r="D72" i="1"/>
  <c r="I112" i="19"/>
  <c r="O112" i="19"/>
  <c r="K100" i="20"/>
  <c r="K103" i="20" s="1"/>
  <c r="K102" i="20"/>
  <c r="K101" i="20"/>
  <c r="AG102" i="46"/>
  <c r="AG103" i="46" s="1"/>
  <c r="AG101" i="46"/>
  <c r="AC103" i="51"/>
  <c r="AC104" i="51" s="1"/>
  <c r="AC102" i="51"/>
  <c r="I103" i="51"/>
  <c r="J50" i="19"/>
  <c r="I68" i="19"/>
  <c r="K50" i="19"/>
  <c r="K79" i="19" s="1"/>
  <c r="G102" i="46"/>
  <c r="I111" i="9"/>
  <c r="I122" i="11"/>
  <c r="H123" i="22"/>
  <c r="K123" i="22" s="1"/>
  <c r="O110" i="10"/>
  <c r="Q110" i="10" s="1"/>
  <c r="Q113" i="10" s="1"/>
  <c r="V103" i="41"/>
  <c r="I140" i="12"/>
  <c r="K140" i="12" s="1"/>
  <c r="K117" i="12"/>
  <c r="G104" i="49"/>
  <c r="G103" i="49"/>
  <c r="O68" i="19"/>
  <c r="Q50" i="19"/>
  <c r="Q79" i="19" s="1"/>
  <c r="P50" i="19"/>
  <c r="E50" i="10"/>
  <c r="E49" i="10"/>
  <c r="E52" i="10" s="1"/>
  <c r="R104" i="49"/>
  <c r="R105" i="49" s="1"/>
  <c r="AC102" i="46"/>
  <c r="AC103" i="46" s="1"/>
  <c r="AC101" i="46"/>
  <c r="G103" i="51"/>
  <c r="G104" i="51" s="1"/>
  <c r="G102" i="51"/>
  <c r="K72" i="1"/>
  <c r="K92" i="1" s="1"/>
  <c r="I80" i="1"/>
  <c r="J72" i="1"/>
  <c r="H66" i="39"/>
  <c r="I103" i="41"/>
  <c r="I102" i="41"/>
  <c r="E63" i="12"/>
  <c r="I103" i="40"/>
  <c r="R103" i="51"/>
  <c r="B66" i="39"/>
  <c r="B67" i="39" s="1"/>
  <c r="D66" i="39"/>
  <c r="O111" i="9"/>
  <c r="O132" i="22"/>
  <c r="C122" i="11"/>
  <c r="C132" i="22"/>
  <c r="H103" i="22"/>
  <c r="K103" i="22" s="1"/>
  <c r="N103" i="22"/>
  <c r="Q103" i="22" s="1"/>
  <c r="H104" i="22"/>
  <c r="K104" i="22" s="1"/>
  <c r="N104" i="22"/>
  <c r="Q104" i="22" s="1"/>
  <c r="B104" i="22"/>
  <c r="E104" i="22" s="1"/>
  <c r="B103" i="22"/>
  <c r="E103" i="22" s="1"/>
  <c r="E102" i="22"/>
  <c r="AE103" i="51"/>
  <c r="AE104" i="51" s="1"/>
  <c r="AE102" i="51"/>
  <c r="O80" i="1"/>
  <c r="Q72" i="1"/>
  <c r="Q92" i="1" s="1"/>
  <c r="B4" i="23" l="1"/>
  <c r="B8" i="23" s="1"/>
  <c r="JI2" i="52"/>
  <c r="P76" i="55"/>
  <c r="P78" i="55" s="1"/>
  <c r="F19" i="36"/>
  <c r="JK2" i="52"/>
  <c r="D273" i="47"/>
  <c r="JL2" i="52" s="1"/>
  <c r="BBN2" i="52"/>
  <c r="JJ2" i="52"/>
  <c r="Q94" i="19"/>
  <c r="Q123" i="19" s="1"/>
  <c r="AEL2" i="52"/>
  <c r="J76" i="48"/>
  <c r="J78" i="48" s="1"/>
  <c r="D819" i="47" s="1"/>
  <c r="AEI2" i="52" s="1"/>
  <c r="K17" i="10"/>
  <c r="SN2" i="52"/>
  <c r="AEG2" i="52"/>
  <c r="BCF2" i="52"/>
  <c r="AEP2" i="52"/>
  <c r="AEO2" i="52"/>
  <c r="X76" i="55"/>
  <c r="X78" i="55" s="1"/>
  <c r="L76" i="48"/>
  <c r="L78" i="48" s="1"/>
  <c r="D820" i="47" s="1"/>
  <c r="BBZ2" i="52" s="1"/>
  <c r="ADR2" i="52"/>
  <c r="K42" i="22"/>
  <c r="K88" i="22"/>
  <c r="K90" i="22" s="1"/>
  <c r="K89" i="22"/>
  <c r="E88" i="22"/>
  <c r="E90" i="22" s="1"/>
  <c r="E89" i="22"/>
  <c r="Q39" i="22"/>
  <c r="Q41" i="22" s="1"/>
  <c r="Q40" i="22"/>
  <c r="Q89" i="22"/>
  <c r="Q88" i="22"/>
  <c r="Q90" i="22" s="1"/>
  <c r="E40" i="22"/>
  <c r="E39" i="22"/>
  <c r="E41" i="22" s="1"/>
  <c r="IU2" i="52"/>
  <c r="T76" i="55"/>
  <c r="T78" i="55" s="1"/>
  <c r="ACV2" i="52"/>
  <c r="B81" i="48"/>
  <c r="K94" i="19"/>
  <c r="K123" i="19" s="1"/>
  <c r="K94" i="10"/>
  <c r="BCD2" i="52"/>
  <c r="H93" i="11"/>
  <c r="I91" i="11" s="1"/>
  <c r="H54" i="11"/>
  <c r="K54" i="11" s="1"/>
  <c r="K74" i="10"/>
  <c r="K100" i="10"/>
  <c r="I122" i="10" s="1"/>
  <c r="K122" i="10" s="1"/>
  <c r="J25" i="36"/>
  <c r="B88" i="36" s="1"/>
  <c r="P58" i="39" s="1"/>
  <c r="I17" i="31"/>
  <c r="H22" i="31"/>
  <c r="H27" i="31" s="1"/>
  <c r="I13" i="31"/>
  <c r="D172" i="47"/>
  <c r="FO2" i="52" s="1"/>
  <c r="E110" i="10"/>
  <c r="E113" i="10" s="1"/>
  <c r="E116" i="10" s="1"/>
  <c r="ACW2" i="52"/>
  <c r="P14" i="39"/>
  <c r="I16" i="31"/>
  <c r="I36" i="16"/>
  <c r="I33" i="16"/>
  <c r="I18" i="31"/>
  <c r="I34" i="16"/>
  <c r="D236" i="47"/>
  <c r="IA2" i="52" s="1"/>
  <c r="J90" i="48"/>
  <c r="D513" i="47" s="1"/>
  <c r="SR2" i="52" s="1"/>
  <c r="I38" i="16"/>
  <c r="I37" i="16"/>
  <c r="J92" i="48"/>
  <c r="D514" i="47" s="1"/>
  <c r="AQP2" i="52" s="1"/>
  <c r="I35" i="16"/>
  <c r="D163" i="47"/>
  <c r="FF2" i="52" s="1"/>
  <c r="H55" i="31"/>
  <c r="H57" i="31" s="1"/>
  <c r="H18" i="30"/>
  <c r="I16" i="30" s="1"/>
  <c r="I14" i="31"/>
  <c r="K104" i="51"/>
  <c r="ACL2" i="52"/>
  <c r="C35" i="36"/>
  <c r="C38" i="36"/>
  <c r="D307" i="47"/>
  <c r="AJD2" i="52" s="1"/>
  <c r="C33" i="36"/>
  <c r="H6" i="11"/>
  <c r="K6" i="11" s="1"/>
  <c r="H45" i="11"/>
  <c r="B88" i="16"/>
  <c r="R58" i="39" s="1"/>
  <c r="J46" i="16"/>
  <c r="I104" i="51"/>
  <c r="F16" i="39"/>
  <c r="B45" i="18"/>
  <c r="E45" i="18" s="1"/>
  <c r="B96" i="48"/>
  <c r="E9" i="18"/>
  <c r="L45" i="39" s="1"/>
  <c r="E70" i="12"/>
  <c r="B45" i="7" s="1"/>
  <c r="J45" i="7" s="1"/>
  <c r="C44" i="12"/>
  <c r="E70" i="20"/>
  <c r="E71" i="20"/>
  <c r="C77" i="20"/>
  <c r="E77" i="20" s="1"/>
  <c r="T8" i="18"/>
  <c r="D653" i="47" s="1"/>
  <c r="YA2" i="52" s="1"/>
  <c r="C6" i="12"/>
  <c r="E6" i="12" s="1"/>
  <c r="B8" i="12"/>
  <c r="E8" i="12" s="1"/>
  <c r="C45" i="12"/>
  <c r="B6" i="11"/>
  <c r="E6" i="11" s="1"/>
  <c r="C103" i="12"/>
  <c r="C102" i="12"/>
  <c r="C100" i="12"/>
  <c r="C99" i="12"/>
  <c r="C98" i="12"/>
  <c r="C101" i="12"/>
  <c r="C47" i="12"/>
  <c r="C42" i="12"/>
  <c r="C46" i="12"/>
  <c r="E9" i="20"/>
  <c r="KR2" i="52"/>
  <c r="IW2" i="52"/>
  <c r="Q73" i="20"/>
  <c r="D76" i="48"/>
  <c r="D78" i="48" s="1"/>
  <c r="D816" i="47" s="1"/>
  <c r="Q50" i="20"/>
  <c r="Q49" i="20"/>
  <c r="Q48" i="20"/>
  <c r="Q51" i="20" s="1"/>
  <c r="J21" i="36"/>
  <c r="R104" i="40"/>
  <c r="C37" i="36"/>
  <c r="C36" i="36"/>
  <c r="T104" i="40"/>
  <c r="N37" i="39"/>
  <c r="M112" i="11"/>
  <c r="Q112" i="11" s="1"/>
  <c r="Q114" i="11" s="1"/>
  <c r="Q116" i="11" s="1"/>
  <c r="I34" i="36"/>
  <c r="D355" i="47"/>
  <c r="AKW2" i="52" s="1"/>
  <c r="I37" i="36"/>
  <c r="I33" i="36"/>
  <c r="I38" i="36"/>
  <c r="BAE2" i="52"/>
  <c r="MN2" i="52"/>
  <c r="I36" i="36"/>
  <c r="Q50" i="9"/>
  <c r="Q52" i="9" s="1"/>
  <c r="Q122" i="11"/>
  <c r="Q101" i="11"/>
  <c r="Q104" i="11" s="1"/>
  <c r="B38" i="31" s="1"/>
  <c r="J38" i="31" s="1"/>
  <c r="F48" i="31" s="1"/>
  <c r="F50" i="31" s="1"/>
  <c r="D16" i="7"/>
  <c r="D21" i="7" s="1"/>
  <c r="D25" i="7" s="1"/>
  <c r="D268" i="47" s="1"/>
  <c r="D11" i="36"/>
  <c r="E7" i="36" s="1"/>
  <c r="D19" i="36"/>
  <c r="D257" i="47"/>
  <c r="IV2" i="52" s="1"/>
  <c r="QL2" i="52"/>
  <c r="E101" i="11"/>
  <c r="F102" i="11" s="1"/>
  <c r="IT2" i="52"/>
  <c r="A122" i="11"/>
  <c r="E122" i="11" s="1"/>
  <c r="D38" i="1"/>
  <c r="D40" i="1" s="1"/>
  <c r="K84" i="49"/>
  <c r="E19" i="11"/>
  <c r="E21" i="11" s="1"/>
  <c r="D64" i="19"/>
  <c r="BAG2" i="52"/>
  <c r="I84" i="49"/>
  <c r="G84" i="49"/>
  <c r="F90" i="48"/>
  <c r="D477" i="47" s="1"/>
  <c r="RH2" i="52" s="1"/>
  <c r="F92" i="48"/>
  <c r="D478" i="47" s="1"/>
  <c r="RI2" i="52" s="1"/>
  <c r="H99" i="55"/>
  <c r="F99" i="55"/>
  <c r="D90" i="48"/>
  <c r="D459" i="47" s="1"/>
  <c r="AOP2" i="52" s="1"/>
  <c r="F97" i="55"/>
  <c r="F91" i="48"/>
  <c r="D479" i="47" s="1"/>
  <c r="RJ2" i="52" s="1"/>
  <c r="D97" i="55"/>
  <c r="D95" i="55"/>
  <c r="D92" i="48"/>
  <c r="D460" i="47" s="1"/>
  <c r="QQ2" i="52" s="1"/>
  <c r="D99" i="55"/>
  <c r="D23" i="18"/>
  <c r="E23" i="18" s="1"/>
  <c r="E25" i="18" s="1"/>
  <c r="E27" i="18" s="1"/>
  <c r="L35" i="39" s="1"/>
  <c r="B44" i="7"/>
  <c r="J44" i="7" s="1"/>
  <c r="B35" i="7"/>
  <c r="J35" i="7" s="1"/>
  <c r="L44" i="39"/>
  <c r="A42" i="18"/>
  <c r="D42" i="18"/>
  <c r="E42" i="18" s="1"/>
  <c r="E44" i="18" s="1"/>
  <c r="ACU2" i="52"/>
  <c r="C63" i="16"/>
  <c r="C61" i="16"/>
  <c r="C60" i="16"/>
  <c r="C34" i="36"/>
  <c r="D380" i="47"/>
  <c r="NO2" i="52" s="1"/>
  <c r="D124" i="47"/>
  <c r="DS2" i="52" s="1"/>
  <c r="C38" i="16"/>
  <c r="H31" i="1"/>
  <c r="I66" i="1"/>
  <c r="I64" i="1"/>
  <c r="I61" i="1"/>
  <c r="I62" i="1"/>
  <c r="I65" i="1"/>
  <c r="I63" i="1"/>
  <c r="OZ2" i="52"/>
  <c r="B49" i="30"/>
  <c r="C62" i="16"/>
  <c r="D179" i="47"/>
  <c r="FV2" i="52" s="1"/>
  <c r="C65" i="16"/>
  <c r="AGK2" i="52"/>
  <c r="C40" i="11"/>
  <c r="C43" i="11"/>
  <c r="C41" i="11"/>
  <c r="C44" i="11"/>
  <c r="J42" i="16"/>
  <c r="B18" i="31"/>
  <c r="C14" i="31" s="1"/>
  <c r="D115" i="47"/>
  <c r="DJ2" i="52" s="1"/>
  <c r="J69" i="16"/>
  <c r="HP2" i="52"/>
  <c r="D49" i="30"/>
  <c r="F49" i="30" s="1"/>
  <c r="I98" i="40"/>
  <c r="I104" i="40" s="1"/>
  <c r="I99" i="40"/>
  <c r="I106" i="40" s="1"/>
  <c r="G10" i="36"/>
  <c r="G6" i="36"/>
  <c r="AGG2" i="52"/>
  <c r="AFV2" i="52"/>
  <c r="D30" i="19"/>
  <c r="D32" i="19" s="1"/>
  <c r="Q115" i="10"/>
  <c r="Q114" i="10"/>
  <c r="Q117" i="10" s="1"/>
  <c r="Q116" i="10"/>
  <c r="K116" i="10"/>
  <c r="K114" i="10"/>
  <c r="K117" i="10" s="1"/>
  <c r="K115" i="10"/>
  <c r="E72" i="10"/>
  <c r="E71" i="10"/>
  <c r="E70" i="10"/>
  <c r="E73" i="10" s="1"/>
  <c r="Q71" i="10"/>
  <c r="Q72" i="10"/>
  <c r="Q70" i="10"/>
  <c r="Q73" i="10" s="1"/>
  <c r="K30" i="10"/>
  <c r="E30" i="10"/>
  <c r="B79" i="19"/>
  <c r="D73" i="19"/>
  <c r="D72" i="19"/>
  <c r="D74" i="19" s="1"/>
  <c r="C37" i="16"/>
  <c r="C33" i="16"/>
  <c r="J73" i="16"/>
  <c r="E59" i="22"/>
  <c r="E58" i="22"/>
  <c r="E60" i="22" s="1"/>
  <c r="G97" i="40"/>
  <c r="G102" i="40" s="1"/>
  <c r="G98" i="40"/>
  <c r="G104" i="40" s="1"/>
  <c r="C36" i="16"/>
  <c r="C34" i="16"/>
  <c r="B18" i="30"/>
  <c r="C18" i="30" s="1"/>
  <c r="D200" i="47"/>
  <c r="AFG2" i="52" s="1"/>
  <c r="Q17" i="20"/>
  <c r="E94" i="19"/>
  <c r="E123" i="19" s="1"/>
  <c r="D94" i="19"/>
  <c r="D96" i="19" s="1"/>
  <c r="APU2" i="52"/>
  <c r="D275" i="47"/>
  <c r="JN2" i="52" s="1"/>
  <c r="G7" i="36"/>
  <c r="F18" i="7"/>
  <c r="G18" i="7" s="1"/>
  <c r="G8" i="36"/>
  <c r="G11" i="36"/>
  <c r="AIK2" i="52"/>
  <c r="E9" i="10"/>
  <c r="D396" i="47"/>
  <c r="AMI2" i="52" s="1"/>
  <c r="AFK2" i="52"/>
  <c r="K9" i="10"/>
  <c r="E103" i="9"/>
  <c r="E104" i="9" s="1"/>
  <c r="E106" i="9" s="1"/>
  <c r="E72" i="9"/>
  <c r="E71" i="9"/>
  <c r="E73" i="9" s="1"/>
  <c r="E28" i="9"/>
  <c r="E27" i="9"/>
  <c r="E29" i="9" s="1"/>
  <c r="K70" i="20"/>
  <c r="K69" i="20"/>
  <c r="K71" i="20"/>
  <c r="E115" i="20"/>
  <c r="E114" i="20"/>
  <c r="E113" i="20"/>
  <c r="E116" i="20" s="1"/>
  <c r="K115" i="20"/>
  <c r="K113" i="20"/>
  <c r="K116" i="20" s="1"/>
  <c r="K114" i="20"/>
  <c r="Q113" i="20"/>
  <c r="Q116" i="20" s="1"/>
  <c r="Q114" i="20"/>
  <c r="Q115" i="20"/>
  <c r="Q29" i="20"/>
  <c r="Q31" i="20" s="1"/>
  <c r="B58" i="1"/>
  <c r="D50" i="1"/>
  <c r="D49" i="1"/>
  <c r="D51" i="1" s="1"/>
  <c r="J52" i="1"/>
  <c r="K29" i="20"/>
  <c r="K31" i="20" s="1"/>
  <c r="E29" i="20"/>
  <c r="E31" i="20" s="1"/>
  <c r="P19" i="1"/>
  <c r="P21" i="1" s="1"/>
  <c r="D19" i="1"/>
  <c r="D21" i="1" s="1"/>
  <c r="J19" i="1"/>
  <c r="E38" i="16"/>
  <c r="K95" i="10"/>
  <c r="E9" i="16"/>
  <c r="AFP2" i="52"/>
  <c r="D131" i="47"/>
  <c r="DZ2" i="52" s="1"/>
  <c r="E18" i="30"/>
  <c r="D22" i="30"/>
  <c r="D27" i="30" s="1"/>
  <c r="AZO2" i="52"/>
  <c r="AN87" i="40"/>
  <c r="AN99" i="40" s="1"/>
  <c r="T103" i="46"/>
  <c r="AO87" i="40"/>
  <c r="AO100" i="40" s="1"/>
  <c r="Q58" i="10"/>
  <c r="O91" i="11"/>
  <c r="O93" i="11"/>
  <c r="AMA2" i="52"/>
  <c r="H76" i="48"/>
  <c r="H78" i="48" s="1"/>
  <c r="D818" i="47" s="1"/>
  <c r="BBX2" i="52" s="1"/>
  <c r="O92" i="11"/>
  <c r="O89" i="11"/>
  <c r="O88" i="11"/>
  <c r="BBE2" i="52"/>
  <c r="O17" i="39"/>
  <c r="G64" i="16"/>
  <c r="O42" i="11"/>
  <c r="O41" i="11"/>
  <c r="O16" i="39"/>
  <c r="O15" i="39"/>
  <c r="B50" i="31"/>
  <c r="N21" i="39"/>
  <c r="N25" i="39" s="1"/>
  <c r="O40" i="11"/>
  <c r="O44" i="11"/>
  <c r="J32" i="19"/>
  <c r="G60" i="16"/>
  <c r="G62" i="16"/>
  <c r="J65" i="16"/>
  <c r="K64" i="16" s="1"/>
  <c r="G61" i="16"/>
  <c r="D211" i="47"/>
  <c r="AFR2" i="52" s="1"/>
  <c r="G65" i="16"/>
  <c r="E6" i="16"/>
  <c r="E33" i="16"/>
  <c r="E37" i="16"/>
  <c r="N22" i="39"/>
  <c r="N27" i="39" s="1"/>
  <c r="O13" i="39"/>
  <c r="ALY2" i="52"/>
  <c r="E17" i="30"/>
  <c r="N65" i="39"/>
  <c r="N67" i="39" s="1"/>
  <c r="E13" i="30"/>
  <c r="E11" i="16"/>
  <c r="E34" i="16"/>
  <c r="E14" i="30"/>
  <c r="J38" i="16"/>
  <c r="K36" i="16" s="1"/>
  <c r="D67" i="47"/>
  <c r="BN2" i="52" s="1"/>
  <c r="J11" i="16"/>
  <c r="K10" i="16" s="1"/>
  <c r="D18" i="31"/>
  <c r="E15" i="31" s="1"/>
  <c r="E36" i="16"/>
  <c r="E15" i="30"/>
  <c r="D55" i="30"/>
  <c r="D57" i="30" s="1"/>
  <c r="E35" i="16"/>
  <c r="E10" i="16"/>
  <c r="E7" i="16"/>
  <c r="O14" i="39"/>
  <c r="Q59" i="10"/>
  <c r="R98" i="33"/>
  <c r="R104" i="33" s="1"/>
  <c r="Q50" i="10"/>
  <c r="Q51" i="10"/>
  <c r="O78" i="10"/>
  <c r="Q78" i="10" s="1"/>
  <c r="E93" i="9"/>
  <c r="E94" i="9" s="1"/>
  <c r="E96" i="9" s="1"/>
  <c r="J16" i="31"/>
  <c r="J21" i="31" s="1"/>
  <c r="J25" i="31" s="1"/>
  <c r="A111" i="9"/>
  <c r="E111" i="9" s="1"/>
  <c r="E114" i="9" s="1"/>
  <c r="A122" i="22"/>
  <c r="E122" i="22" s="1"/>
  <c r="E124" i="22" s="1"/>
  <c r="E126" i="22" s="1"/>
  <c r="E114" i="22"/>
  <c r="E116" i="22" s="1"/>
  <c r="E77" i="22"/>
  <c r="E79" i="22" s="1"/>
  <c r="C95" i="22"/>
  <c r="E95" i="22" s="1"/>
  <c r="E67" i="22"/>
  <c r="E69" i="22" s="1"/>
  <c r="BAQ2" i="52"/>
  <c r="Q69" i="12"/>
  <c r="R99" i="33"/>
  <c r="R106" i="33" s="1"/>
  <c r="Q60" i="20"/>
  <c r="C34" i="9"/>
  <c r="E34" i="9" s="1"/>
  <c r="P9" i="19"/>
  <c r="P32" i="19" s="1"/>
  <c r="E7" i="9"/>
  <c r="E9" i="9" s="1"/>
  <c r="D42" i="39"/>
  <c r="Q45" i="1"/>
  <c r="P45" i="1"/>
  <c r="P48" i="1" s="1"/>
  <c r="AHX2" i="52"/>
  <c r="ADM2" i="52"/>
  <c r="E60" i="20"/>
  <c r="C78" i="10"/>
  <c r="E78" i="10" s="1"/>
  <c r="R104" i="51"/>
  <c r="E59" i="10"/>
  <c r="N102" i="33"/>
  <c r="N95" i="55" s="1"/>
  <c r="V97" i="33"/>
  <c r="N90" i="48" s="1"/>
  <c r="D549" i="47" s="1"/>
  <c r="UB2" i="52" s="1"/>
  <c r="V99" i="33"/>
  <c r="N92" i="48" s="1"/>
  <c r="D550" i="47" s="1"/>
  <c r="UC2" i="52" s="1"/>
  <c r="ADC2" i="52"/>
  <c r="N104" i="33"/>
  <c r="N97" i="55" s="1"/>
  <c r="V98" i="33"/>
  <c r="N91" i="48" s="1"/>
  <c r="D551" i="47" s="1"/>
  <c r="UD2" i="52" s="1"/>
  <c r="BAR2" i="52"/>
  <c r="N106" i="33"/>
  <c r="N99" i="55" s="1"/>
  <c r="AZS2" i="52"/>
  <c r="E29" i="22"/>
  <c r="C46" i="22"/>
  <c r="E46" i="22" s="1"/>
  <c r="V105" i="49"/>
  <c r="J96" i="48"/>
  <c r="V104" i="51"/>
  <c r="L96" i="48"/>
  <c r="J41" i="1"/>
  <c r="Q17" i="10"/>
  <c r="Q18" i="10" s="1"/>
  <c r="K53" i="10"/>
  <c r="J8" i="1"/>
  <c r="K9" i="20"/>
  <c r="K17" i="20"/>
  <c r="J9" i="36"/>
  <c r="D49" i="7" s="1"/>
  <c r="F49" i="7" s="1"/>
  <c r="H16" i="7"/>
  <c r="H21" i="7" s="1"/>
  <c r="H25" i="7" s="1"/>
  <c r="D300" i="47" s="1"/>
  <c r="JY2" i="52"/>
  <c r="AIJ2" i="52"/>
  <c r="Q57" i="11"/>
  <c r="Q59" i="11" s="1"/>
  <c r="O85" i="11"/>
  <c r="Q85" i="11" s="1"/>
  <c r="D738" i="47" s="1"/>
  <c r="H23" i="39"/>
  <c r="H29" i="39" s="1"/>
  <c r="H18" i="39"/>
  <c r="I14" i="39" s="1"/>
  <c r="H21" i="39"/>
  <c r="H25" i="39" s="1"/>
  <c r="P15" i="39"/>
  <c r="H15" i="36"/>
  <c r="H11" i="36"/>
  <c r="D289" i="47"/>
  <c r="KA2" i="52"/>
  <c r="AIL2" i="52"/>
  <c r="E93" i="10"/>
  <c r="E96" i="10" s="1"/>
  <c r="Q93" i="10"/>
  <c r="Q96" i="10" s="1"/>
  <c r="Q95" i="10"/>
  <c r="BBU2" i="52"/>
  <c r="D50" i="31"/>
  <c r="R49" i="39"/>
  <c r="T104" i="41"/>
  <c r="B54" i="11"/>
  <c r="E54" i="11" s="1"/>
  <c r="Q10" i="11"/>
  <c r="Q12" i="11" s="1"/>
  <c r="O37" i="11"/>
  <c r="Q37" i="11" s="1"/>
  <c r="D688" i="47" s="1"/>
  <c r="G112" i="11"/>
  <c r="K112" i="11" s="1"/>
  <c r="L113" i="11" s="1"/>
  <c r="K101" i="11"/>
  <c r="L102" i="11" s="1"/>
  <c r="L65" i="11"/>
  <c r="K68" i="11"/>
  <c r="K70" i="11" s="1"/>
  <c r="O46" i="22"/>
  <c r="Q46" i="22" s="1"/>
  <c r="Q28" i="22"/>
  <c r="Q30" i="22" s="1"/>
  <c r="Q31" i="22" s="1"/>
  <c r="H32" i="7"/>
  <c r="Q17" i="9"/>
  <c r="Q19" i="9" s="1"/>
  <c r="AZK2" i="52"/>
  <c r="H41" i="7"/>
  <c r="Q6" i="9"/>
  <c r="Q8" i="9" s="1"/>
  <c r="Q7" i="9"/>
  <c r="O34" i="9"/>
  <c r="Q34" i="9" s="1"/>
  <c r="Q19" i="22"/>
  <c r="Q18" i="22"/>
  <c r="ACC2" i="52"/>
  <c r="Y69" i="48"/>
  <c r="AG83" i="40"/>
  <c r="B93" i="11"/>
  <c r="C91" i="11" s="1"/>
  <c r="V83" i="40"/>
  <c r="AZZ2" i="52"/>
  <c r="R104" i="41"/>
  <c r="V104" i="41"/>
  <c r="M122" i="22"/>
  <c r="Q122" i="22" s="1"/>
  <c r="Q124" i="22" s="1"/>
  <c r="Q126" i="22" s="1"/>
  <c r="K50" i="20"/>
  <c r="J73" i="36"/>
  <c r="BAO2" i="52"/>
  <c r="ACY2" i="52"/>
  <c r="ANI2" i="52"/>
  <c r="L90" i="48"/>
  <c r="D531" i="47" s="1"/>
  <c r="L92" i="48"/>
  <c r="D532" i="47" s="1"/>
  <c r="J99" i="55"/>
  <c r="L99" i="55"/>
  <c r="J97" i="55"/>
  <c r="L97" i="55"/>
  <c r="J95" i="55"/>
  <c r="L95" i="55"/>
  <c r="ACX2" i="52"/>
  <c r="BAN2" i="52"/>
  <c r="BAP2" i="52"/>
  <c r="ACZ2" i="52"/>
  <c r="L91" i="48"/>
  <c r="D533" i="47" s="1"/>
  <c r="B36" i="30"/>
  <c r="B45" i="30"/>
  <c r="BAJ2" i="52"/>
  <c r="ACT2" i="52"/>
  <c r="BAI2" i="52"/>
  <c r="ACS2" i="52"/>
  <c r="ACR2" i="52"/>
  <c r="BAH2" i="52"/>
  <c r="K104" i="41"/>
  <c r="AN104" i="41" s="1"/>
  <c r="AN105" i="41" s="1"/>
  <c r="Q78" i="22"/>
  <c r="Q80" i="22" s="1"/>
  <c r="ACD2" i="52"/>
  <c r="O78" i="9"/>
  <c r="Q78" i="9" s="1"/>
  <c r="Q59" i="22"/>
  <c r="Q61" i="22" s="1"/>
  <c r="J69" i="36"/>
  <c r="Q61" i="9"/>
  <c r="Q63" i="9" s="1"/>
  <c r="ATB2" i="52"/>
  <c r="VH2" i="52"/>
  <c r="M111" i="9"/>
  <c r="Q111" i="9" s="1"/>
  <c r="M101" i="9"/>
  <c r="Q101" i="9" s="1"/>
  <c r="Q67" i="22"/>
  <c r="Q69" i="22" s="1"/>
  <c r="Q68" i="22"/>
  <c r="P38" i="1"/>
  <c r="P40" i="1" s="1"/>
  <c r="P39" i="1"/>
  <c r="K102" i="41"/>
  <c r="D408" i="47"/>
  <c r="AB55" i="49"/>
  <c r="AD55" i="49" s="1"/>
  <c r="AF55" i="49" s="1"/>
  <c r="AB58" i="49"/>
  <c r="AZT2" i="52"/>
  <c r="ACG2" i="52"/>
  <c r="OJ2" i="52"/>
  <c r="AMN2" i="52"/>
  <c r="D376" i="47"/>
  <c r="M132" i="22"/>
  <c r="Q132" i="22" s="1"/>
  <c r="Q135" i="22" s="1"/>
  <c r="O95" i="22"/>
  <c r="Q95" i="22" s="1"/>
  <c r="Q114" i="22"/>
  <c r="AEB2" i="52"/>
  <c r="BBR2" i="52"/>
  <c r="D371" i="47"/>
  <c r="C62" i="36"/>
  <c r="J65" i="36"/>
  <c r="C64" i="36"/>
  <c r="C63" i="36"/>
  <c r="C65" i="36"/>
  <c r="C60" i="36"/>
  <c r="C61" i="36"/>
  <c r="B49" i="7"/>
  <c r="G61" i="36"/>
  <c r="G62" i="36"/>
  <c r="G63" i="36"/>
  <c r="G64" i="36"/>
  <c r="G65" i="36"/>
  <c r="G60" i="36"/>
  <c r="D403" i="47"/>
  <c r="ND2" i="52"/>
  <c r="ALJ2" i="52"/>
  <c r="R76" i="48"/>
  <c r="R78" i="48" s="1"/>
  <c r="D823" i="47" s="1"/>
  <c r="VB2" i="52"/>
  <c r="ASV2" i="52"/>
  <c r="ACN2" i="52"/>
  <c r="I105" i="49"/>
  <c r="K106" i="41"/>
  <c r="I104" i="41"/>
  <c r="G105" i="49"/>
  <c r="G132" i="22"/>
  <c r="K132" i="22" s="1"/>
  <c r="K135" i="22" s="1"/>
  <c r="AO100" i="49"/>
  <c r="AO107" i="49" s="1"/>
  <c r="K68" i="22"/>
  <c r="K70" i="22" s="1"/>
  <c r="AZY2" i="52"/>
  <c r="B95" i="55"/>
  <c r="AME2" i="52"/>
  <c r="OA2" i="52"/>
  <c r="B90" i="48"/>
  <c r="D441" i="47" s="1"/>
  <c r="K101" i="46"/>
  <c r="H95" i="48" s="1"/>
  <c r="D501" i="47" s="1"/>
  <c r="AQD2" i="52" s="1"/>
  <c r="ACK2" i="52"/>
  <c r="BAA2" i="52"/>
  <c r="B91" i="48"/>
  <c r="D443" i="47" s="1"/>
  <c r="PZ2" i="52" s="1"/>
  <c r="B92" i="48"/>
  <c r="D442" i="47" s="1"/>
  <c r="B99" i="55"/>
  <c r="B97" i="55"/>
  <c r="K59" i="22"/>
  <c r="K61" i="22" s="1"/>
  <c r="K51" i="9"/>
  <c r="K53" i="9" s="1"/>
  <c r="D32" i="39"/>
  <c r="K93" i="9"/>
  <c r="K94" i="9" s="1"/>
  <c r="K96" i="9" s="1"/>
  <c r="E17" i="10"/>
  <c r="K122" i="11"/>
  <c r="AO103" i="49"/>
  <c r="G101" i="9"/>
  <c r="K101" i="9" s="1"/>
  <c r="E67" i="11"/>
  <c r="E69" i="11" s="1"/>
  <c r="K61" i="9"/>
  <c r="K63" i="9" s="1"/>
  <c r="AO99" i="49"/>
  <c r="AP98" i="49"/>
  <c r="AP103" i="49" s="1"/>
  <c r="AP100" i="49"/>
  <c r="AP107" i="49" s="1"/>
  <c r="K60" i="20"/>
  <c r="I78" i="9"/>
  <c r="K78" i="9" s="1"/>
  <c r="I77" i="20"/>
  <c r="K77" i="20" s="1"/>
  <c r="K49" i="20"/>
  <c r="J15" i="16"/>
  <c r="B37" i="39"/>
  <c r="E94" i="10"/>
  <c r="E58" i="10"/>
  <c r="J19" i="16"/>
  <c r="K114" i="22"/>
  <c r="K78" i="22"/>
  <c r="K80" i="22" s="1"/>
  <c r="I95" i="22"/>
  <c r="K95" i="22" s="1"/>
  <c r="AN99" i="49"/>
  <c r="AN100" i="49"/>
  <c r="AN107" i="49" s="1"/>
  <c r="K57" i="10"/>
  <c r="K60" i="10" s="1"/>
  <c r="K58" i="10"/>
  <c r="K59" i="10"/>
  <c r="I78" i="10"/>
  <c r="K78" i="10" s="1"/>
  <c r="C78" i="9"/>
  <c r="E78" i="9" s="1"/>
  <c r="E60" i="9"/>
  <c r="E62" i="9" s="1"/>
  <c r="I103" i="46"/>
  <c r="AN103" i="49"/>
  <c r="E132" i="22"/>
  <c r="E135" i="22" s="1"/>
  <c r="K103" i="46"/>
  <c r="H97" i="48" s="1"/>
  <c r="G103" i="46"/>
  <c r="ACE2" i="52"/>
  <c r="C6" i="16"/>
  <c r="C8" i="16"/>
  <c r="C10" i="16"/>
  <c r="D51" i="47"/>
  <c r="AX2" i="52" s="1"/>
  <c r="B31" i="1"/>
  <c r="C9" i="16"/>
  <c r="C11" i="16"/>
  <c r="C7" i="16"/>
  <c r="K111" i="9"/>
  <c r="N76" i="48"/>
  <c r="N78" i="48" s="1"/>
  <c r="D821" i="47" s="1"/>
  <c r="Q55" i="49"/>
  <c r="S55" i="49" s="1"/>
  <c r="U55" i="49" s="1"/>
  <c r="Q58" i="49"/>
  <c r="S58" i="49" s="1"/>
  <c r="U58" i="49" s="1"/>
  <c r="W58" i="49" s="1"/>
  <c r="SB2" i="52"/>
  <c r="APZ2" i="52"/>
  <c r="AP100" i="40"/>
  <c r="AP98" i="40"/>
  <c r="AP99" i="40"/>
  <c r="AO98" i="33"/>
  <c r="AO103" i="33" s="1"/>
  <c r="AO100" i="33"/>
  <c r="AO107" i="33" s="1"/>
  <c r="AO99" i="33"/>
  <c r="AO105" i="33" s="1"/>
  <c r="K105" i="46"/>
  <c r="AP100" i="33"/>
  <c r="AP107" i="33" s="1"/>
  <c r="AP98" i="33"/>
  <c r="AP103" i="33" s="1"/>
  <c r="AP99" i="33"/>
  <c r="AP105" i="33" s="1"/>
  <c r="AN98" i="33"/>
  <c r="AN103" i="33" s="1"/>
  <c r="AN100" i="33"/>
  <c r="AN107" i="33" s="1"/>
  <c r="AN99" i="33"/>
  <c r="AN105" i="33" s="1"/>
  <c r="APX2" i="52"/>
  <c r="RZ2" i="52"/>
  <c r="SA2" i="52"/>
  <c r="APY2" i="52"/>
  <c r="K102" i="40"/>
  <c r="H70" i="12"/>
  <c r="BBP2" i="52"/>
  <c r="ADZ2" i="52"/>
  <c r="F41" i="30"/>
  <c r="K16" i="12"/>
  <c r="K17" i="12"/>
  <c r="K22" i="12" s="1"/>
  <c r="I47" i="12"/>
  <c r="I43" i="12"/>
  <c r="I44" i="12"/>
  <c r="I42" i="12"/>
  <c r="I46" i="12"/>
  <c r="K18" i="9"/>
  <c r="K19" i="9" s="1"/>
  <c r="K32" i="9" s="1"/>
  <c r="O74" i="48"/>
  <c r="H103" i="12"/>
  <c r="G37" i="36"/>
  <c r="G34" i="36"/>
  <c r="G36" i="36"/>
  <c r="G38" i="36"/>
  <c r="G35" i="36"/>
  <c r="D339" i="47"/>
  <c r="G33" i="36"/>
  <c r="J38" i="36"/>
  <c r="J46" i="36"/>
  <c r="J18" i="39"/>
  <c r="J21" i="39"/>
  <c r="J25" i="39" s="1"/>
  <c r="F22" i="31"/>
  <c r="F27" i="31" s="1"/>
  <c r="G15" i="31"/>
  <c r="F55" i="31"/>
  <c r="F57" i="31" s="1"/>
  <c r="G14" i="31"/>
  <c r="G18" i="31"/>
  <c r="G13" i="31"/>
  <c r="G17" i="31"/>
  <c r="K11" i="22"/>
  <c r="K12" i="22" s="1"/>
  <c r="AZJ2" i="52"/>
  <c r="ABW2" i="52"/>
  <c r="LX2" i="52"/>
  <c r="AKF2" i="52"/>
  <c r="I62" i="12"/>
  <c r="I118" i="12" s="1"/>
  <c r="K118" i="12" s="1"/>
  <c r="ART2" i="52"/>
  <c r="TX2" i="52"/>
  <c r="I83" i="9"/>
  <c r="I86" i="9"/>
  <c r="I85" i="9"/>
  <c r="I81" i="9"/>
  <c r="I82" i="9"/>
  <c r="AMX2" i="52"/>
  <c r="OU2" i="52"/>
  <c r="G16" i="30"/>
  <c r="G14" i="30"/>
  <c r="G17" i="30"/>
  <c r="G15" i="30"/>
  <c r="G13" i="30"/>
  <c r="G18" i="30"/>
  <c r="F22" i="30"/>
  <c r="F27" i="30" s="1"/>
  <c r="F55" i="30"/>
  <c r="F57" i="30" s="1"/>
  <c r="P12" i="39"/>
  <c r="P55" i="39"/>
  <c r="S55" i="39" s="1"/>
  <c r="H64" i="12"/>
  <c r="K64" i="12" s="1"/>
  <c r="TR2" i="52"/>
  <c r="ARN2" i="52"/>
  <c r="HK2" i="52"/>
  <c r="AFZ2" i="52"/>
  <c r="J21" i="30"/>
  <c r="J25" i="30" s="1"/>
  <c r="J18" i="30"/>
  <c r="K16" i="30" s="1"/>
  <c r="LC2" i="52"/>
  <c r="AJL2" i="52"/>
  <c r="ST2" i="52"/>
  <c r="AQQ2" i="52"/>
  <c r="D668" i="47"/>
  <c r="AWF2" i="52" s="1"/>
  <c r="D671" i="47"/>
  <c r="D284" i="47"/>
  <c r="D92" i="47"/>
  <c r="CM2" i="52" s="1"/>
  <c r="C39" i="9"/>
  <c r="C42" i="9"/>
  <c r="C37" i="9"/>
  <c r="C41" i="9"/>
  <c r="C38" i="9"/>
  <c r="K106" i="40"/>
  <c r="B99" i="48" s="1"/>
  <c r="D18" i="39"/>
  <c r="BAC2" i="52"/>
  <c r="ACM2" i="52"/>
  <c r="E11" i="22"/>
  <c r="E12" i="22" s="1"/>
  <c r="AOR2" i="52"/>
  <c r="QR2" i="52"/>
  <c r="E30" i="22"/>
  <c r="K104" i="40"/>
  <c r="IF2" i="52"/>
  <c r="AGT2" i="52"/>
  <c r="C6" i="36"/>
  <c r="D243" i="47"/>
  <c r="C9" i="36"/>
  <c r="C7" i="36"/>
  <c r="C11" i="36"/>
  <c r="C10" i="36"/>
  <c r="B18" i="7"/>
  <c r="C8" i="36"/>
  <c r="B66" i="1"/>
  <c r="B18" i="39"/>
  <c r="C16" i="39" s="1"/>
  <c r="B21" i="39"/>
  <c r="B25" i="39" s="1"/>
  <c r="P23" i="39"/>
  <c r="P29" i="39" s="1"/>
  <c r="B21" i="7"/>
  <c r="B25" i="7" s="1"/>
  <c r="Q19" i="12"/>
  <c r="N20" i="12" s="1"/>
  <c r="Q20" i="12" s="1"/>
  <c r="Q23" i="12" s="1"/>
  <c r="E104" i="20"/>
  <c r="Q94" i="10"/>
  <c r="AKA2" i="52"/>
  <c r="LS2" i="52"/>
  <c r="E114" i="11"/>
  <c r="E116" i="11" s="1"/>
  <c r="D54" i="19"/>
  <c r="D58" i="1"/>
  <c r="K124" i="22"/>
  <c r="K125" i="22" s="1"/>
  <c r="K127" i="22" s="1"/>
  <c r="E53" i="10"/>
  <c r="K30" i="22"/>
  <c r="K31" i="22" s="1"/>
  <c r="E53" i="9"/>
  <c r="D79" i="19"/>
  <c r="E52" i="20"/>
  <c r="Q104" i="20"/>
  <c r="E105" i="22"/>
  <c r="E72" i="12"/>
  <c r="E73" i="12"/>
  <c r="E78" i="12" s="1"/>
  <c r="J73" i="1"/>
  <c r="J75" i="1" s="1"/>
  <c r="J74" i="1"/>
  <c r="Q103" i="10"/>
  <c r="Q101" i="10"/>
  <c r="Q104" i="10" s="1"/>
  <c r="Q102" i="10"/>
  <c r="K104" i="20"/>
  <c r="Q72" i="12"/>
  <c r="Q74" i="12"/>
  <c r="Q73" i="12"/>
  <c r="Q78" i="12" s="1"/>
  <c r="Q92" i="20"/>
  <c r="Q95" i="20" s="1"/>
  <c r="Q94" i="20"/>
  <c r="Q93" i="20"/>
  <c r="O121" i="20"/>
  <c r="Q121" i="20" s="1"/>
  <c r="Q95" i="9"/>
  <c r="Q94" i="9"/>
  <c r="Q96" i="9" s="1"/>
  <c r="P68" i="19"/>
  <c r="P71" i="19" s="1"/>
  <c r="Q68" i="19"/>
  <c r="K112" i="19"/>
  <c r="J112" i="19"/>
  <c r="J115" i="19" s="1"/>
  <c r="I121" i="20"/>
  <c r="K121" i="20" s="1"/>
  <c r="K94" i="20"/>
  <c r="K93" i="20"/>
  <c r="K92" i="20"/>
  <c r="K95" i="20" s="1"/>
  <c r="K80" i="1"/>
  <c r="J80" i="1"/>
  <c r="J83" i="1" s="1"/>
  <c r="K68" i="19"/>
  <c r="J68" i="19"/>
  <c r="J71" i="19" s="1"/>
  <c r="ANM2" i="52"/>
  <c r="PK2" i="52"/>
  <c r="J95" i="19"/>
  <c r="J97" i="19" s="1"/>
  <c r="J96" i="19"/>
  <c r="AFC2" i="52"/>
  <c r="GL2" i="52"/>
  <c r="P74" i="1"/>
  <c r="P73" i="1"/>
  <c r="P75" i="1" s="1"/>
  <c r="J52" i="19"/>
  <c r="J51" i="19"/>
  <c r="J53" i="19" s="1"/>
  <c r="D73" i="1"/>
  <c r="D75" i="1" s="1"/>
  <c r="D74" i="1"/>
  <c r="E103" i="10"/>
  <c r="E101" i="10"/>
  <c r="E104" i="10" s="1"/>
  <c r="E102" i="10"/>
  <c r="E125" i="12"/>
  <c r="Q80" i="1"/>
  <c r="P80" i="1"/>
  <c r="P83" i="1" s="1"/>
  <c r="Q105" i="22"/>
  <c r="Q112" i="19"/>
  <c r="P112" i="19"/>
  <c r="P115" i="19" s="1"/>
  <c r="MY2" i="52"/>
  <c r="ALE2" i="52"/>
  <c r="P66" i="39"/>
  <c r="P67" i="39" s="1"/>
  <c r="Q119" i="12"/>
  <c r="Q125" i="12"/>
  <c r="K105" i="22"/>
  <c r="P51" i="19"/>
  <c r="P53" i="19" s="1"/>
  <c r="P52" i="19"/>
  <c r="D80" i="1"/>
  <c r="D83" i="1" s="1"/>
  <c r="E80" i="1"/>
  <c r="E93" i="20"/>
  <c r="E92" i="20"/>
  <c r="E95" i="20" s="1"/>
  <c r="E94" i="20"/>
  <c r="C121" i="20"/>
  <c r="E121" i="20" s="1"/>
  <c r="K105" i="49"/>
  <c r="B97" i="48" s="1"/>
  <c r="AO104" i="49"/>
  <c r="AP104" i="49"/>
  <c r="AP105" i="49" s="1"/>
  <c r="AN104" i="49"/>
  <c r="P95" i="19"/>
  <c r="P97" i="19" s="1"/>
  <c r="P96" i="19"/>
  <c r="E128" i="12"/>
  <c r="E129" i="12"/>
  <c r="E134" i="12" s="1"/>
  <c r="O122" i="10"/>
  <c r="Q122" i="10" s="1"/>
  <c r="E112" i="19"/>
  <c r="D112" i="19"/>
  <c r="D115" i="19" s="1"/>
  <c r="B6" i="23" l="1"/>
  <c r="J19" i="36"/>
  <c r="B7" i="23"/>
  <c r="M7" i="23" s="1"/>
  <c r="B9" i="23"/>
  <c r="K18" i="10"/>
  <c r="AEJ2" i="52"/>
  <c r="BBY2" i="52"/>
  <c r="E91" i="22"/>
  <c r="E42" i="22"/>
  <c r="Q42" i="22"/>
  <c r="K91" i="22"/>
  <c r="K93" i="22" s="1"/>
  <c r="Q136" i="22"/>
  <c r="Q138" i="22" s="1"/>
  <c r="Q137" i="22"/>
  <c r="Q91" i="22"/>
  <c r="E137" i="22"/>
  <c r="E136" i="22"/>
  <c r="E138" i="22" s="1"/>
  <c r="K137" i="22"/>
  <c r="K136" i="22"/>
  <c r="K138" i="22" s="1"/>
  <c r="K97" i="10"/>
  <c r="K102" i="10"/>
  <c r="K103" i="10"/>
  <c r="K101" i="10"/>
  <c r="K104" i="10" s="1"/>
  <c r="I93" i="11"/>
  <c r="I89" i="11"/>
  <c r="I90" i="11"/>
  <c r="I92" i="11"/>
  <c r="I88" i="11"/>
  <c r="C122" i="10"/>
  <c r="E122" i="10" s="1"/>
  <c r="I14" i="30"/>
  <c r="I15" i="30"/>
  <c r="H22" i="30"/>
  <c r="H27" i="30" s="1"/>
  <c r="I17" i="30"/>
  <c r="P16" i="39"/>
  <c r="P49" i="39" s="1"/>
  <c r="E114" i="10"/>
  <c r="E117" i="10" s="1"/>
  <c r="E115" i="10"/>
  <c r="AGO2" i="52"/>
  <c r="AQO2" i="52"/>
  <c r="I13" i="30"/>
  <c r="SS2" i="52"/>
  <c r="H55" i="30"/>
  <c r="H57" i="30" s="1"/>
  <c r="I18" i="30"/>
  <c r="E46" i="18"/>
  <c r="L40" i="39" s="1"/>
  <c r="KT2" i="52"/>
  <c r="I43" i="11"/>
  <c r="I41" i="11"/>
  <c r="I40" i="11"/>
  <c r="I44" i="11"/>
  <c r="I42" i="11"/>
  <c r="S58" i="39"/>
  <c r="F21" i="39"/>
  <c r="F25" i="39" s="1"/>
  <c r="F18" i="39"/>
  <c r="J11" i="36"/>
  <c r="K6" i="36" s="1"/>
  <c r="E6" i="36"/>
  <c r="E10" i="36"/>
  <c r="D18" i="7"/>
  <c r="E16" i="7" s="1"/>
  <c r="E9" i="36"/>
  <c r="E8" i="36"/>
  <c r="E11" i="36"/>
  <c r="D259" i="47"/>
  <c r="IX2" i="52" s="1"/>
  <c r="Q53" i="9"/>
  <c r="Q76" i="9" s="1"/>
  <c r="Q52" i="20"/>
  <c r="Q75" i="20" s="1"/>
  <c r="B36" i="7"/>
  <c r="J36" i="7" s="1"/>
  <c r="E73" i="20"/>
  <c r="E75" i="20" s="1"/>
  <c r="AVQ2" i="52"/>
  <c r="E13" i="12"/>
  <c r="E7" i="12"/>
  <c r="E16" i="12" s="1"/>
  <c r="J42" i="39" s="1"/>
  <c r="APG2" i="52"/>
  <c r="Q115" i="11"/>
  <c r="Q117" i="11" s="1"/>
  <c r="MP2" i="52"/>
  <c r="AHI2" i="52"/>
  <c r="D76" i="47"/>
  <c r="BW2" i="52" s="1"/>
  <c r="D41" i="1"/>
  <c r="QP2" i="52"/>
  <c r="AC84" i="49"/>
  <c r="R84" i="49"/>
  <c r="M9" i="23"/>
  <c r="M8" i="23"/>
  <c r="E22" i="11"/>
  <c r="F97" i="48"/>
  <c r="L34" i="39"/>
  <c r="F95" i="48"/>
  <c r="D483" i="47" s="1"/>
  <c r="RN2" i="52" s="1"/>
  <c r="APH2" i="52"/>
  <c r="AOQ2" i="52"/>
  <c r="F99" i="48"/>
  <c r="D95" i="48"/>
  <c r="D465" i="47" s="1"/>
  <c r="QV2" i="52" s="1"/>
  <c r="API2" i="52"/>
  <c r="D97" i="48"/>
  <c r="L39" i="39"/>
  <c r="ALT2" i="52"/>
  <c r="M4" i="23"/>
  <c r="I31" i="1"/>
  <c r="I26" i="1"/>
  <c r="I28" i="1"/>
  <c r="I30" i="1"/>
  <c r="I27" i="1"/>
  <c r="I29" i="1"/>
  <c r="C45" i="11"/>
  <c r="B22" i="31"/>
  <c r="B27" i="31" s="1"/>
  <c r="C13" i="31"/>
  <c r="C15" i="31"/>
  <c r="C16" i="31"/>
  <c r="B55" i="31"/>
  <c r="B57" i="31" s="1"/>
  <c r="C18" i="31"/>
  <c r="C17" i="31"/>
  <c r="B86" i="16"/>
  <c r="C15" i="30"/>
  <c r="GQ2" i="52"/>
  <c r="G13" i="7"/>
  <c r="G17" i="7"/>
  <c r="G14" i="7"/>
  <c r="G15" i="7"/>
  <c r="F55" i="7"/>
  <c r="F57" i="7" s="1"/>
  <c r="G16" i="7"/>
  <c r="F22" i="7"/>
  <c r="F27" i="7" s="1"/>
  <c r="Q118" i="10"/>
  <c r="K118" i="10"/>
  <c r="Q74" i="10"/>
  <c r="E32" i="10"/>
  <c r="E74" i="10"/>
  <c r="D117" i="19"/>
  <c r="D116" i="19"/>
  <c r="D118" i="19" s="1"/>
  <c r="J123" i="19"/>
  <c r="J117" i="19"/>
  <c r="J116" i="19"/>
  <c r="J118" i="19" s="1"/>
  <c r="N123" i="19"/>
  <c r="P116" i="19"/>
  <c r="P118" i="19" s="1"/>
  <c r="P117" i="19"/>
  <c r="N79" i="19"/>
  <c r="P72" i="19"/>
  <c r="P74" i="19" s="1"/>
  <c r="P73" i="19"/>
  <c r="D75" i="19"/>
  <c r="D77" i="19" s="1"/>
  <c r="H79" i="19"/>
  <c r="J72" i="19"/>
  <c r="J74" i="19" s="1"/>
  <c r="J73" i="19"/>
  <c r="E61" i="22"/>
  <c r="C14" i="30"/>
  <c r="C13" i="30"/>
  <c r="C16" i="30"/>
  <c r="C17" i="30"/>
  <c r="B55" i="30"/>
  <c r="B57" i="30" s="1"/>
  <c r="B22" i="30"/>
  <c r="B27" i="30" s="1"/>
  <c r="D95" i="19"/>
  <c r="D97" i="19" s="1"/>
  <c r="D123" i="19"/>
  <c r="AHZ2" i="52"/>
  <c r="OE2" i="52"/>
  <c r="K37" i="16"/>
  <c r="E105" i="9"/>
  <c r="E107" i="9" s="1"/>
  <c r="K76" i="9"/>
  <c r="K32" i="10"/>
  <c r="K44" i="22"/>
  <c r="J42" i="31"/>
  <c r="B51" i="31" s="1"/>
  <c r="Q35" i="11"/>
  <c r="E74" i="9"/>
  <c r="Q103" i="9"/>
  <c r="O126" i="9" s="1"/>
  <c r="Q126" i="9" s="1"/>
  <c r="Q124" i="9"/>
  <c r="K103" i="9"/>
  <c r="K104" i="9" s="1"/>
  <c r="K106" i="9" s="1"/>
  <c r="K124" i="9"/>
  <c r="E30" i="9"/>
  <c r="E32" i="9" s="1"/>
  <c r="Q117" i="20"/>
  <c r="E117" i="20"/>
  <c r="K117" i="20"/>
  <c r="K72" i="20"/>
  <c r="K73" i="20" s="1"/>
  <c r="J54" i="1"/>
  <c r="J56" i="1"/>
  <c r="N92" i="1"/>
  <c r="P84" i="1"/>
  <c r="P86" i="1" s="1"/>
  <c r="P90" i="1" s="1"/>
  <c r="P85" i="1"/>
  <c r="D85" i="1"/>
  <c r="D84" i="1"/>
  <c r="D86" i="1" s="1"/>
  <c r="D90" i="1" s="1"/>
  <c r="J92" i="1"/>
  <c r="J84" i="1"/>
  <c r="J86" i="1" s="1"/>
  <c r="J90" i="1" s="1"/>
  <c r="J85" i="1"/>
  <c r="P58" i="1"/>
  <c r="P50" i="1"/>
  <c r="P49" i="1"/>
  <c r="P51" i="1" s="1"/>
  <c r="J21" i="1"/>
  <c r="D52" i="1"/>
  <c r="E116" i="9"/>
  <c r="E115" i="9"/>
  <c r="E117" i="9" s="1"/>
  <c r="HB2" i="52"/>
  <c r="AN100" i="40"/>
  <c r="AO98" i="40"/>
  <c r="AO99" i="40"/>
  <c r="AN98" i="40"/>
  <c r="E14" i="31"/>
  <c r="Q61" i="10"/>
  <c r="AEH2" i="52"/>
  <c r="O45" i="11"/>
  <c r="K61" i="16"/>
  <c r="K60" i="16"/>
  <c r="K65" i="16" s="1"/>
  <c r="K35" i="16"/>
  <c r="K6" i="16"/>
  <c r="K63" i="16"/>
  <c r="K34" i="16"/>
  <c r="K62" i="16"/>
  <c r="K33" i="16"/>
  <c r="E80" i="22"/>
  <c r="K7" i="16"/>
  <c r="K9" i="16"/>
  <c r="K8" i="16"/>
  <c r="D22" i="31"/>
  <c r="D27" i="31" s="1"/>
  <c r="E17" i="31"/>
  <c r="D55" i="31"/>
  <c r="D57" i="31" s="1"/>
  <c r="E13" i="31"/>
  <c r="E16" i="31"/>
  <c r="E18" i="31"/>
  <c r="E95" i="9"/>
  <c r="E97" i="9" s="1"/>
  <c r="C126" i="9"/>
  <c r="E126" i="9" s="1"/>
  <c r="Q53" i="10"/>
  <c r="J18" i="31"/>
  <c r="K16" i="31" s="1"/>
  <c r="E115" i="22"/>
  <c r="E117" i="22" s="1"/>
  <c r="E70" i="22"/>
  <c r="D108" i="47"/>
  <c r="DC2" i="52" s="1"/>
  <c r="N58" i="1"/>
  <c r="I16" i="39"/>
  <c r="O133" i="11"/>
  <c r="Q133" i="11" s="1"/>
  <c r="I13" i="39"/>
  <c r="ARX2" i="52"/>
  <c r="I18" i="39"/>
  <c r="ARW2" i="52"/>
  <c r="V102" i="33"/>
  <c r="N95" i="48" s="1"/>
  <c r="D555" i="47" s="1"/>
  <c r="UH2" i="52" s="1"/>
  <c r="H22" i="39"/>
  <c r="H27" i="39" s="1"/>
  <c r="I17" i="39"/>
  <c r="H65" i="39"/>
  <c r="H67" i="39" s="1"/>
  <c r="I15" i="39"/>
  <c r="Q106" i="11"/>
  <c r="Q105" i="11"/>
  <c r="Q107" i="11" s="1"/>
  <c r="E61" i="10"/>
  <c r="E62" i="10" s="1"/>
  <c r="E31" i="22"/>
  <c r="V106" i="33"/>
  <c r="N99" i="48" s="1"/>
  <c r="V104" i="33"/>
  <c r="N97" i="48" s="1"/>
  <c r="ARY2" i="52"/>
  <c r="J16" i="7"/>
  <c r="J21" i="7" s="1"/>
  <c r="J25" i="7" s="1"/>
  <c r="Q60" i="11"/>
  <c r="Q83" i="11" s="1"/>
  <c r="Q32" i="10"/>
  <c r="N43" i="39"/>
  <c r="J76" i="1"/>
  <c r="P41" i="1"/>
  <c r="J54" i="19"/>
  <c r="D730" i="47" s="1"/>
  <c r="AAX2" i="52" s="1"/>
  <c r="P54" i="19"/>
  <c r="P77" i="19" s="1"/>
  <c r="P76" i="1"/>
  <c r="K61" i="10"/>
  <c r="K76" i="10" s="1"/>
  <c r="E97" i="10"/>
  <c r="J34" i="31"/>
  <c r="Q97" i="10"/>
  <c r="AIM2" i="52"/>
  <c r="KB2" i="52"/>
  <c r="I7" i="36"/>
  <c r="I11" i="36"/>
  <c r="D291" i="47"/>
  <c r="I9" i="36"/>
  <c r="H18" i="7"/>
  <c r="I6" i="36"/>
  <c r="I8" i="36"/>
  <c r="I10" i="36"/>
  <c r="J15" i="36"/>
  <c r="B86" i="36" s="1"/>
  <c r="AP104" i="41"/>
  <c r="AP105" i="41" s="1"/>
  <c r="K52" i="20"/>
  <c r="K61" i="20" s="1"/>
  <c r="AO104" i="41"/>
  <c r="AO105" i="41" s="1"/>
  <c r="K114" i="11"/>
  <c r="K116" i="11" s="1"/>
  <c r="J43" i="31"/>
  <c r="Q9" i="9"/>
  <c r="Q32" i="9" s="1"/>
  <c r="C92" i="11"/>
  <c r="H38" i="7"/>
  <c r="Q20" i="22"/>
  <c r="Q21" i="22" s="1"/>
  <c r="AO102" i="41"/>
  <c r="AO103" i="41" s="1"/>
  <c r="C88" i="11"/>
  <c r="C93" i="11"/>
  <c r="C90" i="11"/>
  <c r="C89" i="11"/>
  <c r="AYV2" i="52"/>
  <c r="ABF2" i="52"/>
  <c r="B39" i="31"/>
  <c r="J39" i="31" s="1"/>
  <c r="F51" i="31" s="1"/>
  <c r="AWZ2" i="52"/>
  <c r="ZJ2" i="52"/>
  <c r="ARG2" i="52"/>
  <c r="TK2" i="52"/>
  <c r="J99" i="48"/>
  <c r="L99" i="48"/>
  <c r="ARH2" i="52"/>
  <c r="TL2" i="52"/>
  <c r="ARF2" i="52"/>
  <c r="TJ2" i="52"/>
  <c r="D727" i="47"/>
  <c r="J97" i="48"/>
  <c r="L97" i="48"/>
  <c r="J95" i="48"/>
  <c r="D519" i="47" s="1"/>
  <c r="L95" i="48"/>
  <c r="D537" i="47" s="1"/>
  <c r="D37" i="39"/>
  <c r="AN102" i="41"/>
  <c r="AN103" i="41" s="1"/>
  <c r="AP102" i="41"/>
  <c r="AP103" i="41" s="1"/>
  <c r="AMP2" i="52"/>
  <c r="OL2" i="52"/>
  <c r="AMT2" i="52"/>
  <c r="OQ2" i="52"/>
  <c r="Q116" i="22"/>
  <c r="Q115" i="22"/>
  <c r="AEM2" i="52"/>
  <c r="BCC2" i="52"/>
  <c r="K63" i="36"/>
  <c r="K62" i="36"/>
  <c r="K60" i="36"/>
  <c r="K64" i="36"/>
  <c r="K61" i="36"/>
  <c r="AH55" i="49"/>
  <c r="AG84" i="49" s="1"/>
  <c r="AE84" i="49"/>
  <c r="NF2" i="52"/>
  <c r="ALL2" i="52"/>
  <c r="NK2" i="52"/>
  <c r="ALP2" i="52"/>
  <c r="Q70" i="22"/>
  <c r="K95" i="9"/>
  <c r="K97" i="9" s="1"/>
  <c r="AO106" i="41"/>
  <c r="AO107" i="41" s="1"/>
  <c r="AP106" i="41"/>
  <c r="AP107" i="41" s="1"/>
  <c r="AN106" i="41"/>
  <c r="AN107" i="41" s="1"/>
  <c r="SF2" i="52"/>
  <c r="AO101" i="46"/>
  <c r="AO102" i="46" s="1"/>
  <c r="AP101" i="46"/>
  <c r="AP102" i="46" s="1"/>
  <c r="AN101" i="46"/>
  <c r="AN102" i="46" s="1"/>
  <c r="E18" i="10"/>
  <c r="ANZ2" i="52"/>
  <c r="PY2" i="52"/>
  <c r="AO105" i="49"/>
  <c r="B95" i="48"/>
  <c r="D447" i="47" s="1"/>
  <c r="AOA2" i="52"/>
  <c r="ANY2" i="52"/>
  <c r="PX2" i="52"/>
  <c r="E70" i="11"/>
  <c r="AN105" i="49"/>
  <c r="AO103" i="46"/>
  <c r="AO104" i="46" s="1"/>
  <c r="AP103" i="46"/>
  <c r="AP104" i="46" s="1"/>
  <c r="AN103" i="46"/>
  <c r="AN104" i="46" s="1"/>
  <c r="K115" i="22"/>
  <c r="K116" i="22"/>
  <c r="AN104" i="40"/>
  <c r="AN105" i="40" s="1"/>
  <c r="E63" i="9"/>
  <c r="AO102" i="40"/>
  <c r="AN102" i="40"/>
  <c r="C29" i="1"/>
  <c r="C31" i="1"/>
  <c r="C30" i="1"/>
  <c r="C27" i="1"/>
  <c r="C26" i="1"/>
  <c r="C28" i="1"/>
  <c r="AP102" i="40"/>
  <c r="AP103" i="40" s="1"/>
  <c r="W55" i="49"/>
  <c r="V84" i="49" s="1"/>
  <c r="T84" i="49"/>
  <c r="H99" i="48"/>
  <c r="AN105" i="46"/>
  <c r="AN106" i="46" s="1"/>
  <c r="AP105" i="46"/>
  <c r="AP106" i="46" s="1"/>
  <c r="AO105" i="46"/>
  <c r="AO106" i="46" s="1"/>
  <c r="AP104" i="40"/>
  <c r="AP105" i="40" s="1"/>
  <c r="AO104" i="40"/>
  <c r="D670" i="47"/>
  <c r="YR2" i="52" s="1"/>
  <c r="K125" i="12"/>
  <c r="J39" i="39" s="1"/>
  <c r="P39" i="39" s="1"/>
  <c r="K119" i="12"/>
  <c r="K128" i="12" s="1"/>
  <c r="K15" i="39"/>
  <c r="J22" i="39"/>
  <c r="J27" i="39" s="1"/>
  <c r="J65" i="39"/>
  <c r="J67" i="39" s="1"/>
  <c r="K18" i="39"/>
  <c r="K14" i="39"/>
  <c r="K17" i="39"/>
  <c r="K13" i="39"/>
  <c r="K35" i="36"/>
  <c r="K36" i="36"/>
  <c r="K37" i="36"/>
  <c r="K33" i="36"/>
  <c r="K34" i="36"/>
  <c r="I103" i="12"/>
  <c r="I99" i="12"/>
  <c r="I98" i="12"/>
  <c r="I102" i="12"/>
  <c r="I100" i="12"/>
  <c r="BCA2" i="52"/>
  <c r="AEK2" i="52"/>
  <c r="I101" i="12"/>
  <c r="LZ2" i="52"/>
  <c r="AKH2" i="52"/>
  <c r="K70" i="12"/>
  <c r="S70" i="12" s="1"/>
  <c r="H126" i="12"/>
  <c r="K126" i="12" s="1"/>
  <c r="J40" i="39" s="1"/>
  <c r="P40" i="39" s="1"/>
  <c r="Y78" i="48"/>
  <c r="K62" i="12"/>
  <c r="K16" i="39"/>
  <c r="K21" i="12"/>
  <c r="K17" i="30"/>
  <c r="J55" i="30"/>
  <c r="J57" i="30" s="1"/>
  <c r="J22" i="30"/>
  <c r="J27" i="30" s="1"/>
  <c r="K18" i="30"/>
  <c r="K13" i="30"/>
  <c r="K15" i="30"/>
  <c r="K14" i="30"/>
  <c r="YP2" i="52"/>
  <c r="YS2" i="52"/>
  <c r="AWI2" i="52"/>
  <c r="JW2" i="52"/>
  <c r="AIH2" i="52"/>
  <c r="E16" i="39"/>
  <c r="D65" i="39"/>
  <c r="D67" i="39" s="1"/>
  <c r="E18" i="39"/>
  <c r="D22" i="39"/>
  <c r="D27" i="39" s="1"/>
  <c r="E13" i="39"/>
  <c r="E14" i="39"/>
  <c r="E17" i="39"/>
  <c r="E15" i="39"/>
  <c r="AHS2" i="52"/>
  <c r="JG2" i="52"/>
  <c r="D99" i="48"/>
  <c r="AP106" i="40"/>
  <c r="AP107" i="40" s="1"/>
  <c r="AN106" i="40"/>
  <c r="AO106" i="40"/>
  <c r="AO107" i="40" s="1"/>
  <c r="BBV2" i="52"/>
  <c r="AEF2" i="52"/>
  <c r="C66" i="1"/>
  <c r="C61" i="1"/>
  <c r="C62" i="1"/>
  <c r="C65" i="1"/>
  <c r="C63" i="1"/>
  <c r="D252" i="47"/>
  <c r="D60" i="47"/>
  <c r="BG2" i="52" s="1"/>
  <c r="C18" i="7"/>
  <c r="B22" i="7"/>
  <c r="B27" i="7" s="1"/>
  <c r="B55" i="7"/>
  <c r="B57" i="7" s="1"/>
  <c r="C14" i="7"/>
  <c r="C15" i="7"/>
  <c r="C13" i="7"/>
  <c r="C17" i="7"/>
  <c r="B22" i="39"/>
  <c r="B27" i="39" s="1"/>
  <c r="C18" i="39"/>
  <c r="B65" i="39"/>
  <c r="C13" i="39"/>
  <c r="C14" i="39"/>
  <c r="C17" i="39"/>
  <c r="C15" i="39"/>
  <c r="IH2" i="52"/>
  <c r="AGV2" i="52"/>
  <c r="C16" i="7"/>
  <c r="C64" i="1"/>
  <c r="E125" i="22"/>
  <c r="E127" i="22" s="1"/>
  <c r="O39" i="12"/>
  <c r="Q39" i="12" s="1"/>
  <c r="E115" i="11"/>
  <c r="E117" i="11" s="1"/>
  <c r="E61" i="20"/>
  <c r="Q105" i="10"/>
  <c r="Q125" i="22"/>
  <c r="Q127" i="22" s="1"/>
  <c r="J79" i="19"/>
  <c r="P79" i="19"/>
  <c r="K126" i="22"/>
  <c r="K128" i="22" s="1"/>
  <c r="Q96" i="20"/>
  <c r="E105" i="10"/>
  <c r="P123" i="19"/>
  <c r="D76" i="1"/>
  <c r="K96" i="20"/>
  <c r="E96" i="20"/>
  <c r="P98" i="19"/>
  <c r="P121" i="19" s="1"/>
  <c r="J98" i="19"/>
  <c r="J121" i="19" s="1"/>
  <c r="Q24" i="12"/>
  <c r="Q37" i="12" s="1"/>
  <c r="AIW2" i="52"/>
  <c r="KM2" i="52"/>
  <c r="Q106" i="22"/>
  <c r="Q108" i="22" s="1"/>
  <c r="O143" i="22"/>
  <c r="Q143" i="22" s="1"/>
  <c r="Q107" i="22"/>
  <c r="E77" i="12"/>
  <c r="K107" i="22"/>
  <c r="K106" i="22"/>
  <c r="K108" i="22" s="1"/>
  <c r="I143" i="22"/>
  <c r="K143" i="22" s="1"/>
  <c r="Q97" i="9"/>
  <c r="H92" i="1"/>
  <c r="E106" i="22"/>
  <c r="E108" i="22" s="1"/>
  <c r="C143" i="22"/>
  <c r="E143" i="22" s="1"/>
  <c r="E107" i="22"/>
  <c r="E133" i="12"/>
  <c r="Q129" i="12"/>
  <c r="Q134" i="12" s="1"/>
  <c r="Q128" i="12"/>
  <c r="Q130" i="12"/>
  <c r="H123" i="19"/>
  <c r="B123" i="19"/>
  <c r="B92" i="1"/>
  <c r="D92" i="1"/>
  <c r="Q75" i="12"/>
  <c r="Q95" i="12" s="1"/>
  <c r="Q77" i="12"/>
  <c r="P92" i="1"/>
  <c r="Q139" i="22" l="1"/>
  <c r="E44" i="22"/>
  <c r="Q44" i="22"/>
  <c r="Q93" i="22"/>
  <c r="K139" i="22"/>
  <c r="E139" i="22"/>
  <c r="E14" i="7"/>
  <c r="K9" i="36"/>
  <c r="K105" i="10"/>
  <c r="K106" i="10" s="1"/>
  <c r="P21" i="39"/>
  <c r="P25" i="39" s="1"/>
  <c r="P18" i="39"/>
  <c r="Q16" i="39" s="1"/>
  <c r="E18" i="7"/>
  <c r="E17" i="7"/>
  <c r="K10" i="36"/>
  <c r="K11" i="36" s="1"/>
  <c r="AHK2" i="52"/>
  <c r="E13" i="7"/>
  <c r="J18" i="7"/>
  <c r="K16" i="7" s="1"/>
  <c r="E118" i="10"/>
  <c r="E120" i="10" s="1"/>
  <c r="K8" i="36"/>
  <c r="K7" i="36"/>
  <c r="I45" i="11"/>
  <c r="E15" i="7"/>
  <c r="D22" i="7"/>
  <c r="D27" i="7" s="1"/>
  <c r="D55" i="7"/>
  <c r="D57" i="7" s="1"/>
  <c r="F22" i="39"/>
  <c r="F27" i="39" s="1"/>
  <c r="G13" i="39"/>
  <c r="G17" i="39"/>
  <c r="G18" i="39"/>
  <c r="G14" i="39"/>
  <c r="F65" i="39"/>
  <c r="F67" i="39" s="1"/>
  <c r="G15" i="39"/>
  <c r="G16" i="39"/>
  <c r="Q61" i="20"/>
  <c r="Q118" i="11"/>
  <c r="E17" i="12"/>
  <c r="E22" i="12" s="1"/>
  <c r="E21" i="12"/>
  <c r="J45" i="39"/>
  <c r="P45" i="39" s="1"/>
  <c r="R57" i="39" s="1"/>
  <c r="R59" i="39" s="1"/>
  <c r="J44" i="39"/>
  <c r="P44" i="39" s="1"/>
  <c r="R54" i="39" s="1"/>
  <c r="R56" i="39" s="1"/>
  <c r="APM2" i="52"/>
  <c r="AOV2" i="52"/>
  <c r="K11" i="16"/>
  <c r="E76" i="10"/>
  <c r="P119" i="19"/>
  <c r="J119" i="19"/>
  <c r="D119" i="19"/>
  <c r="P75" i="19"/>
  <c r="J75" i="19"/>
  <c r="D98" i="19"/>
  <c r="K38" i="16"/>
  <c r="AN107" i="40"/>
  <c r="K75" i="20"/>
  <c r="K105" i="9"/>
  <c r="K107" i="9" s="1"/>
  <c r="Q105" i="9"/>
  <c r="Q104" i="9"/>
  <c r="Q106" i="9" s="1"/>
  <c r="E93" i="22"/>
  <c r="D87" i="1"/>
  <c r="I126" i="9"/>
  <c r="K126" i="9" s="1"/>
  <c r="D687" i="47"/>
  <c r="AWY2" i="52" s="1"/>
  <c r="E76" i="9"/>
  <c r="D33" i="39" s="1"/>
  <c r="K119" i="20"/>
  <c r="E119" i="20"/>
  <c r="Q119" i="20"/>
  <c r="B43" i="39"/>
  <c r="J87" i="1"/>
  <c r="P87" i="1"/>
  <c r="D54" i="1"/>
  <c r="D56" i="1"/>
  <c r="P52" i="1"/>
  <c r="E118" i="9"/>
  <c r="AN103" i="40"/>
  <c r="AO105" i="40"/>
  <c r="AO103" i="40"/>
  <c r="Q76" i="10"/>
  <c r="K14" i="31"/>
  <c r="K17" i="31"/>
  <c r="J55" i="31"/>
  <c r="J57" i="31" s="1"/>
  <c r="J22" i="31"/>
  <c r="J27" i="31" s="1"/>
  <c r="K18" i="31"/>
  <c r="K13" i="31"/>
  <c r="K15" i="31"/>
  <c r="Q62" i="10"/>
  <c r="E118" i="22"/>
  <c r="ASC2" i="52"/>
  <c r="Q108" i="11"/>
  <c r="K62" i="10"/>
  <c r="Q120" i="10"/>
  <c r="AYN2" i="52"/>
  <c r="J77" i="19"/>
  <c r="E106" i="10"/>
  <c r="F38" i="30"/>
  <c r="D38" i="30"/>
  <c r="D44" i="30"/>
  <c r="D35" i="30"/>
  <c r="I16" i="7"/>
  <c r="H55" i="7"/>
  <c r="H57" i="7" s="1"/>
  <c r="H22" i="7"/>
  <c r="H27" i="7" s="1"/>
  <c r="I17" i="7"/>
  <c r="I14" i="7"/>
  <c r="I15" i="7"/>
  <c r="I13" i="7"/>
  <c r="I18" i="7"/>
  <c r="AIO2" i="52"/>
  <c r="KD2" i="52"/>
  <c r="K115" i="11"/>
  <c r="K117" i="11" s="1"/>
  <c r="D43" i="39"/>
  <c r="D737" i="47"/>
  <c r="J33" i="31"/>
  <c r="D51" i="31" s="1"/>
  <c r="TP2" i="52"/>
  <c r="ARL2" i="52"/>
  <c r="AQU2" i="52"/>
  <c r="SX2" i="52"/>
  <c r="B11" i="23"/>
  <c r="AYK2" i="52"/>
  <c r="AAU2" i="52"/>
  <c r="M6" i="23"/>
  <c r="M11" i="23" s="1"/>
  <c r="D752" i="47"/>
  <c r="C43" i="24" s="1"/>
  <c r="K65" i="36"/>
  <c r="Q117" i="22"/>
  <c r="Q118" i="22" s="1"/>
  <c r="AOE2" i="52"/>
  <c r="QD2" i="52"/>
  <c r="K117" i="22"/>
  <c r="K118" i="22" s="1"/>
  <c r="K38" i="36"/>
  <c r="AWH2" i="52"/>
  <c r="K129" i="12"/>
  <c r="K134" i="12" s="1"/>
  <c r="F35" i="30"/>
  <c r="F44" i="30"/>
  <c r="K69" i="12"/>
  <c r="K63" i="12"/>
  <c r="D757" i="47"/>
  <c r="C46" i="24" s="1"/>
  <c r="AA78" i="48"/>
  <c r="Y79" i="48"/>
  <c r="D753" i="47" s="1"/>
  <c r="D667" i="47"/>
  <c r="T49" i="39"/>
  <c r="S49" i="39"/>
  <c r="AHD2" i="52"/>
  <c r="IQ2" i="52"/>
  <c r="E128" i="22"/>
  <c r="E118" i="11"/>
  <c r="Q105" i="20"/>
  <c r="K105" i="20"/>
  <c r="Q106" i="10"/>
  <c r="Q128" i="22"/>
  <c r="E105" i="20"/>
  <c r="Q109" i="22"/>
  <c r="K109" i="22"/>
  <c r="E109" i="22"/>
  <c r="N76" i="12"/>
  <c r="Q76" i="12" s="1"/>
  <c r="Q79" i="12" s="1"/>
  <c r="Q131" i="12"/>
  <c r="Q133" i="12"/>
  <c r="J37" i="39"/>
  <c r="K133" i="12"/>
  <c r="N55" i="51" l="1"/>
  <c r="Y55" i="51"/>
  <c r="Y55" i="33"/>
  <c r="AA55" i="33" s="1"/>
  <c r="AA61" i="33" s="1"/>
  <c r="AB116" i="33" s="1"/>
  <c r="C55" i="51"/>
  <c r="C55" i="33"/>
  <c r="E55" i="33" s="1"/>
  <c r="E61" i="33" s="1"/>
  <c r="F116" i="33" s="1"/>
  <c r="N55" i="33"/>
  <c r="P55" i="33" s="1"/>
  <c r="P61" i="33" s="1"/>
  <c r="Q116" i="33" s="1"/>
  <c r="N56" i="49"/>
  <c r="Y56" i="49"/>
  <c r="Y55" i="41"/>
  <c r="C56" i="49"/>
  <c r="C55" i="41"/>
  <c r="C61" i="41" s="1"/>
  <c r="N55" i="41"/>
  <c r="N55" i="40"/>
  <c r="Y55" i="40"/>
  <c r="Y54" i="46"/>
  <c r="C55" i="40"/>
  <c r="E55" i="40" s="1"/>
  <c r="E61" i="40" s="1"/>
  <c r="F116" i="40" s="1"/>
  <c r="C54" i="46"/>
  <c r="E54" i="46" s="1"/>
  <c r="E60" i="46" s="1"/>
  <c r="F115" i="46" s="1"/>
  <c r="N54" i="46"/>
  <c r="P54" i="46" s="1"/>
  <c r="P60" i="46" s="1"/>
  <c r="P80" i="46" s="1"/>
  <c r="K15" i="7"/>
  <c r="K13" i="7"/>
  <c r="J55" i="7"/>
  <c r="J57" i="7" s="1"/>
  <c r="K17" i="7"/>
  <c r="Q17" i="39"/>
  <c r="P22" i="39"/>
  <c r="P27" i="39" s="1"/>
  <c r="Q18" i="39"/>
  <c r="Q15" i="39"/>
  <c r="K120" i="10"/>
  <c r="B38" i="39" s="1"/>
  <c r="H39" i="7"/>
  <c r="K18" i="7"/>
  <c r="P65" i="39"/>
  <c r="J22" i="7"/>
  <c r="J27" i="7" s="1"/>
  <c r="K14" i="7"/>
  <c r="Q14" i="39"/>
  <c r="Q13" i="39"/>
  <c r="Q131" i="11"/>
  <c r="D652" i="47"/>
  <c r="XZ2" i="52" s="1"/>
  <c r="D121" i="19"/>
  <c r="N38" i="39" s="1"/>
  <c r="Q107" i="9"/>
  <c r="K141" i="22"/>
  <c r="Q141" i="22"/>
  <c r="ZI2" i="52"/>
  <c r="E141" i="22"/>
  <c r="E120" i="9"/>
  <c r="E119" i="9"/>
  <c r="E121" i="9" s="1"/>
  <c r="P54" i="1"/>
  <c r="P56" i="1"/>
  <c r="B33" i="39" s="1"/>
  <c r="C47" i="24"/>
  <c r="ABT2" i="52"/>
  <c r="J66" i="16"/>
  <c r="J12" i="16"/>
  <c r="J39" i="16"/>
  <c r="J66" i="36"/>
  <c r="J12" i="36"/>
  <c r="J39" i="36"/>
  <c r="N33" i="39"/>
  <c r="J44" i="30"/>
  <c r="D681" i="47"/>
  <c r="ZC2" i="52" s="1"/>
  <c r="J35" i="30"/>
  <c r="D36" i="30"/>
  <c r="D45" i="30"/>
  <c r="K118" i="11"/>
  <c r="D704" i="47"/>
  <c r="AXN2" i="52" s="1"/>
  <c r="D3" i="47"/>
  <c r="B2" i="52" s="1"/>
  <c r="D654" i="47"/>
  <c r="YB2" i="52" s="1"/>
  <c r="AYU2" i="52"/>
  <c r="ABE2" i="52"/>
  <c r="D754" i="47"/>
  <c r="ABV2" i="52" s="1"/>
  <c r="L44" i="55"/>
  <c r="L72" i="55" s="1"/>
  <c r="L76" i="55" s="1"/>
  <c r="AZG2" i="52"/>
  <c r="K72" i="12"/>
  <c r="D32" i="30" s="1"/>
  <c r="K73" i="12"/>
  <c r="K78" i="12" s="1"/>
  <c r="AZH2" i="52"/>
  <c r="ABU2" i="52"/>
  <c r="F36" i="30"/>
  <c r="F45" i="30"/>
  <c r="J35" i="39"/>
  <c r="P35" i="39" s="1"/>
  <c r="P57" i="39" s="1"/>
  <c r="J34" i="39"/>
  <c r="P34" i="39" s="1"/>
  <c r="P54" i="39" s="1"/>
  <c r="S69" i="12"/>
  <c r="ABY2" i="52"/>
  <c r="AZL2" i="52"/>
  <c r="D680" i="47"/>
  <c r="F39" i="7"/>
  <c r="AWE2" i="52"/>
  <c r="YO2" i="52"/>
  <c r="Q80" i="12"/>
  <c r="Q93" i="12" s="1"/>
  <c r="Q151" i="12"/>
  <c r="N132" i="12"/>
  <c r="Q132" i="12" s="1"/>
  <c r="Q135" i="12" s="1"/>
  <c r="AVP2" i="52" l="1"/>
  <c r="P56" i="49"/>
  <c r="N61" i="41"/>
  <c r="N81" i="41" s="1"/>
  <c r="C62" i="49"/>
  <c r="D117" i="49" s="1"/>
  <c r="E122" i="9"/>
  <c r="E124" i="9" s="1"/>
  <c r="D38" i="39" s="1"/>
  <c r="C60" i="46"/>
  <c r="D115" i="46" s="1"/>
  <c r="C61" i="40"/>
  <c r="N60" i="46"/>
  <c r="W115" i="46" s="1"/>
  <c r="C61" i="33"/>
  <c r="D116" i="33" s="1"/>
  <c r="P55" i="41"/>
  <c r="B84" i="16"/>
  <c r="Y60" i="46"/>
  <c r="AH115" i="46" s="1"/>
  <c r="AA54" i="46"/>
  <c r="AA60" i="46" s="1"/>
  <c r="AA80" i="46" s="1"/>
  <c r="E55" i="51"/>
  <c r="E61" i="51" s="1"/>
  <c r="C61" i="51"/>
  <c r="P55" i="51"/>
  <c r="P61" i="51" s="1"/>
  <c r="N61" i="51"/>
  <c r="Y61" i="40"/>
  <c r="Z116" i="40" s="1"/>
  <c r="AA55" i="40"/>
  <c r="AA61" i="40" s="1"/>
  <c r="AA81" i="40" s="1"/>
  <c r="C81" i="41"/>
  <c r="E55" i="41"/>
  <c r="B84" i="36"/>
  <c r="Q115" i="46"/>
  <c r="Y61" i="41"/>
  <c r="Z116" i="41" s="1"/>
  <c r="AA55" i="41"/>
  <c r="Y62" i="49"/>
  <c r="AA56" i="49"/>
  <c r="AA62" i="49" s="1"/>
  <c r="AA55" i="51"/>
  <c r="AA61" i="51" s="1"/>
  <c r="Y61" i="51"/>
  <c r="N61" i="40"/>
  <c r="W116" i="40" s="1"/>
  <c r="P55" i="40"/>
  <c r="P61" i="40" s="1"/>
  <c r="P81" i="40" s="1"/>
  <c r="J36" i="30"/>
  <c r="H44" i="55"/>
  <c r="N61" i="33"/>
  <c r="N49" i="55" s="1"/>
  <c r="N44" i="55"/>
  <c r="N72" i="55" s="1"/>
  <c r="N76" i="55" s="1"/>
  <c r="Y61" i="33"/>
  <c r="Z116" i="33" s="1"/>
  <c r="V44" i="55"/>
  <c r="V72" i="55" s="1"/>
  <c r="V76" i="55" s="1"/>
  <c r="AWS2" i="52"/>
  <c r="D44" i="55"/>
  <c r="J45" i="30"/>
  <c r="F44" i="55"/>
  <c r="J44" i="55"/>
  <c r="J72" i="55" s="1"/>
  <c r="J76" i="55" s="1"/>
  <c r="B44" i="55"/>
  <c r="E56" i="49"/>
  <c r="E81" i="33"/>
  <c r="AA81" i="33"/>
  <c r="ZX2" i="52"/>
  <c r="N62" i="49"/>
  <c r="L49" i="55" s="1"/>
  <c r="AVR2" i="52"/>
  <c r="R49" i="55"/>
  <c r="R44" i="55"/>
  <c r="R72" i="55" s="1"/>
  <c r="R76" i="55" s="1"/>
  <c r="H49" i="55"/>
  <c r="E81" i="40"/>
  <c r="B119" i="55" s="1"/>
  <c r="P81" i="33"/>
  <c r="E80" i="46"/>
  <c r="AZI2" i="52"/>
  <c r="ZB2" i="52"/>
  <c r="AWR2" i="52"/>
  <c r="P56" i="39"/>
  <c r="S54" i="39"/>
  <c r="V54" i="39"/>
  <c r="D748" i="47" s="1"/>
  <c r="V59" i="39"/>
  <c r="D749" i="47" s="1"/>
  <c r="P59" i="39"/>
  <c r="D841" i="47" s="1"/>
  <c r="BCU2" i="52" s="1"/>
  <c r="S57" i="39"/>
  <c r="F32" i="30"/>
  <c r="J32" i="39"/>
  <c r="K77" i="12"/>
  <c r="D717" i="47"/>
  <c r="Q136" i="12"/>
  <c r="Q149" i="12" s="1"/>
  <c r="C82" i="49" l="1"/>
  <c r="N83" i="41"/>
  <c r="N84" i="49"/>
  <c r="W116" i="41"/>
  <c r="O116" i="41"/>
  <c r="P61" i="41"/>
  <c r="P81" i="41" s="1"/>
  <c r="AA61" i="41"/>
  <c r="AB116" i="41" s="1"/>
  <c r="L117" i="49"/>
  <c r="C84" i="49"/>
  <c r="P62" i="49"/>
  <c r="P84" i="49" s="1"/>
  <c r="E61" i="41"/>
  <c r="E81" i="41" s="1"/>
  <c r="E62" i="49"/>
  <c r="E82" i="49" s="1"/>
  <c r="C83" i="41"/>
  <c r="Y83" i="41"/>
  <c r="Z117" i="49"/>
  <c r="Y84" i="49"/>
  <c r="AB117" i="49"/>
  <c r="AA84" i="49"/>
  <c r="F49" i="55"/>
  <c r="D49" i="55"/>
  <c r="C81" i="33"/>
  <c r="D20" i="16"/>
  <c r="B17" i="16"/>
  <c r="B49" i="55"/>
  <c r="B69" i="55" s="1"/>
  <c r="C74" i="55" s="1"/>
  <c r="L116" i="33"/>
  <c r="N80" i="46"/>
  <c r="L116" i="40"/>
  <c r="Z115" i="46"/>
  <c r="C81" i="40"/>
  <c r="L115" i="46"/>
  <c r="D116" i="40"/>
  <c r="C80" i="46"/>
  <c r="Q116" i="40"/>
  <c r="O115" i="46"/>
  <c r="AB116" i="40"/>
  <c r="AH116" i="40"/>
  <c r="Y82" i="49"/>
  <c r="AH117" i="49"/>
  <c r="Y81" i="40"/>
  <c r="AH116" i="41"/>
  <c r="H74" i="16"/>
  <c r="H78" i="16" s="1"/>
  <c r="Y81" i="41"/>
  <c r="R69" i="55" s="1"/>
  <c r="S74" i="55" s="1"/>
  <c r="H20" i="16"/>
  <c r="H47" i="16"/>
  <c r="H51" i="16" s="1"/>
  <c r="AB115" i="46"/>
  <c r="Y80" i="46"/>
  <c r="B74" i="16"/>
  <c r="AA82" i="49"/>
  <c r="D116" i="41"/>
  <c r="L116" i="41"/>
  <c r="N81" i="40"/>
  <c r="D47" i="16"/>
  <c r="D51" i="16" s="1"/>
  <c r="F74" i="16"/>
  <c r="F78" i="16" s="1"/>
  <c r="O116" i="40"/>
  <c r="F17" i="16"/>
  <c r="G22" i="16" s="1"/>
  <c r="F47" i="16"/>
  <c r="F51" i="16" s="1"/>
  <c r="D74" i="16"/>
  <c r="D78" i="16" s="1"/>
  <c r="B12" i="36"/>
  <c r="F66" i="36"/>
  <c r="F12" i="36"/>
  <c r="B39" i="36"/>
  <c r="H94" i="11" s="1"/>
  <c r="D12" i="36"/>
  <c r="D66" i="36"/>
  <c r="H39" i="36"/>
  <c r="F39" i="36"/>
  <c r="D39" i="36"/>
  <c r="H12" i="36"/>
  <c r="B66" i="36"/>
  <c r="H66" i="36"/>
  <c r="AA81" i="51"/>
  <c r="AB116" i="51"/>
  <c r="H48" i="12"/>
  <c r="H10" i="12" s="1"/>
  <c r="K10" i="12" s="1"/>
  <c r="L116" i="51"/>
  <c r="D116" i="51"/>
  <c r="C81" i="51"/>
  <c r="F116" i="51"/>
  <c r="E81" i="51"/>
  <c r="Y81" i="51"/>
  <c r="Z116" i="51"/>
  <c r="AH116" i="51"/>
  <c r="W116" i="51"/>
  <c r="N81" i="51"/>
  <c r="O116" i="51"/>
  <c r="P81" i="51"/>
  <c r="Q116" i="51"/>
  <c r="AH116" i="33"/>
  <c r="W116" i="33"/>
  <c r="N81" i="33"/>
  <c r="N69" i="55" s="1"/>
  <c r="O74" i="55" s="1"/>
  <c r="O116" i="33"/>
  <c r="Y81" i="33"/>
  <c r="V69" i="55" s="1"/>
  <c r="W74" i="55" s="1"/>
  <c r="V49" i="55"/>
  <c r="J49" i="55"/>
  <c r="W117" i="49"/>
  <c r="O117" i="49"/>
  <c r="N82" i="49"/>
  <c r="J69" i="55" s="1"/>
  <c r="K74" i="55" s="1"/>
  <c r="B119" i="48"/>
  <c r="D751" i="47" s="1"/>
  <c r="ABS2" i="52" s="1"/>
  <c r="E119" i="40"/>
  <c r="L69" i="55"/>
  <c r="M74" i="55" s="1"/>
  <c r="ABP2" i="52"/>
  <c r="AZV2" i="52"/>
  <c r="AZW2" i="52"/>
  <c r="ABQ2" i="52"/>
  <c r="AYA2" i="52"/>
  <c r="AAK2" i="52"/>
  <c r="B104" i="12" l="1"/>
  <c r="B66" i="12" s="1"/>
  <c r="E66" i="12" s="1"/>
  <c r="B17" i="36"/>
  <c r="H55" i="11"/>
  <c r="K55" i="11" s="1"/>
  <c r="K56" i="11" s="1"/>
  <c r="H103" i="11"/>
  <c r="K103" i="11" s="1"/>
  <c r="K104" i="11" s="1"/>
  <c r="B47" i="16"/>
  <c r="B51" i="16" s="1"/>
  <c r="H46" i="11"/>
  <c r="H7" i="11" s="1"/>
  <c r="K7" i="11" s="1"/>
  <c r="K8" i="11" s="1"/>
  <c r="C22" i="16"/>
  <c r="B48" i="12"/>
  <c r="B10" i="12" s="1"/>
  <c r="E10" i="12" s="1"/>
  <c r="F117" i="49"/>
  <c r="AA83" i="41"/>
  <c r="Q116" i="41"/>
  <c r="P83" i="41"/>
  <c r="AA81" i="41"/>
  <c r="F116" i="41"/>
  <c r="B46" i="11"/>
  <c r="B7" i="11" s="1"/>
  <c r="E7" i="11" s="1"/>
  <c r="E8" i="11" s="1"/>
  <c r="F41" i="7" s="1"/>
  <c r="E83" i="41"/>
  <c r="E84" i="49"/>
  <c r="P82" i="49"/>
  <c r="Q117" i="49"/>
  <c r="H69" i="55"/>
  <c r="I74" i="55" s="1"/>
  <c r="F69" i="55"/>
  <c r="G74" i="55" s="1"/>
  <c r="B41" i="7"/>
  <c r="D69" i="55"/>
  <c r="E74" i="55" s="1"/>
  <c r="D17" i="16"/>
  <c r="E22" i="16" s="1"/>
  <c r="K119" i="40"/>
  <c r="C119" i="40"/>
  <c r="H17" i="16"/>
  <c r="I22" i="16" s="1"/>
  <c r="B44" i="16"/>
  <c r="C49" i="16" s="1"/>
  <c r="B20" i="16"/>
  <c r="B72" i="55" s="1"/>
  <c r="B76" i="55" s="1"/>
  <c r="B78" i="55" s="1"/>
  <c r="H44" i="16"/>
  <c r="I49" i="16" s="1"/>
  <c r="D71" i="16"/>
  <c r="E76" i="16" s="1"/>
  <c r="B71" i="16"/>
  <c r="C76" i="16" s="1"/>
  <c r="R78" i="55"/>
  <c r="H71" i="16"/>
  <c r="I76" i="16" s="1"/>
  <c r="D44" i="16"/>
  <c r="E49" i="16" s="1"/>
  <c r="F71" i="16"/>
  <c r="G76" i="16" s="1"/>
  <c r="F44" i="16"/>
  <c r="G49" i="16" s="1"/>
  <c r="F20" i="16"/>
  <c r="K18" i="12"/>
  <c r="K19" i="12" s="1"/>
  <c r="K11" i="12"/>
  <c r="H74" i="36"/>
  <c r="H78" i="36" s="1"/>
  <c r="H71" i="36"/>
  <c r="I76" i="36" s="1"/>
  <c r="B47" i="36"/>
  <c r="B44" i="36"/>
  <c r="B74" i="36"/>
  <c r="B71" i="36"/>
  <c r="F17" i="36"/>
  <c r="G22" i="36" s="1"/>
  <c r="F20" i="36"/>
  <c r="F24" i="36" s="1"/>
  <c r="B94" i="11"/>
  <c r="B20" i="36"/>
  <c r="D44" i="36"/>
  <c r="E49" i="36" s="1"/>
  <c r="H104" i="12"/>
  <c r="D47" i="36"/>
  <c r="D51" i="36" s="1"/>
  <c r="H42" i="39"/>
  <c r="F47" i="36"/>
  <c r="F51" i="36" s="1"/>
  <c r="F44" i="36"/>
  <c r="G49" i="36" s="1"/>
  <c r="D24" i="16"/>
  <c r="D72" i="55"/>
  <c r="D76" i="55" s="1"/>
  <c r="F74" i="36"/>
  <c r="F78" i="36" s="1"/>
  <c r="F71" i="36"/>
  <c r="G76" i="36" s="1"/>
  <c r="J74" i="16"/>
  <c r="B78" i="16"/>
  <c r="H47" i="36"/>
  <c r="H51" i="36" s="1"/>
  <c r="H44" i="36"/>
  <c r="I49" i="36" s="1"/>
  <c r="D168" i="47"/>
  <c r="FK2" i="52" s="1"/>
  <c r="H20" i="36"/>
  <c r="H24" i="36" s="1"/>
  <c r="H17" i="36"/>
  <c r="I22" i="36" s="1"/>
  <c r="D152" i="47"/>
  <c r="EU2" i="52" s="1"/>
  <c r="H72" i="55"/>
  <c r="H76" i="55" s="1"/>
  <c r="H24" i="16"/>
  <c r="D74" i="36"/>
  <c r="D78" i="36" s="1"/>
  <c r="D71" i="36"/>
  <c r="E76" i="36" s="1"/>
  <c r="D136" i="47"/>
  <c r="EE2" i="52" s="1"/>
  <c r="D20" i="36"/>
  <c r="D24" i="36" s="1"/>
  <c r="D17" i="36"/>
  <c r="E22" i="36" s="1"/>
  <c r="N78" i="55"/>
  <c r="V78" i="55"/>
  <c r="F39" i="30"/>
  <c r="AZF2" i="52"/>
  <c r="L78" i="55"/>
  <c r="J78" i="55"/>
  <c r="D731" i="47"/>
  <c r="B122" i="12" l="1"/>
  <c r="E122" i="12" s="1"/>
  <c r="E123" i="12" s="1"/>
  <c r="C151" i="12" s="1"/>
  <c r="J47" i="16"/>
  <c r="K10" i="11"/>
  <c r="B41" i="30"/>
  <c r="J41" i="30" s="1"/>
  <c r="B48" i="30" s="1"/>
  <c r="B50" i="30" s="1"/>
  <c r="K9" i="11"/>
  <c r="K11" i="11" s="1"/>
  <c r="I37" i="11"/>
  <c r="K37" i="11" s="1"/>
  <c r="D675" i="47" s="1"/>
  <c r="K105" i="11"/>
  <c r="K107" i="11" s="1"/>
  <c r="B38" i="30"/>
  <c r="J38" i="30" s="1"/>
  <c r="F48" i="30" s="1"/>
  <c r="F50" i="30" s="1"/>
  <c r="I133" i="11"/>
  <c r="K133" i="11" s="1"/>
  <c r="K106" i="11"/>
  <c r="B32" i="30"/>
  <c r="J32" i="30" s="1"/>
  <c r="D48" i="30" s="1"/>
  <c r="D50" i="30" s="1"/>
  <c r="K58" i="11"/>
  <c r="I85" i="11"/>
  <c r="K85" i="11" s="1"/>
  <c r="D725" i="47" s="1"/>
  <c r="K57" i="11"/>
  <c r="K59" i="11" s="1"/>
  <c r="F42" i="39"/>
  <c r="P42" i="39" s="1"/>
  <c r="R48" i="39" s="1"/>
  <c r="R50" i="39" s="1"/>
  <c r="D41" i="7"/>
  <c r="J41" i="7" s="1"/>
  <c r="B48" i="7" s="1"/>
  <c r="B50" i="7" s="1"/>
  <c r="E18" i="12"/>
  <c r="E19" i="12" s="1"/>
  <c r="E11" i="12"/>
  <c r="E67" i="12"/>
  <c r="C95" i="12" s="1"/>
  <c r="E74" i="12"/>
  <c r="E75" i="12" s="1"/>
  <c r="C37" i="11"/>
  <c r="E37" i="11" s="1"/>
  <c r="D665" i="47" s="1"/>
  <c r="E10" i="11"/>
  <c r="E9" i="11"/>
  <c r="E11" i="11" s="1"/>
  <c r="H78" i="55"/>
  <c r="Y69" i="55"/>
  <c r="D78" i="55"/>
  <c r="B24" i="16"/>
  <c r="B26" i="16" s="1"/>
  <c r="H53" i="16"/>
  <c r="D570" i="47" s="1"/>
  <c r="J17" i="16"/>
  <c r="D80" i="16"/>
  <c r="D606" i="47" s="1"/>
  <c r="D53" i="16"/>
  <c r="D534" i="47" s="1"/>
  <c r="F53" i="16"/>
  <c r="D552" i="47" s="1"/>
  <c r="J20" i="16"/>
  <c r="J44" i="16"/>
  <c r="F24" i="16"/>
  <c r="D88" i="47" s="1"/>
  <c r="CI2" i="52" s="1"/>
  <c r="H80" i="16"/>
  <c r="D642" i="47" s="1"/>
  <c r="J71" i="16"/>
  <c r="F80" i="16"/>
  <c r="D624" i="47" s="1"/>
  <c r="WY2" i="52" s="1"/>
  <c r="F72" i="55"/>
  <c r="F76" i="55" s="1"/>
  <c r="F78" i="55" s="1"/>
  <c r="D80" i="36"/>
  <c r="D462" i="47"/>
  <c r="D72" i="47"/>
  <c r="BS2" i="52" s="1"/>
  <c r="D26" i="16"/>
  <c r="D73" i="47" s="1"/>
  <c r="BT2" i="52" s="1"/>
  <c r="C49" i="36"/>
  <c r="J44" i="36"/>
  <c r="C22" i="36"/>
  <c r="J17" i="36"/>
  <c r="B51" i="36"/>
  <c r="J47" i="36"/>
  <c r="D296" i="47"/>
  <c r="H26" i="36"/>
  <c r="J51" i="16"/>
  <c r="B53" i="16"/>
  <c r="D120" i="47"/>
  <c r="DO2" i="52" s="1"/>
  <c r="B103" i="11"/>
  <c r="E103" i="11" s="1"/>
  <c r="E104" i="11" s="1"/>
  <c r="F38" i="7" s="1"/>
  <c r="B55" i="11"/>
  <c r="E55" i="11" s="1"/>
  <c r="E56" i="11" s="1"/>
  <c r="H80" i="36"/>
  <c r="D264" i="47"/>
  <c r="D26" i="36"/>
  <c r="B24" i="36"/>
  <c r="B26" i="36" s="1"/>
  <c r="J20" i="36"/>
  <c r="H26" i="16"/>
  <c r="D104" i="47"/>
  <c r="CY2" i="52" s="1"/>
  <c r="F53" i="36"/>
  <c r="D344" i="47"/>
  <c r="D360" i="47"/>
  <c r="H53" i="36"/>
  <c r="F26" i="36"/>
  <c r="D280" i="47"/>
  <c r="J78" i="16"/>
  <c r="B80" i="16"/>
  <c r="H20" i="12"/>
  <c r="K20" i="12" s="1"/>
  <c r="K23" i="12" s="1"/>
  <c r="K24" i="12" s="1"/>
  <c r="K37" i="12" s="1"/>
  <c r="I39" i="12"/>
  <c r="K39" i="12" s="1"/>
  <c r="D678" i="47" s="1"/>
  <c r="F80" i="36"/>
  <c r="D328" i="47"/>
  <c r="D53" i="36"/>
  <c r="C76" i="36"/>
  <c r="J71" i="36"/>
  <c r="H66" i="12"/>
  <c r="K66" i="12" s="1"/>
  <c r="H122" i="12"/>
  <c r="K122" i="12" s="1"/>
  <c r="J74" i="36"/>
  <c r="B78" i="36"/>
  <c r="AAY2" i="52"/>
  <c r="AYO2" i="52"/>
  <c r="E130" i="12" l="1"/>
  <c r="E131" i="12" s="1"/>
  <c r="B132" i="12" s="1"/>
  <c r="E132" i="12" s="1"/>
  <c r="E135" i="12" s="1"/>
  <c r="B85" i="16"/>
  <c r="K60" i="11"/>
  <c r="K83" i="11" s="1"/>
  <c r="B39" i="30" s="1"/>
  <c r="K12" i="11"/>
  <c r="K35" i="11" s="1"/>
  <c r="D674" i="47" s="1"/>
  <c r="AWL2" i="52" s="1"/>
  <c r="AAS2" i="52"/>
  <c r="AYI2" i="52"/>
  <c r="K108" i="11"/>
  <c r="K131" i="11" s="1"/>
  <c r="AWM2" i="52"/>
  <c r="YW2" i="52"/>
  <c r="E95" i="12"/>
  <c r="D712" i="47" s="1"/>
  <c r="B76" i="12"/>
  <c r="E76" i="12" s="1"/>
  <c r="E79" i="12" s="1"/>
  <c r="B39" i="7" s="1"/>
  <c r="B20" i="12"/>
  <c r="E20" i="12" s="1"/>
  <c r="E23" i="12" s="1"/>
  <c r="C39" i="12"/>
  <c r="E39" i="12" s="1"/>
  <c r="D662" i="47" s="1"/>
  <c r="D661" i="47"/>
  <c r="E12" i="11"/>
  <c r="E35" i="11" s="1"/>
  <c r="D32" i="7"/>
  <c r="F32" i="7"/>
  <c r="YM2" i="52"/>
  <c r="AWC2" i="52"/>
  <c r="Y78" i="55"/>
  <c r="Y79" i="55" s="1"/>
  <c r="B38" i="7"/>
  <c r="D38" i="7"/>
  <c r="B32" i="7"/>
  <c r="H32" i="39"/>
  <c r="D137" i="47"/>
  <c r="EF2" i="52" s="1"/>
  <c r="D56" i="47"/>
  <c r="BC2" i="52" s="1"/>
  <c r="D201" i="47"/>
  <c r="GR2" i="52" s="1"/>
  <c r="D169" i="47"/>
  <c r="FL2" i="52" s="1"/>
  <c r="D153" i="47"/>
  <c r="EV2" i="52" s="1"/>
  <c r="F26" i="16"/>
  <c r="D89" i="47" s="1"/>
  <c r="CJ2" i="52" s="1"/>
  <c r="D233" i="47"/>
  <c r="AGL2" i="52" s="1"/>
  <c r="AUP2" i="52"/>
  <c r="J24" i="16"/>
  <c r="B87" i="16" s="1"/>
  <c r="D656" i="47" s="1"/>
  <c r="D217" i="47"/>
  <c r="K67" i="12"/>
  <c r="I95" i="12" s="1"/>
  <c r="K74" i="12"/>
  <c r="K75" i="12" s="1"/>
  <c r="K95" i="12" s="1"/>
  <c r="D677" i="47"/>
  <c r="D105" i="47"/>
  <c r="CZ2" i="52" s="1"/>
  <c r="D498" i="47"/>
  <c r="XQ2" i="52"/>
  <c r="AVG2" i="52"/>
  <c r="D57" i="47"/>
  <c r="BD2" i="52" s="1"/>
  <c r="WG2" i="52"/>
  <c r="ATY2" i="52"/>
  <c r="E57" i="11"/>
  <c r="E59" i="11" s="1"/>
  <c r="E58" i="11"/>
  <c r="C85" i="11"/>
  <c r="E85" i="11" s="1"/>
  <c r="D715" i="47" s="1"/>
  <c r="F32" i="39"/>
  <c r="H70" i="55"/>
  <c r="H70" i="48"/>
  <c r="D297" i="47"/>
  <c r="ARI2" i="52"/>
  <c r="TM2" i="52"/>
  <c r="AHO2" i="52"/>
  <c r="JC2" i="52"/>
  <c r="B85" i="36"/>
  <c r="D329" i="47"/>
  <c r="L70" i="55"/>
  <c r="L70" i="48"/>
  <c r="K123" i="12"/>
  <c r="I151" i="12" s="1"/>
  <c r="K130" i="12"/>
  <c r="K131" i="12" s="1"/>
  <c r="AJW2" i="52"/>
  <c r="LO2" i="52"/>
  <c r="D588" i="47"/>
  <c r="D377" i="47"/>
  <c r="D185" i="47"/>
  <c r="GB2" i="52" s="1"/>
  <c r="J80" i="16"/>
  <c r="JS2" i="52"/>
  <c r="AID2" i="52"/>
  <c r="X70" i="55"/>
  <c r="D425" i="47"/>
  <c r="X70" i="48"/>
  <c r="F70" i="48"/>
  <c r="F70" i="55"/>
  <c r="D281" i="47"/>
  <c r="V70" i="48"/>
  <c r="V70" i="55"/>
  <c r="D409" i="47"/>
  <c r="ARZ2" i="52"/>
  <c r="UE2" i="52"/>
  <c r="D361" i="47"/>
  <c r="P70" i="55"/>
  <c r="P70" i="48"/>
  <c r="H37" i="39"/>
  <c r="C133" i="11"/>
  <c r="E133" i="11" s="1"/>
  <c r="F37" i="39"/>
  <c r="E106" i="11"/>
  <c r="E105" i="11"/>
  <c r="E107" i="11" s="1"/>
  <c r="AIS2" i="52"/>
  <c r="KI2" i="52"/>
  <c r="J24" i="36"/>
  <c r="D248" i="47"/>
  <c r="MU2" i="52"/>
  <c r="ALA2" i="52"/>
  <c r="ASQ2" i="52"/>
  <c r="UW2" i="52"/>
  <c r="AKL2" i="52"/>
  <c r="ME2" i="52"/>
  <c r="D70" i="55"/>
  <c r="D265" i="47"/>
  <c r="D70" i="48"/>
  <c r="D121" i="47"/>
  <c r="DP2" i="52" s="1"/>
  <c r="J53" i="16"/>
  <c r="D516" i="47"/>
  <c r="D312" i="47"/>
  <c r="J51" i="36"/>
  <c r="B53" i="36"/>
  <c r="D345" i="47"/>
  <c r="N70" i="48"/>
  <c r="N70" i="55"/>
  <c r="QS2" i="52"/>
  <c r="AOS2" i="52"/>
  <c r="YZ2" i="52"/>
  <c r="AWP2" i="52"/>
  <c r="B80" i="36"/>
  <c r="J78" i="36"/>
  <c r="T70" i="48"/>
  <c r="D393" i="47"/>
  <c r="T70" i="55"/>
  <c r="E151" i="12" l="1"/>
  <c r="D724" i="47"/>
  <c r="F43" i="39"/>
  <c r="J42" i="30"/>
  <c r="B51" i="30" s="1"/>
  <c r="YV2" i="52"/>
  <c r="E24" i="12"/>
  <c r="E37" i="12" s="1"/>
  <c r="E80" i="12"/>
  <c r="E93" i="12" s="1"/>
  <c r="E136" i="12"/>
  <c r="E149" i="12" s="1"/>
  <c r="J43" i="7"/>
  <c r="AVY2" i="52"/>
  <c r="YI2" i="52"/>
  <c r="R63" i="39"/>
  <c r="D651" i="47" s="1"/>
  <c r="AVO2" i="52" s="1"/>
  <c r="YJ2" i="52"/>
  <c r="AVZ2" i="52"/>
  <c r="J43" i="39"/>
  <c r="AXV2" i="52"/>
  <c r="AAF2" i="52"/>
  <c r="J32" i="7"/>
  <c r="D48" i="7" s="1"/>
  <c r="D50" i="7" s="1"/>
  <c r="H43" i="39"/>
  <c r="AAI2" i="52"/>
  <c r="AXY2" i="52"/>
  <c r="J38" i="7"/>
  <c r="F48" i="7" s="1"/>
  <c r="F50" i="7" s="1"/>
  <c r="P32" i="39"/>
  <c r="P48" i="39" s="1"/>
  <c r="P50" i="39" s="1"/>
  <c r="AFH2" i="52"/>
  <c r="J26" i="16"/>
  <c r="B52" i="7" s="1"/>
  <c r="D480" i="47"/>
  <c r="APJ2" i="52" s="1"/>
  <c r="HX2" i="52"/>
  <c r="YD2" i="52"/>
  <c r="AVT2" i="52"/>
  <c r="AFW2" i="52"/>
  <c r="HH2" i="52"/>
  <c r="E108" i="11"/>
  <c r="E60" i="11"/>
  <c r="PH2" i="52"/>
  <c r="ANJ2" i="52"/>
  <c r="H132" i="12"/>
  <c r="K132" i="12" s="1"/>
  <c r="K135" i="12" s="1"/>
  <c r="K151" i="12"/>
  <c r="SC2" i="52"/>
  <c r="AQA2" i="52"/>
  <c r="B87" i="36"/>
  <c r="D706" i="47" s="1"/>
  <c r="MF2" i="52"/>
  <c r="AKM2" i="52"/>
  <c r="JD2" i="52"/>
  <c r="AHP2" i="52"/>
  <c r="B52" i="31"/>
  <c r="B53" i="31" s="1"/>
  <c r="N41" i="24"/>
  <c r="AIT2" i="52"/>
  <c r="KJ2" i="52"/>
  <c r="B52" i="30"/>
  <c r="H41" i="24"/>
  <c r="MV2" i="52"/>
  <c r="ALB2" i="52"/>
  <c r="R70" i="48"/>
  <c r="J80" i="36"/>
  <c r="R70" i="55"/>
  <c r="OB2" i="52"/>
  <c r="AMF2" i="52"/>
  <c r="P37" i="39"/>
  <c r="T48" i="39" s="1"/>
  <c r="AMU2" i="52"/>
  <c r="OR2" i="52"/>
  <c r="YY2" i="52"/>
  <c r="AWO2" i="52"/>
  <c r="AQR2" i="52"/>
  <c r="SU2" i="52"/>
  <c r="JT2" i="52"/>
  <c r="AIE2" i="52"/>
  <c r="J53" i="36"/>
  <c r="J70" i="55"/>
  <c r="J70" i="48"/>
  <c r="D313" i="47"/>
  <c r="AGZ2" i="52"/>
  <c r="IM2" i="52"/>
  <c r="B70" i="48"/>
  <c r="B70" i="55"/>
  <c r="J26" i="36"/>
  <c r="D249" i="47"/>
  <c r="AJH2" i="52"/>
  <c r="KY2" i="52"/>
  <c r="NL2" i="52"/>
  <c r="ALQ2" i="52"/>
  <c r="LP2" i="52"/>
  <c r="AJX2" i="52"/>
  <c r="P63" i="39"/>
  <c r="D703" i="47" s="1"/>
  <c r="H76" i="12"/>
  <c r="K76" i="12" s="1"/>
  <c r="K79" i="12" s="1"/>
  <c r="D39" i="30" s="1"/>
  <c r="J39" i="30" s="1"/>
  <c r="F51" i="30" s="1"/>
  <c r="VO2" i="52"/>
  <c r="ATH2" i="52"/>
  <c r="J33" i="30" l="1"/>
  <c r="D51" i="30" s="1"/>
  <c r="B53" i="30"/>
  <c r="AAR2" i="52"/>
  <c r="AYH2" i="52"/>
  <c r="XY2" i="52"/>
  <c r="P43" i="39"/>
  <c r="R51" i="39" s="1"/>
  <c r="D650" i="47" s="1"/>
  <c r="AVN2" i="52" s="1"/>
  <c r="D664" i="47"/>
  <c r="J42" i="7"/>
  <c r="B51" i="7" s="1"/>
  <c r="B53" i="7" s="1"/>
  <c r="S48" i="39"/>
  <c r="E83" i="11"/>
  <c r="F33" i="39" s="1"/>
  <c r="E131" i="11"/>
  <c r="H38" i="39" s="1"/>
  <c r="RK2" i="52"/>
  <c r="B89" i="16"/>
  <c r="D4" i="47" s="1"/>
  <c r="D840" i="47" s="1"/>
  <c r="C44" i="24" s="1"/>
  <c r="C41" i="24"/>
  <c r="Y70" i="48"/>
  <c r="K80" i="12"/>
  <c r="K93" i="12" s="1"/>
  <c r="Y70" i="55"/>
  <c r="D766" i="47" s="1"/>
  <c r="AZU2" i="52" s="1"/>
  <c r="J33" i="39"/>
  <c r="V63" i="39"/>
  <c r="D701" i="47" s="1"/>
  <c r="S63" i="39"/>
  <c r="D52" i="7"/>
  <c r="C76" i="24"/>
  <c r="T50" i="39"/>
  <c r="U48" i="39"/>
  <c r="U50" i="39" s="1"/>
  <c r="D52" i="30"/>
  <c r="H76" i="24"/>
  <c r="J38" i="39"/>
  <c r="AJI2" i="52"/>
  <c r="KZ2" i="52"/>
  <c r="N76" i="24"/>
  <c r="D52" i="31"/>
  <c r="B89" i="36"/>
  <c r="P52" i="39" s="1"/>
  <c r="K136" i="12"/>
  <c r="K149" i="12" s="1"/>
  <c r="ZZ2" i="52"/>
  <c r="AXP2" i="52"/>
  <c r="D718" i="47"/>
  <c r="J34" i="7"/>
  <c r="D728" i="47"/>
  <c r="S82" i="12"/>
  <c r="AHA2" i="52"/>
  <c r="IN2" i="52"/>
  <c r="R60" i="39" l="1"/>
  <c r="XX2" i="52"/>
  <c r="F38" i="39"/>
  <c r="P38" i="39" s="1"/>
  <c r="T51" i="39" s="1"/>
  <c r="U51" i="39" s="1"/>
  <c r="U53" i="39" s="1"/>
  <c r="D714" i="47"/>
  <c r="AAH2" i="52" s="1"/>
  <c r="D39" i="7"/>
  <c r="J39" i="7" s="1"/>
  <c r="F51" i="7" s="1"/>
  <c r="AWB2" i="52"/>
  <c r="YL2" i="52"/>
  <c r="H33" i="39"/>
  <c r="P33" i="39" s="1"/>
  <c r="P51" i="39" s="1"/>
  <c r="R52" i="39"/>
  <c r="S52" i="39" s="1"/>
  <c r="S80" i="12"/>
  <c r="ACH2" i="52"/>
  <c r="F52" i="31"/>
  <c r="F53" i="31" s="1"/>
  <c r="D53" i="31"/>
  <c r="AAL2" i="52"/>
  <c r="AYB2" i="52"/>
  <c r="F52" i="30"/>
  <c r="F53" i="30" s="1"/>
  <c r="D53" i="30"/>
  <c r="C2" i="52"/>
  <c r="BCT2" i="52"/>
  <c r="F52" i="7"/>
  <c r="AYL2" i="52"/>
  <c r="AAV2" i="52"/>
  <c r="P61" i="39"/>
  <c r="T52" i="39"/>
  <c r="ZW2" i="52"/>
  <c r="AXM2" i="52"/>
  <c r="AXX2" i="52" l="1"/>
  <c r="F53" i="7"/>
  <c r="D842" i="47"/>
  <c r="BCV2" i="52" s="1"/>
  <c r="D711" i="47"/>
  <c r="J33" i="7"/>
  <c r="D51" i="7" s="1"/>
  <c r="D53" i="7" s="1"/>
  <c r="S51" i="39"/>
  <c r="D702" i="47"/>
  <c r="P53" i="39"/>
  <c r="D844" i="47" s="1"/>
  <c r="BCX2" i="52" s="1"/>
  <c r="P60" i="39"/>
  <c r="P62" i="39" s="1"/>
  <c r="T53" i="39"/>
  <c r="V51" i="39"/>
  <c r="D707" i="47" s="1"/>
  <c r="AXQ2" i="52" s="1"/>
  <c r="R61" i="39"/>
  <c r="R62" i="39" s="1"/>
  <c r="R53" i="39"/>
  <c r="AXU2" i="52" l="1"/>
  <c r="AAE2" i="52"/>
  <c r="AAA2" i="5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tc={B8B32951-90AD-4C7A-ABC1-2A4E5F4779E2}</author>
  </authors>
  <commentList>
    <comment ref="E24" authorId="0" shapeId="0" xr:uid="{B8B32951-90AD-4C7A-ABC1-2A4E5F4779E2}">
      <text>
        <t>[Opmerkingenthread]
U kunt deze opmerkingenthread lezen in uw versie van Excel. Eventuele wijzigingen aan de thread gaan echter verloren als het bestand wordt geopend in een nieuwere versie van Excel. Meer informatie: https://go.microsoft.com/fwlink/?linkid=870924
Opmerking:
    komt vanuit analyse belofte voor elke kostensoort om door te drukken naar AXI</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tc={AFE26E52-ADC1-4610-AB74-7A9BB9E89E31}</author>
  </authors>
  <commentList>
    <comment ref="C66" authorId="0" shapeId="0" xr:uid="{AFE26E52-ADC1-4610-AB74-7A9BB9E89E31}">
      <text>
        <t>[Opmerkingenthread]
U kunt deze opmerkingenthread lezen in uw versie van Excel. Eventuele wijzigingen aan de thread gaan echter verloren als het bestand wordt geopend in een nieuwere versie van Excel. Meer informatie: https://go.microsoft.com/fwlink/?linkid=870924
Opmerking:
    nog aan te passen voor revalidatieovereenkomsten</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tc={C7A48565-3476-4EB1-9B7B-1CCBDEF6221A}</author>
    <author>tc={ED0C33FC-455C-4963-B082-C9677FF9EEA9}</author>
    <author>tc={C0D66A27-5A86-47B3-AA09-4CEA8CB8FD8A}</author>
  </authors>
  <commentList>
    <comment ref="C3" authorId="0" shapeId="0" xr:uid="{C7A48565-3476-4EB1-9B7B-1CCBDEF6221A}">
      <text>
        <t>[Opmerkingenthread]
U kunt deze opmerkingenthread lezen in uw versie van Excel. Eventuele wijzigingen aan de thread gaan echter verloren als het bestand wordt geopend in een nieuwere versie van Excel. Meer informatie: https://go.microsoft.com/fwlink/?linkid=870924
Opmerking:
    Verblijfsmodules voor 5 of 7 dagen per week binnen de OBC krijgen zelfde gewicht als andere verblijfsmodules.</t>
      </text>
    </comment>
    <comment ref="D8" authorId="1" shapeId="0" xr:uid="{ED0C33FC-455C-4963-B082-C9677FF9EEA9}">
      <text>
        <t>[Opmerkingenthread]
U kunt deze opmerkingenthread lezen in uw versie van Excel. Eventuele wijzigingen aan de thread gaan echter verloren als het bestand wordt geopend in een nieuwere versie van Excel. Meer informatie: https://go.microsoft.com/fwlink/?linkid=870924
Opmerking:
    Hier het aantal begeleidingscapaciteit nemen indien dit hoger ligt dan het aantal modules.</t>
      </text>
    </comment>
    <comment ref="D46" authorId="2" shapeId="0" xr:uid="{C0D66A27-5A86-47B3-AA09-4CEA8CB8FD8A}">
      <text>
        <t>[Opmerkingenthread]
U kunt deze opmerkingenthread lezen in uw versie van Excel. Eventuele wijzigingen aan de thread gaan echter verloren als het bestand wordt geopend in een nieuwere versie van Excel. Meer informatie: https://go.microsoft.com/fwlink/?linkid=870924
Opmerking:
    Multi disciplinaire onderzoeken</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tc={4A794BEF-EE47-4416-8179-276E2F4DF62F}</author>
    <author>tc={CD06A7C9-48BE-46D1-BEA1-476E06E24AA6}</author>
  </authors>
  <commentList>
    <comment ref="A2" authorId="0" shapeId="0" xr:uid="{4A794BEF-EE47-4416-8179-276E2F4DF62F}">
      <text>
        <t>[Opmerkingenthread]
U kunt deze opmerkingenthread lezen in uw versie van Excel. Eventuele wijzigingen aan de thread gaan echter verloren als het bestand wordt geopend in een nieuwere versie van Excel. Meer informatie: https://go.microsoft.com/fwlink/?linkid=870924
Opmerking:
    Steeds te checken of de oppervlakte de maximale subsidiabele oppervlakte is.</t>
      </text>
    </comment>
    <comment ref="E18" authorId="1" shapeId="0" xr:uid="{CD06A7C9-48BE-46D1-BEA1-476E06E24AA6}">
      <text>
        <t>[Opmerkingenthread]
U kunt deze opmerkingenthread lezen in uw versie van Excel. Eventuele wijzigingen aan de thread gaan echter verloren als het bestand wordt geopend in een nieuwere versie van Excel. Meer informatie: https://go.microsoft.com/fwlink/?linkid=870924
Opmerking:
    samen met nieuwbouw 21% rekenen</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tc={D5B346CA-37D9-4F2E-839A-EC27644BCA75}</author>
    <author>tc={EA1E1F24-2A75-4811-A815-4051D27466D6}</author>
  </authors>
  <commentList>
    <comment ref="B24" authorId="0" shapeId="0" xr:uid="{D5B346CA-37D9-4F2E-839A-EC27644BCA75}">
      <text>
        <t>[Opmerkingenthread]
U kunt deze opmerkingenthread lezen in uw versie van Excel. Eventuele wijzigingen aan de thread gaan echter verloren als het bestand wordt geopend in een nieuwere versie van Excel. Meer informatie: https://go.microsoft.com/fwlink/?linkid=870924
Opmerking:
    maximale bouwplafond op basis van alle zorgvormen.</t>
      </text>
    </comment>
    <comment ref="A32" authorId="1" shapeId="0" xr:uid="{EA1E1F24-2A75-4811-A815-4051D27466D6}">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tc={FA5144ED-289D-4564-8A34-32D6803632C9}</author>
  </authors>
  <commentList>
    <comment ref="A32" authorId="0" shapeId="0" xr:uid="{FA5144ED-289D-4564-8A34-32D6803632C9}">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tc={FF5FC2A3-85AC-4CD4-9A46-799CDF8AC640}</author>
    <author>tc={8ED23EE3-3C9D-4A18-84CF-5849AFA1D94C}</author>
  </authors>
  <commentList>
    <comment ref="A32" authorId="0" shapeId="0" xr:uid="{FF5FC2A3-85AC-4CD4-9A46-799CDF8AC640}">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 ref="B51" authorId="1" shapeId="0" xr:uid="{8ED23EE3-3C9D-4A18-84CF-5849AFA1D94C}">
      <text>
        <t>[Opmerkingenthread]
U kunt deze opmerkingenthread lezen in uw versie van Excel. Eventuele wijzigingen aan de thread gaan echter verloren als het bestand wordt geopend in een nieuwere versie van Excel. Meer informatie: https://go.microsoft.com/fwlink/?linkid=870924
Opmerking:
    hiervan kijken of dit nog ergens anders staat</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tc={4081A026-6C3F-4762-8892-F8466D00C5DB}</author>
  </authors>
  <commentList>
    <comment ref="A32" authorId="0" shapeId="0" xr:uid="{4081A026-6C3F-4762-8892-F8466D00C5DB}">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tc={B05488EF-D077-4B82-B9E8-8AF6D57289AA}</author>
  </authors>
  <commentList>
    <comment ref="E847" authorId="0" shapeId="0" xr:uid="{B05488EF-D077-4B82-B9E8-8AF6D57289AA}">
      <text>
        <t>[Opmerkingenthread]
U kunt deze opmerkingenthread lezen in uw versie van Excel. Eventuele wijzigingen aan de thread gaan echter verloren als het bestand wordt geopend in een nieuwere versie van Excel. Meer informatie: https://go.microsoft.com/fwlink/?linkid=870924
Opmerking:
    Verblijfsmodules voor 5 of 7 dagen per week binnen de OBC krijgen zelfde gewicht als andere verblijfsmodules.</t>
      </text>
    </comment>
  </commentList>
</comments>
</file>

<file path=xl/sharedStrings.xml><?xml version="1.0" encoding="utf-8"?>
<sst xmlns="http://schemas.openxmlformats.org/spreadsheetml/2006/main" count="12615" uniqueCount="1469">
  <si>
    <t>Projectgegevens waarvoor VIPA-subsidie worden aangevraagd</t>
  </si>
  <si>
    <t>Vlaams Infrastructuurfonds voor Persoonsgebonden Aangelegenheden (VIPA)</t>
  </si>
  <si>
    <t>Ellipsgebouw</t>
  </si>
  <si>
    <t>Dossier nummer</t>
  </si>
  <si>
    <t>Koning Albert II-laan 35 bus 34, 1030 BRUSSEL</t>
  </si>
  <si>
    <t>Het dossier nummer dient ingevuld te worden door de bevoegde instantie.</t>
  </si>
  <si>
    <t>Tel. 02 553 32 41 – Fax 02 553 34 80</t>
  </si>
  <si>
    <t>E-mail: vipa@vlaanderen.be</t>
  </si>
  <si>
    <t>Versie</t>
  </si>
  <si>
    <t>De versie dient ingevuld te worden door de bevoegde instantie.</t>
  </si>
  <si>
    <t>Waarvoor dient dit document?</t>
  </si>
  <si>
    <t>Met dit document bezorgt de aanvrager het Vlaams Infrastructuurfonds voor Persoonsgebonden Aangelegenheden (VIPA) de nodige identificatiegegevens van het project zodat het VIPA over de juiste gegevens beschikt om het project te beoordelen met het oog op een subsidiebelofte en om het subsidiebedrag te berekenen.</t>
  </si>
  <si>
    <t>Aan wie bezorgt u dit document?</t>
  </si>
  <si>
    <t xml:space="preserve">Upload dit document bij het indienen van het dossier in E-loket van het Vlaams Infrastructuurfonds voor Persoonsgebonden Aangelegenheden (VIPA). De indiening van de subsidieaanvraag gebeurt digitaal via het E-loket van het VIPA. </t>
  </si>
  <si>
    <t>Hoe gebruikt u dit document?</t>
  </si>
  <si>
    <t xml:space="preserve">Dit document kan gewijzigd worden gedurende de verschillende fase van het VIPA traject. Zowel u als de toegewezen bouwtechnisch adviseur zullen dit rekenblad kunnen gebruiken. </t>
  </si>
  <si>
    <t>Wanneer u een wijziging van de belofte hebt aangevraagd zullen de tabbladden 'Overzicht project_gewijzigd' en "Oppervlakte_gewijzigd" beschikbaar worden gesteld door VIPA. In de tabbladen voor de bouwkost zal de kolom Raming SB gewijzigd verschijnen. Hier kan u de gewijzigde gegevens van het project invullen.</t>
  </si>
  <si>
    <t xml:space="preserve">Zowel bij de tweede evaluatie/opstartbeslissing als bij de eindevaluatie dient u de tabbladen Bouwkost "kostensoort" verder aan te vullen met de prijs bij aanbesteding, gunning en eindafrekening. </t>
  </si>
  <si>
    <t>Reeds gesubsidieerde projecten</t>
  </si>
  <si>
    <t>A</t>
  </si>
  <si>
    <t>Naam</t>
  </si>
  <si>
    <t>Gesubsidieerde oppervlakte</t>
  </si>
  <si>
    <t>Jaar van ingebruikname</t>
  </si>
  <si>
    <t>Zorgvorm</t>
  </si>
  <si>
    <t>Project 1</t>
  </si>
  <si>
    <t>Kies de zorgvorm</t>
  </si>
  <si>
    <t>Totale oppervlakte</t>
  </si>
  <si>
    <t>Identificatie van het project</t>
  </si>
  <si>
    <t>Geef de naam van het project met aanduiding van de aanvrager en de capaciteit van het project.</t>
  </si>
  <si>
    <t>B</t>
  </si>
  <si>
    <t>Geef de gemeente waar het project is gelegen.</t>
  </si>
  <si>
    <t>Geef de gemeente van het project in</t>
  </si>
  <si>
    <t>C</t>
  </si>
  <si>
    <t>Vul de verschillende zorgvormen in die in het project aanwezig zijn en de daarbij horende totale capaciteit van het project voor deze zorgvorm.</t>
  </si>
  <si>
    <t>Type</t>
  </si>
  <si>
    <t>Totale capaciteit van het project voor de zorgvorm</t>
  </si>
  <si>
    <t>Zorgvorm 1</t>
  </si>
  <si>
    <t>De eenheid van de erkende capaciteit past automatisch aan wanneer u de zorgvorm kiest.</t>
  </si>
  <si>
    <t>Zorgvorm 2</t>
  </si>
  <si>
    <t>Zorgvorm 3</t>
  </si>
  <si>
    <t>D</t>
  </si>
  <si>
    <t xml:space="preserve">Geef voor elke zorgvorm de verschillende kostensoorten van het project, het bijhorende BTW-stelsel, de bruto oppervlakte en de capaciteitsuitbreiding of -vervanging. </t>
  </si>
  <si>
    <t>De zorgvorm wordt automatisch overgenomen uit C.</t>
  </si>
  <si>
    <t>BTW-stelsel</t>
  </si>
  <si>
    <t>Bruto oppervlakte*</t>
  </si>
  <si>
    <t>BTW-stelsel 2</t>
  </si>
  <si>
    <t>Bruto oppervlakte 2</t>
  </si>
  <si>
    <t>Capaciteitsuitbreiding</t>
  </si>
  <si>
    <t>Capaciteitsvervanging</t>
  </si>
  <si>
    <t>Kostensoort 1</t>
  </si>
  <si>
    <t>Kies kostensoort</t>
  </si>
  <si>
    <t>Kostensoort 2</t>
  </si>
  <si>
    <t>Kostensoort 3</t>
  </si>
  <si>
    <t>Kostensoort 4</t>
  </si>
  <si>
    <t>Bruto oppervlakte</t>
  </si>
  <si>
    <t>Totale oppervlakte project</t>
  </si>
  <si>
    <t>Identificatie van het project waarvoor een wijziging belofte worden aangevraagd</t>
  </si>
  <si>
    <t>Zorgvorm project</t>
  </si>
  <si>
    <t>Vul de zorgvorm in</t>
  </si>
  <si>
    <t>link naar regelgeving</t>
  </si>
  <si>
    <t>Kostensoort(en)</t>
  </si>
  <si>
    <t>Oppervlakte</t>
  </si>
  <si>
    <t>opp. beperkt</t>
  </si>
  <si>
    <t>opp. Beperkt</t>
  </si>
  <si>
    <t>BTW</t>
  </si>
  <si>
    <t>BTW tarief 1</t>
  </si>
  <si>
    <t>OPP-BTW1</t>
  </si>
  <si>
    <t>BTW tarief 2</t>
  </si>
  <si>
    <t>OPP-BTW2</t>
  </si>
  <si>
    <t xml:space="preserve"> </t>
  </si>
  <si>
    <t>Nieuwbouw 6-12-21%</t>
  </si>
  <si>
    <t>Nieuwbouw 21%</t>
  </si>
  <si>
    <t>Uitbreiding</t>
  </si>
  <si>
    <t>IER</t>
  </si>
  <si>
    <t>Verbouwing</t>
  </si>
  <si>
    <t>Nieuwbouw light 21%</t>
  </si>
  <si>
    <t>Nieuwbouw light 6-12-21%</t>
  </si>
  <si>
    <t>Centrumstad?</t>
  </si>
  <si>
    <t>Het gaat om een grootstad, centrumstad of de Brusselse-Hoofdstad</t>
  </si>
  <si>
    <t>Capaciteit voorziening</t>
  </si>
  <si>
    <t>Totale erkende capaciteit voorziening</t>
  </si>
  <si>
    <t>Totale erkende capaciteit</t>
  </si>
  <si>
    <t>Subsidiabele oppervlakte</t>
  </si>
  <si>
    <t>Bruto opp. project</t>
  </si>
  <si>
    <t>Maximaal subsidiabele opp.</t>
  </si>
  <si>
    <t>Bestaande gesubsidieerde opp.</t>
  </si>
  <si>
    <t>per zorgvorm bekijken uit overzicht project</t>
  </si>
  <si>
    <t>Bouwindex</t>
  </si>
  <si>
    <t>Jaar</t>
  </si>
  <si>
    <t>Index</t>
  </si>
  <si>
    <t>Jaar van BTA/COCO</t>
  </si>
  <si>
    <t>Wijziging belofte</t>
  </si>
  <si>
    <t>Indexatie bevel van aanvang</t>
  </si>
  <si>
    <t>Raming</t>
  </si>
  <si>
    <t xml:space="preserve">Totale bruto kostprijs project </t>
  </si>
  <si>
    <t>9a</t>
  </si>
  <si>
    <t>9b</t>
  </si>
  <si>
    <t>9c</t>
  </si>
  <si>
    <t>enkel in te vullen wanneer het niet gaat over gezinnen met kinderen, BJB of CAW. In deze gevallen de bijhorende tabbladden openen en invullen</t>
  </si>
  <si>
    <t>9d</t>
  </si>
  <si>
    <t>Niet-gesubsideerde zorgvormen</t>
  </si>
  <si>
    <t xml:space="preserve">DUIDING </t>
  </si>
  <si>
    <t>Lokalen woonondersteuning</t>
  </si>
  <si>
    <t>Lokalen Collectieve en ondersteunende diensten</t>
  </si>
  <si>
    <t>Lokalen dagbesteding</t>
  </si>
  <si>
    <t>collectieve en ondersteunende zorglokalen</t>
  </si>
  <si>
    <t>Ruimten</t>
  </si>
  <si>
    <t>Bruto opp.</t>
  </si>
  <si>
    <t>Netto opp.</t>
  </si>
  <si>
    <t>dit zijn activiteitenlokalen, therapielokalen, collectieve was-, eet- en kookgelegenheden (niet horende bij de woning) en polyvalente ruimten</t>
  </si>
  <si>
    <t>Totaal</t>
  </si>
  <si>
    <t>Lokaal</t>
  </si>
  <si>
    <t>netto-oppervlakte</t>
  </si>
  <si>
    <t>de oppervlakte binnen de binnenmuren van een ruimte (ingebouwde kasten meegeteld)</t>
  </si>
  <si>
    <t>bruto-oppervlakte</t>
  </si>
  <si>
    <t xml:space="preserve">de oppervlakte rondom de buitenmuren, per bouwlaag </t>
  </si>
  <si>
    <t xml:space="preserve">PROGRAMMA </t>
  </si>
  <si>
    <t>Raming aanvraag subsidie</t>
  </si>
  <si>
    <t>%</t>
  </si>
  <si>
    <t xml:space="preserve">% </t>
  </si>
  <si>
    <t>Aankoopbedrag</t>
  </si>
  <si>
    <t>Registratie- /notariskosten of BTW</t>
  </si>
  <si>
    <t>voorbereidende werken (incl. afbraak)</t>
  </si>
  <si>
    <t>PF1 Ruwbouw</t>
  </si>
  <si>
    <t>PF2 Techn. Uitrusting</t>
  </si>
  <si>
    <t>PF3 Afwerking</t>
  </si>
  <si>
    <t>Subtotaal PF1-2-3</t>
  </si>
  <si>
    <t xml:space="preserve">PF4 Losse uitrusting en meubilering </t>
  </si>
  <si>
    <t>kunstwerk</t>
  </si>
  <si>
    <t>omgevingswerken</t>
  </si>
  <si>
    <t xml:space="preserve">ondergrondse parking </t>
  </si>
  <si>
    <t>totaal bouwwerken</t>
  </si>
  <si>
    <t>algemeen totaal</t>
  </si>
  <si>
    <t>alle bedragen zonder BTW en AO</t>
  </si>
  <si>
    <t>BTW op gebouw deel A</t>
  </si>
  <si>
    <t>BTW op kunst</t>
  </si>
  <si>
    <t>BTW op roerend en omgevingswerken</t>
  </si>
  <si>
    <t>AO op bouwwerken</t>
  </si>
  <si>
    <t>21% BTW op AO</t>
  </si>
  <si>
    <t>Totaal BTW</t>
  </si>
  <si>
    <t>Aankoopkosten all-in</t>
  </si>
  <si>
    <t>bouwkost all-in</t>
  </si>
  <si>
    <t>Totaal project (alle zorgvormen)</t>
  </si>
  <si>
    <t>Totaal kunstwerk excl. BTW</t>
  </si>
  <si>
    <t>Totaal kunstwerk incl. BTW</t>
  </si>
  <si>
    <t>Bouwkost excl. BTW</t>
  </si>
  <si>
    <t>Bouwkost all-in</t>
  </si>
  <si>
    <t>BTW op gebouw</t>
  </si>
  <si>
    <t xml:space="preserve">MODULE BEREKENING KUNSTWERK </t>
  </si>
  <si>
    <t>Initiële berekening</t>
  </si>
  <si>
    <t>TOTAAL PF1-3</t>
  </si>
  <si>
    <t>(link)</t>
  </si>
  <si>
    <t>1e schijf</t>
  </si>
  <si>
    <t>1,5%</t>
  </si>
  <si>
    <t>2e schijf</t>
  </si>
  <si>
    <t>1%</t>
  </si>
  <si>
    <t>3e schijf</t>
  </si>
  <si>
    <t>0,5%</t>
  </si>
  <si>
    <t>4e schijf</t>
  </si>
  <si>
    <t>0,25%</t>
  </si>
  <si>
    <t>TOTAAL:</t>
  </si>
  <si>
    <t>waarde kunstwerk</t>
  </si>
  <si>
    <t>Sector</t>
  </si>
  <si>
    <t>aantal modules</t>
  </si>
  <si>
    <t>punten</t>
  </si>
  <si>
    <t>x 0,16 VTE</t>
  </si>
  <si>
    <t>x  m²</t>
  </si>
  <si>
    <t>totaal</t>
  </si>
  <si>
    <t>Wijziging belofte - aantal modules</t>
  </si>
  <si>
    <t>Wijzing belofte - totaal</t>
  </si>
  <si>
    <t>Opgroeien</t>
  </si>
  <si>
    <t>Verblijf -12j (V-)</t>
  </si>
  <si>
    <t>nvt</t>
  </si>
  <si>
    <t>Verblijf 0 - 18j (V)</t>
  </si>
  <si>
    <t xml:space="preserve">nvt </t>
  </si>
  <si>
    <t>Verblijf +12j (V+)</t>
  </si>
  <si>
    <t>Verblijf in een gezinshuis</t>
  </si>
  <si>
    <t>begeleiding in een kleinschalige wooneenheid</t>
  </si>
  <si>
    <t>Verblijf in een CIG</t>
  </si>
  <si>
    <t>Dagbegeleiding (D)</t>
  </si>
  <si>
    <t>Subtotaal</t>
  </si>
  <si>
    <t>M²</t>
  </si>
  <si>
    <t>Contextbegeleiding basis (CB) (=laagintensief)</t>
  </si>
  <si>
    <t>Contextbegeleiding kortdurend krachtgericht</t>
  </si>
  <si>
    <t>Contextbegeleiding midden (CM) (=breedsporig)</t>
  </si>
  <si>
    <t>Contextbegeleiding kortdurend intensief (CH)</t>
  </si>
  <si>
    <t>Contextbegeleiding delictgericht</t>
  </si>
  <si>
    <t>Contextbegeleiding i.f.v. crisis</t>
  </si>
  <si>
    <t>CB autonoom wonen basis (CB AW B)</t>
  </si>
  <si>
    <t>CB autonoom wonen midden (CB AW M)</t>
  </si>
  <si>
    <t>Ondersteunende begeleiding (O)</t>
  </si>
  <si>
    <t>Naadloze flexibele trajecten (NAFT)</t>
  </si>
  <si>
    <t>Diagnostiek</t>
  </si>
  <si>
    <t>Begeleiding in een gezinshuis</t>
  </si>
  <si>
    <t>Behandeling met diagnostiek</t>
  </si>
  <si>
    <t>Verblijf in een voorziening van categorie 8 (GES)</t>
  </si>
  <si>
    <t>Beveiligend verblijf</t>
  </si>
  <si>
    <t>Algemeen totaal</t>
  </si>
  <si>
    <t>aantal punten</t>
  </si>
  <si>
    <t>pt/VTE</t>
  </si>
  <si>
    <t>aantal VTE</t>
  </si>
  <si>
    <t>Wijzing belofte</t>
  </si>
  <si>
    <t>Herstelgerichte en constructieve afhandeling (HCA)</t>
  </si>
  <si>
    <t>aantal MDO</t>
  </si>
  <si>
    <t>VTE/MDO</t>
  </si>
  <si>
    <t>COS</t>
  </si>
  <si>
    <t>Aantal VTE</t>
  </si>
  <si>
    <t>Overkophuizen</t>
  </si>
  <si>
    <t>Totaal zonder beveiligd verblijf en GES</t>
  </si>
  <si>
    <t>Autonoom centrum voor algemeen welzijnswerk (CAW)</t>
  </si>
  <si>
    <t>Aantal plaatsen - VTE</t>
  </si>
  <si>
    <t>m²/plaats/VTE</t>
  </si>
  <si>
    <t>x 2,68 VTE</t>
  </si>
  <si>
    <t>Wijziging belofte plaatsen - VTE</t>
  </si>
  <si>
    <t>Begeleiding</t>
  </si>
  <si>
    <t>VTE</t>
  </si>
  <si>
    <t>groepsopvang/studiowonen</t>
  </si>
  <si>
    <t>Studio/kamer - 1 persoon</t>
  </si>
  <si>
    <t>plaats</t>
  </si>
  <si>
    <t>/</t>
  </si>
  <si>
    <t>Studio/kamer - 2 personen</t>
  </si>
  <si>
    <t>Studio/kamer - x personen</t>
  </si>
  <si>
    <t>Plaats</t>
  </si>
  <si>
    <t>Totale erkenning</t>
  </si>
  <si>
    <t>Centrum voor kinderzorg en gezinsondersteuning (CKG)</t>
  </si>
  <si>
    <t>Aantal begeleidingen/gezinnen/ plaatsen</t>
  </si>
  <si>
    <t>Aantal gezinnen/begeleidingen/trainingen per module</t>
  </si>
  <si>
    <t>x VTE/module</t>
  </si>
  <si>
    <t>Wijziging belofte Aantal plaatsen /gezinnen/begeleidingen</t>
  </si>
  <si>
    <t>Crisisopvang</t>
  </si>
  <si>
    <t>Ambulante opvangplaats</t>
  </si>
  <si>
    <t>Mobiele begeleiding</t>
  </si>
  <si>
    <t>Kort licht mobiele pedagogische begeleiding voor kinderen en ouders</t>
  </si>
  <si>
    <t>Lang licht mobiele pedagogische begeleiding voor kinderen en hun gezin</t>
  </si>
  <si>
    <t>Kort intens mobiele pedagogische begeleiding voor kinderen en hun gezin</t>
  </si>
  <si>
    <t>Middellang intens mobiele pedagogische begeleiding voor kinderen en hun gezin</t>
  </si>
  <si>
    <t>Ambulante pedagogische training in groepsverband</t>
  </si>
  <si>
    <t>Ambulante pedagogische training van ouders samen met kinderen in groepsverband</t>
  </si>
  <si>
    <t>Andere type ambulante training</t>
  </si>
  <si>
    <t>Ambulante pedagogische training van ouders in groepsverband</t>
  </si>
  <si>
    <t>Ambulante pedagogische training van ouders individueel</t>
  </si>
  <si>
    <t>Training van ouders en van kinderen in groepsverband</t>
  </si>
  <si>
    <t>Vertrouwencentrum - kindermishandeling</t>
  </si>
  <si>
    <t>vertrouwenscentrum kindermishandeling</t>
  </si>
  <si>
    <t>Kinderopvang</t>
  </si>
  <si>
    <t>Aantal IKT-plaatsen</t>
  </si>
  <si>
    <t>Groepsopvang - crèche</t>
  </si>
  <si>
    <t>m²/ plaats of VTE of bed</t>
  </si>
  <si>
    <t>Wijziging belofte aantal modules</t>
  </si>
  <si>
    <t>PH - verblijf en/of revalidatie</t>
  </si>
  <si>
    <t>VAPH</t>
  </si>
  <si>
    <t>Internaat voor minderjarigen</t>
  </si>
  <si>
    <t>Semi-internaat - Schoolgaande</t>
  </si>
  <si>
    <t>Semi-internaat - niet-schoolgaande</t>
  </si>
  <si>
    <t>Tehuis voor kortverblijf</t>
  </si>
  <si>
    <t>Revalidatie</t>
  </si>
  <si>
    <t>Units voor geïnterneerde (GES - PH)</t>
  </si>
  <si>
    <t>Observatiecentrum</t>
  </si>
  <si>
    <t>Totaal aantal modules</t>
  </si>
  <si>
    <t>Preventieve en ambulante gezondheidszorg (PAG)</t>
  </si>
  <si>
    <t>x 1,64 VTE</t>
  </si>
  <si>
    <t>Wijziging belofte Aantal plaatsen - VTE</t>
  </si>
  <si>
    <t>Centrum voor geestelijke gezondheidszorg</t>
  </si>
  <si>
    <t>Aanloopadressen inzake beschut wonen: &gt;= 15 plaatsen</t>
  </si>
  <si>
    <t>15 plaatsen</t>
  </si>
  <si>
    <t>Aanloopadressen inzake beschut wonen: &gt;= 25 plaatsen</t>
  </si>
  <si>
    <t>extra plaats</t>
  </si>
  <si>
    <t>Revalidatieovereenkomsten</t>
  </si>
  <si>
    <t>Ambulante zorgverlening of semiresidentiële zorgverlening</t>
  </si>
  <si>
    <t>Residentiële voorziening (incl. ouder-kind plaatsen)</t>
  </si>
  <si>
    <t>plaatsen</t>
  </si>
  <si>
    <t>Residentiële voorziening: ouder-kind plaatsen</t>
  </si>
  <si>
    <t>ouder-kind plaats</t>
  </si>
  <si>
    <t>Nieuwbouw  BTW 21%</t>
  </si>
  <si>
    <t>subs. opp (m²)</t>
  </si>
  <si>
    <t>basisbedrag</t>
  </si>
  <si>
    <t>index</t>
  </si>
  <si>
    <t>subsidiebedrag</t>
  </si>
  <si>
    <t>/m²</t>
  </si>
  <si>
    <t>Algemene Onkosten (A.O.)</t>
  </si>
  <si>
    <t>op nieuwbouw</t>
  </si>
  <si>
    <t xml:space="preserve">op A.O. </t>
  </si>
  <si>
    <t xml:space="preserve">Totaal </t>
  </si>
  <si>
    <t>Inrichting van de omgeving en sportinfrastructuur (revalidatieovereenkomsten)</t>
  </si>
  <si>
    <t>Inrichting van de omgeving (revalidatieovereenkomsten)</t>
  </si>
  <si>
    <t>raming omgevingswerken</t>
  </si>
  <si>
    <t>raming sportinfrastructuur</t>
  </si>
  <si>
    <t>weerhouden bedrag</t>
  </si>
  <si>
    <t>Berekend Bouwplafond excl. BTW</t>
  </si>
  <si>
    <t>10/6</t>
  </si>
  <si>
    <t xml:space="preserve">Samenvatting raming </t>
  </si>
  <si>
    <t>raming sporrtinfrastructuur</t>
  </si>
  <si>
    <t>zorgvorm</t>
  </si>
  <si>
    <t>op werken</t>
  </si>
  <si>
    <t xml:space="preserve">BTW </t>
  </si>
  <si>
    <t>op uitrusting</t>
  </si>
  <si>
    <t>Algemeen Totaal</t>
  </si>
  <si>
    <t xml:space="preserve">Algemeen Totaal </t>
  </si>
  <si>
    <t xml:space="preserve">Berekend Bouwplafond excl. BTW </t>
  </si>
  <si>
    <t>Nieuwbouw  BTW verschillend</t>
  </si>
  <si>
    <t>Onroerend (forfaitair)</t>
  </si>
  <si>
    <t>Subs. opp (m²)</t>
  </si>
  <si>
    <t>algemene onkosten (A.O.)</t>
  </si>
  <si>
    <t>Roerend (op basis van de raming)</t>
  </si>
  <si>
    <t xml:space="preserve">Subsidieplafond </t>
  </si>
  <si>
    <t>raming PF4</t>
  </si>
  <si>
    <t>Algemene kosten</t>
  </si>
  <si>
    <t>uitrusting</t>
  </si>
  <si>
    <t xml:space="preserve">A.O. </t>
  </si>
  <si>
    <t xml:space="preserve">Totaal subsidie </t>
  </si>
  <si>
    <t>Berekend Bouwplafond excl. BTW (A+B+C)</t>
  </si>
  <si>
    <t>Onroerend (op basis van de raming)</t>
  </si>
  <si>
    <t>raming PF 1-2-3</t>
  </si>
  <si>
    <t>Kunst</t>
  </si>
  <si>
    <t>Berekend Bouwplafond excl. BTW (A+B+C+D)</t>
  </si>
  <si>
    <t>Aankoop zonder verbouwing</t>
  </si>
  <si>
    <t xml:space="preserve">weerhouden bedrag </t>
  </si>
  <si>
    <t>Reg.- en notariskosten of BTW</t>
  </si>
  <si>
    <t>Aankoopkosten</t>
  </si>
  <si>
    <t xml:space="preserve">Venale waarde </t>
  </si>
  <si>
    <t>V</t>
  </si>
  <si>
    <t>Verhouding kosten V/A</t>
  </si>
  <si>
    <t>Gewijzigde belofte</t>
  </si>
  <si>
    <t>Aankoop met verbouwing</t>
  </si>
  <si>
    <t>Onroerend en roerend (op basis van de raming)</t>
  </si>
  <si>
    <t xml:space="preserve">plafond </t>
  </si>
  <si>
    <t>weerhouden bedrag voor de aankoop</t>
  </si>
  <si>
    <t>saldo voor verbouwing</t>
  </si>
  <si>
    <t>raming PF 4</t>
  </si>
  <si>
    <t>subsidieberekening</t>
  </si>
  <si>
    <t>deel aankoop</t>
  </si>
  <si>
    <t xml:space="preserve">Reg.- en notariskosten </t>
  </si>
  <si>
    <t>deel verbouwing</t>
  </si>
  <si>
    <t>Totaal subsidie verbouwing</t>
  </si>
  <si>
    <t>Berekend Bouwplafond</t>
  </si>
  <si>
    <t>Kunstwerk</t>
  </si>
  <si>
    <t>Reg.- en notariskosten</t>
  </si>
  <si>
    <t>OPPERVLAKTEGEGEVENS</t>
  </si>
  <si>
    <t>Nieuwbouw</t>
  </si>
  <si>
    <t>Ingrijpende energetische verbouwing</t>
  </si>
  <si>
    <t>Voltooiingswerken</t>
  </si>
  <si>
    <t>bruto-oppervlakte totaal (project)</t>
  </si>
  <si>
    <t>VIPA gesubsidieerde oppervlakte</t>
  </si>
  <si>
    <t>CAPACITEITSGEGEVENS</t>
  </si>
  <si>
    <t>capaciteit</t>
  </si>
  <si>
    <t>capaciteitsuitbreiding</t>
  </si>
  <si>
    <t>capaciteitsvervanging</t>
  </si>
  <si>
    <t xml:space="preserve">oppervlakte per capaciteitseenheid </t>
  </si>
  <si>
    <t>KOSTENANALYSE _ RAMING subsidiebelofte</t>
  </si>
  <si>
    <t>PF1 (excl. BTW)</t>
  </si>
  <si>
    <t>PF2 (excl. BTW)</t>
  </si>
  <si>
    <t>PF3 (excl. BTW)</t>
  </si>
  <si>
    <t>Totaal PF1-3 (excl. BTW)</t>
  </si>
  <si>
    <t>PF4 (excl. BTW)</t>
  </si>
  <si>
    <t>Totaal PF1-4 (excl. BTW)</t>
  </si>
  <si>
    <t>BOUWKOST / m²</t>
  </si>
  <si>
    <t>Bouwkost excl. meubilair / m²</t>
  </si>
  <si>
    <t>Bouwkost incl. meubilair/m²</t>
  </si>
  <si>
    <t>Bouwkost meubilair/m²</t>
  </si>
  <si>
    <t>VIPA bouwplafond excl. meubilair /m²</t>
  </si>
  <si>
    <t xml:space="preserve">Verhouding tot VIPA bouwplafond </t>
  </si>
  <si>
    <t>VIPA bouwplafond incl. meubilair /m²</t>
  </si>
  <si>
    <t>VIPA bouwplafond meubilair/m²</t>
  </si>
  <si>
    <t>Subsidie PF1-3(zonder AO en BTW)</t>
  </si>
  <si>
    <t>subsidie all-in</t>
  </si>
  <si>
    <t>Subsidie aankoop (excl. Registratie en BTW)</t>
  </si>
  <si>
    <t>Subsidie aankoop all-in</t>
  </si>
  <si>
    <t>Geïndexeerde belofte</t>
  </si>
  <si>
    <t>Subsidie PF1-3 (zonder AO en BTW, na bevel van aanvang)</t>
  </si>
  <si>
    <t>subsidie all-in (na bevel van aanvang)</t>
  </si>
  <si>
    <t>Initiële belofte</t>
  </si>
  <si>
    <t>AANDEEL SUBSIDIE tov BOUWKOST</t>
  </si>
  <si>
    <t>verschil initieel - belofte</t>
  </si>
  <si>
    <t>Geïndexeerde belofte - eindafrekening</t>
  </si>
  <si>
    <t>aanvullende belofte in AXI (wijziging belofte)</t>
  </si>
  <si>
    <t>Subsidie PF 1-3 (zonder AO en BTW)</t>
  </si>
  <si>
    <t>Bouwkost PF 1-3 (zonder AO en BTW)</t>
  </si>
  <si>
    <t>Subsidie all-in</t>
  </si>
  <si>
    <t>Subsidie aankoop (excl. Registratie &amp; BTW)</t>
  </si>
  <si>
    <t>Aankoop (excl.Registratie &amp; BTW)</t>
  </si>
  <si>
    <t>Aankoop all-in</t>
  </si>
  <si>
    <t>(gewijzigd bedrag notaris en registratiekosten)</t>
  </si>
  <si>
    <t>Subsidie project (aankoop + verbouwing)</t>
  </si>
  <si>
    <t>Projectkost (aankoop + verbouwing)</t>
  </si>
  <si>
    <t>Berekend bouwplafond</t>
  </si>
  <si>
    <t>Kost per capaciteitseenheid incl. meubilair</t>
  </si>
  <si>
    <t>VIPA bouwplafond per wgl (20m²)</t>
  </si>
  <si>
    <t>Verhouding tot VIPA bouwplafond per wgl</t>
  </si>
  <si>
    <t>OPPERVLAKTEN</t>
  </si>
  <si>
    <t>kamergrootte (VIPA meting)</t>
  </si>
  <si>
    <t>leefgroepgrootte</t>
  </si>
  <si>
    <t>bewoners</t>
  </si>
  <si>
    <t>m²/bewoner</t>
  </si>
  <si>
    <t>verhouding netto - bruto</t>
  </si>
  <si>
    <t>bruto-oppervlakte totaal (VIPA zorgvorm)</t>
  </si>
  <si>
    <t>Bouwplafond</t>
  </si>
  <si>
    <t>Kostensoort</t>
  </si>
  <si>
    <t>opgelet: per kostensoort moet er een apart tabblad worden ingevuld</t>
  </si>
  <si>
    <r>
      <t xml:space="preserve">In dit tabblad dient u de raming voor de kostensoort 'nieuwbouw' in te vullen. De </t>
    </r>
    <r>
      <rPr>
        <b/>
        <i/>
        <sz val="12"/>
        <color theme="1"/>
        <rFont val="Calibri"/>
        <family val="2"/>
        <scheme val="minor"/>
      </rPr>
      <t>lichtgroene lijnen zijn verplicht in te vullen lijnen</t>
    </r>
    <r>
      <rPr>
        <i/>
        <sz val="12"/>
        <color theme="1"/>
        <rFont val="Calibri"/>
        <family val="2"/>
        <scheme val="minor"/>
      </rPr>
      <t xml:space="preserve"> (vul deze ook als eerste in). De </t>
    </r>
    <r>
      <rPr>
        <b/>
        <i/>
        <sz val="12"/>
        <color theme="1"/>
        <rFont val="Calibri"/>
        <family val="2"/>
        <scheme val="minor"/>
      </rPr>
      <t>lichtblauwe lijnen</t>
    </r>
    <r>
      <rPr>
        <i/>
        <sz val="12"/>
        <color theme="1"/>
        <rFont val="Calibri"/>
        <family val="2"/>
        <scheme val="minor"/>
      </rPr>
      <t xml:space="preserve"> zijn niet verplicht maar zeer wenselijk indien beschikbaar. </t>
    </r>
  </si>
  <si>
    <t xml:space="preserve">Naam project </t>
  </si>
  <si>
    <t>opp</t>
  </si>
  <si>
    <t>BTW werken/technieken/afwerking</t>
  </si>
  <si>
    <t>BTW los meubilair</t>
  </si>
  <si>
    <t>BTW studiekosten &amp; erelonen</t>
  </si>
  <si>
    <t>BTW kunstwerk</t>
  </si>
  <si>
    <t>Kostenevolutie EXCL.BTW</t>
  </si>
  <si>
    <t>(1) Raming SB</t>
  </si>
  <si>
    <t>BTW%</t>
  </si>
  <si>
    <t>(1) Raming SB Gewijzigd</t>
  </si>
  <si>
    <t>(2) Voor aanbesteding</t>
  </si>
  <si>
    <t>(3) Gunning</t>
  </si>
  <si>
    <t>(4) Eindafrekening</t>
  </si>
  <si>
    <t>(4) Eindafrekening zorgvorm 1</t>
  </si>
  <si>
    <t>(4) Eindafrekening zorgvorm 2</t>
  </si>
  <si>
    <t>(4) Eindafrekening zorgvorm 3</t>
  </si>
  <si>
    <t>PF0 Aankoop gebouw</t>
  </si>
  <si>
    <t>STAPPEN</t>
  </si>
  <si>
    <t>aankoopkost grond excl. kosten</t>
  </si>
  <si>
    <t>aankoopkost gebouw excl. kosten</t>
  </si>
  <si>
    <t>notariskosten en registratierechten</t>
  </si>
  <si>
    <t>PFO Indien erfpacht/opstal</t>
  </si>
  <si>
    <t>jaarvergoeding</t>
  </si>
  <si>
    <t>eerste jaar erfpacht/opstal</t>
  </si>
  <si>
    <t>laatste jaar erfpacht/opstal</t>
  </si>
  <si>
    <t>1. Vul eerst het TOTAAL in van de projectfase</t>
  </si>
  <si>
    <t>Ruwbouw</t>
  </si>
  <si>
    <t>2. Vul daarna, indien gekend, detailbedragen in van bepaalde onderdelen</t>
  </si>
  <si>
    <t>Schrijnwerk</t>
  </si>
  <si>
    <t>Dakwerken</t>
  </si>
  <si>
    <t>Overige1:……………………………………………………….</t>
  </si>
  <si>
    <t>Overige2:……………………………………………………….</t>
  </si>
  <si>
    <t>Geen detail:</t>
  </si>
  <si>
    <t xml:space="preserve">3. Controle: hier staat het bedrag waarvoor geen detailbedragen bekend waren </t>
  </si>
  <si>
    <t>Sanitair</t>
  </si>
  <si>
    <t>HVAC</t>
  </si>
  <si>
    <t>Elektriciteit</t>
  </si>
  <si>
    <t>Lift</t>
  </si>
  <si>
    <t>Vloeren</t>
  </si>
  <si>
    <t xml:space="preserve">Wanden </t>
  </si>
  <si>
    <t>Plafonds</t>
  </si>
  <si>
    <t>Vast meubilair</t>
  </si>
  <si>
    <t xml:space="preserve">Keuken </t>
  </si>
  <si>
    <t xml:space="preserve">4. Subtotalen worden automatisch berekend </t>
  </si>
  <si>
    <t>Totaal PF1-2-3-4</t>
  </si>
  <si>
    <t>Omgevingswerken</t>
  </si>
  <si>
    <t>- Buitenverharding, - constructies en - meubilair</t>
  </si>
  <si>
    <t>- Groenaanleg</t>
  </si>
  <si>
    <t xml:space="preserve">Afbraakwerken </t>
  </si>
  <si>
    <t>Ondergrondse parking</t>
  </si>
  <si>
    <t>Sportinfrastructuur (onroerend, dat buiten de gesubsidieerde oppervlate valt)</t>
  </si>
  <si>
    <t>Aansluitingen nutsvoorzieningen</t>
  </si>
  <si>
    <t>Prijsherzieningen</t>
  </si>
  <si>
    <t>Meerwerken</t>
  </si>
  <si>
    <t>Studiekosten en erelonen</t>
  </si>
  <si>
    <t xml:space="preserve">5. Ook hier: eerst totaal invullen, daarna verdeling </t>
  </si>
  <si>
    <t>Haalbaarheidsstudie en masterplanning</t>
  </si>
  <si>
    <t>- Mobiliteit</t>
  </si>
  <si>
    <t>- Omgevingskwaliteit (MER)</t>
  </si>
  <si>
    <t>Coordinatie/projectbegeleiding</t>
  </si>
  <si>
    <t>Architect</t>
  </si>
  <si>
    <t>Stabiliteit</t>
  </si>
  <si>
    <t>- Grondstudie</t>
  </si>
  <si>
    <t>Technieken</t>
  </si>
  <si>
    <t>- EPB-verslaggeving</t>
  </si>
  <si>
    <t>- Veiligheidscoördinatie</t>
  </si>
  <si>
    <t>Toegankelijkheid</t>
  </si>
  <si>
    <t>Akoestiek</t>
  </si>
  <si>
    <t>Landschapsontwerp/ tuinontwerp</t>
  </si>
  <si>
    <t>Overige1</t>
  </si>
  <si>
    <t>Overige2</t>
  </si>
  <si>
    <t xml:space="preserve">(inclusief eventuele aankoop, PF0) </t>
  </si>
  <si>
    <t>Projectkost</t>
  </si>
  <si>
    <t>Bouwkost all-in na gunning (incl. BTW)</t>
  </si>
  <si>
    <t>(1) Raming PA / SB</t>
  </si>
  <si>
    <t xml:space="preserve">6. Bij de hierboven vermelde bouwkost de bijhorende Bruto-oppervlakte </t>
  </si>
  <si>
    <t>oppervlakte gebouw (bruto)</t>
  </si>
  <si>
    <t>m²</t>
  </si>
  <si>
    <t xml:space="preserve">- waarvan kelder/zolder </t>
  </si>
  <si>
    <t>- waarvan sportinfrastructuur</t>
  </si>
  <si>
    <t xml:space="preserve">oppervlakte omgevingswerken </t>
  </si>
  <si>
    <t>7. Jaartallen van de stappen (hierdoor wordt VIPA bouwplafond geïndexeerd)</t>
  </si>
  <si>
    <t>VIPA index</t>
  </si>
  <si>
    <t>Bouwkost / m²</t>
  </si>
  <si>
    <t>Omgevingswerken/m²</t>
  </si>
  <si>
    <t>Kostenevolutie tussen de fasen</t>
  </si>
  <si>
    <t xml:space="preserve">tussen (1) - (2) </t>
  </si>
  <si>
    <t>tussen (2)-(3)</t>
  </si>
  <si>
    <t>tussen (3)-(4)</t>
  </si>
  <si>
    <t>tussen (1) - (4)</t>
  </si>
  <si>
    <t xml:space="preserve">VIPA basisgegevens </t>
  </si>
  <si>
    <t>basisbedrag  werken</t>
  </si>
  <si>
    <t>basisbedrag meubilair</t>
  </si>
  <si>
    <r>
      <rPr>
        <b/>
        <i/>
        <u/>
        <sz val="12"/>
        <color theme="1"/>
        <rFont val="Calibri"/>
        <family val="2"/>
        <scheme val="minor"/>
      </rPr>
      <t>opgelet:</t>
    </r>
    <r>
      <rPr>
        <i/>
        <sz val="12"/>
        <color theme="1"/>
        <rFont val="Calibri"/>
        <family val="2"/>
        <scheme val="minor"/>
      </rPr>
      <t xml:space="preserve"> per kostensoort moet er een apart tabblad worden ingevuld</t>
    </r>
  </si>
  <si>
    <t>/ aankoop zonder verbouwing</t>
  </si>
  <si>
    <t>Ik wens in aanmerking te komen voor de premie …... en ben akkoord met de voorwaarden voor het verkrijgen van de premie.</t>
  </si>
  <si>
    <t>Overige1: …..................................................</t>
  </si>
  <si>
    <t>Overige1: schilderwerken</t>
  </si>
  <si>
    <t>Overige1: voorbereidende werken / werfinrichting</t>
  </si>
  <si>
    <t>archeologienota</t>
  </si>
  <si>
    <t>asbestonderzoek</t>
  </si>
  <si>
    <t>Bouwkost all-in na gunning en oplevering (incl. BTW)</t>
  </si>
  <si>
    <t>- waarvan sportifrastructuur</t>
  </si>
  <si>
    <t>- Buitenverharding, - construcies en - meubilair</t>
  </si>
  <si>
    <t>Initiële Projectkost incl BTW</t>
  </si>
  <si>
    <t>Totaal bij aanbesteding</t>
  </si>
  <si>
    <t>percentage afwijking tov initiële kostprijs? EVA3</t>
  </si>
  <si>
    <t>totaal bij aanvraag</t>
  </si>
  <si>
    <t>Totaal bij eindafrekening</t>
  </si>
  <si>
    <t>Het tweetalige gebied Brussel-Hoofdstad omvat de volgende gemeenten:</t>
  </si>
  <si>
    <t>Anderlecht</t>
  </si>
  <si>
    <t>Aalst</t>
  </si>
  <si>
    <t>Brussel</t>
  </si>
  <si>
    <t>Aalter</t>
  </si>
  <si>
    <t>Elsene</t>
  </si>
  <si>
    <t>Aarschot</t>
  </si>
  <si>
    <t>Etterbeek</t>
  </si>
  <si>
    <t>Aartselaar</t>
  </si>
  <si>
    <t>Ganshoren</t>
  </si>
  <si>
    <t>Affligem</t>
  </si>
  <si>
    <t>Jette</t>
  </si>
  <si>
    <t>Alken</t>
  </si>
  <si>
    <t>Koekelberg</t>
  </si>
  <si>
    <t>Alveringem</t>
  </si>
  <si>
    <t>Schaarbeek</t>
  </si>
  <si>
    <t>Oudergem</t>
  </si>
  <si>
    <t>Antwerpen</t>
  </si>
  <si>
    <t>Sint-Agatha-Berchem</t>
  </si>
  <si>
    <t>Anzegem</t>
  </si>
  <si>
    <t>Sint-Gillis</t>
  </si>
  <si>
    <t>Ardooie</t>
  </si>
  <si>
    <t>Sint-Jans-Molenbeek</t>
  </si>
  <si>
    <t>Arendonk</t>
  </si>
  <si>
    <t>Sint-Joost-ten-Node</t>
  </si>
  <si>
    <t>As</t>
  </si>
  <si>
    <t>Sint-Lambrechts-Woluwe</t>
  </si>
  <si>
    <t>Asse</t>
  </si>
  <si>
    <t>Sint-Pieters-Woluwe</t>
  </si>
  <si>
    <t>Assenede</t>
  </si>
  <si>
    <t>Ukkel</t>
  </si>
  <si>
    <t>Avelgem</t>
  </si>
  <si>
    <t>Vorst</t>
  </si>
  <si>
    <t>Baarle-Hertog</t>
  </si>
  <si>
    <t>Watermaal-Bosvoorde</t>
  </si>
  <si>
    <t>Balen</t>
  </si>
  <si>
    <t>Vlaanderen telt 13 centrumsteden zoals vermeld in het decreet m.b.t. de regels inzake werking en verdeling van het Vlaams Stedenfonds:</t>
  </si>
  <si>
    <t>Beernem</t>
  </si>
  <si>
    <t>Beerse</t>
  </si>
  <si>
    <t>Beersel</t>
  </si>
  <si>
    <t>Brugge</t>
  </si>
  <si>
    <t>Begijnendijk</t>
  </si>
  <si>
    <t>Genk</t>
  </si>
  <si>
    <t>Bekkevoort</t>
  </si>
  <si>
    <t>Gent</t>
  </si>
  <si>
    <t>Beringen</t>
  </si>
  <si>
    <t>Hasselt</t>
  </si>
  <si>
    <t>Berlaar</t>
  </si>
  <si>
    <t>Kortrijk</t>
  </si>
  <si>
    <t>Berlare</t>
  </si>
  <si>
    <t>Leuven</t>
  </si>
  <si>
    <t>Bertem</t>
  </si>
  <si>
    <t>Mechelen</t>
  </si>
  <si>
    <t>Bever</t>
  </si>
  <si>
    <t>Oostende</t>
  </si>
  <si>
    <t>Beveren</t>
  </si>
  <si>
    <t>Roeselare</t>
  </si>
  <si>
    <t>Bierbeek</t>
  </si>
  <si>
    <t>Sint-Niklaas</t>
  </si>
  <si>
    <t>Bilzen</t>
  </si>
  <si>
    <t>Turnhout</t>
  </si>
  <si>
    <t>Blankenberge</t>
  </si>
  <si>
    <t>Bocholt</t>
  </si>
  <si>
    <t>Boechout</t>
  </si>
  <si>
    <t>Bonheiden</t>
  </si>
  <si>
    <t>Boom</t>
  </si>
  <si>
    <t>Boortmeerbeek</t>
  </si>
  <si>
    <t>Borgloon</t>
  </si>
  <si>
    <t>Bornem</t>
  </si>
  <si>
    <t>Borsbeek</t>
  </si>
  <si>
    <t>Boutersem</t>
  </si>
  <si>
    <t>Brakel</t>
  </si>
  <si>
    <t>Brasschaat</t>
  </si>
  <si>
    <t>Brecht</t>
  </si>
  <si>
    <t>Bredene</t>
  </si>
  <si>
    <t>Bree</t>
  </si>
  <si>
    <t>Buggenhout</t>
  </si>
  <si>
    <t>Damme</t>
  </si>
  <si>
    <t>De Haan</t>
  </si>
  <si>
    <t>De Panne</t>
  </si>
  <si>
    <t>De Pinte</t>
  </si>
  <si>
    <t>Deerlijk</t>
  </si>
  <si>
    <t>Deinze</t>
  </si>
  <si>
    <t>Denderleeuw</t>
  </si>
  <si>
    <t>Dendermonde</t>
  </si>
  <si>
    <t>Dentergem</t>
  </si>
  <si>
    <t>Dessel</t>
  </si>
  <si>
    <t>Destelbergen</t>
  </si>
  <si>
    <t>Diepenbeek</t>
  </si>
  <si>
    <t>Diest</t>
  </si>
  <si>
    <t>Diksmuide</t>
  </si>
  <si>
    <t>Dilbeek</t>
  </si>
  <si>
    <t>Dilsen-Stokkem</t>
  </si>
  <si>
    <t>Drogenbos</t>
  </si>
  <si>
    <t>Duffel</t>
  </si>
  <si>
    <t>Edegem</t>
  </si>
  <si>
    <t>Eeklo</t>
  </si>
  <si>
    <t>Erpe-Mere</t>
  </si>
  <si>
    <t>Essen</t>
  </si>
  <si>
    <t>Evere</t>
  </si>
  <si>
    <t>Evergem</t>
  </si>
  <si>
    <t>Galmaarden</t>
  </si>
  <si>
    <t>Gavere</t>
  </si>
  <si>
    <t>Geel</t>
  </si>
  <si>
    <t>Geetbets</t>
  </si>
  <si>
    <t>Geraardsbergen</t>
  </si>
  <si>
    <t>Gingelom</t>
  </si>
  <si>
    <t>Gistel</t>
  </si>
  <si>
    <t>Glabbeek</t>
  </si>
  <si>
    <t>Gooik</t>
  </si>
  <si>
    <t>Grimbergen</t>
  </si>
  <si>
    <t>Grobbendonk</t>
  </si>
  <si>
    <t>Haacht</t>
  </si>
  <si>
    <t>Haaltert</t>
  </si>
  <si>
    <t>Halen</t>
  </si>
  <si>
    <t>Halle</t>
  </si>
  <si>
    <t>Ham</t>
  </si>
  <si>
    <t>Hamme</t>
  </si>
  <si>
    <t>Hamont-Achel</t>
  </si>
  <si>
    <t>Harelbeke</t>
  </si>
  <si>
    <t>Hechtel-Eksel</t>
  </si>
  <si>
    <t>Heers</t>
  </si>
  <si>
    <t>Heist-op-den-Berg</t>
  </si>
  <si>
    <t>Hemiksem</t>
  </si>
  <si>
    <t>Herent</t>
  </si>
  <si>
    <t>Herentals</t>
  </si>
  <si>
    <t>Herenthout</t>
  </si>
  <si>
    <t>Herk-de-Stad</t>
  </si>
  <si>
    <t>Herne</t>
  </si>
  <si>
    <t>Herselt</t>
  </si>
  <si>
    <t>Herstappe</t>
  </si>
  <si>
    <t>Herzele</t>
  </si>
  <si>
    <t>Heusden-Zolder</t>
  </si>
  <si>
    <t>Heuvelland</t>
  </si>
  <si>
    <t>Hoegaarden</t>
  </si>
  <si>
    <t>Hoeilaart</t>
  </si>
  <si>
    <t>Hoeselt</t>
  </si>
  <si>
    <t>Holsbeek</t>
  </si>
  <si>
    <t>Hooglede</t>
  </si>
  <si>
    <t>Hoogstraten</t>
  </si>
  <si>
    <t>Horebeke</t>
  </si>
  <si>
    <t>Houthalen-Helchteren</t>
  </si>
  <si>
    <t>Houthulst</t>
  </si>
  <si>
    <t>Hove</t>
  </si>
  <si>
    <t>Huldenberg</t>
  </si>
  <si>
    <t>Hulshout</t>
  </si>
  <si>
    <t>Ichtegem</t>
  </si>
  <si>
    <t>Ieper</t>
  </si>
  <si>
    <t>Ingelmunster</t>
  </si>
  <si>
    <t>Izegem</t>
  </si>
  <si>
    <t>Jabbeke</t>
  </si>
  <si>
    <t>Kalmthout</t>
  </si>
  <si>
    <t>Kampenhout</t>
  </si>
  <si>
    <t>Kapellen</t>
  </si>
  <si>
    <t>Kapelle-op-den-Bos</t>
  </si>
  <si>
    <t>Kaprijke</t>
  </si>
  <si>
    <t>Kasterlee</t>
  </si>
  <si>
    <t>Keerbergen</t>
  </si>
  <si>
    <t>Kinrooi</t>
  </si>
  <si>
    <t>Kluisbergen</t>
  </si>
  <si>
    <t>Knokke-Heist</t>
  </si>
  <si>
    <t>Koekelare</t>
  </si>
  <si>
    <t>Koksijde</t>
  </si>
  <si>
    <t>Kontich</t>
  </si>
  <si>
    <t>Kortemark</t>
  </si>
  <si>
    <t>Kortenaken</t>
  </si>
  <si>
    <t>Kortenberg</t>
  </si>
  <si>
    <t>Kortessem</t>
  </si>
  <si>
    <t>Kraainem</t>
  </si>
  <si>
    <t>Kruibeke</t>
  </si>
  <si>
    <t>Kruisem</t>
  </si>
  <si>
    <t>Kuurne</t>
  </si>
  <si>
    <t>Laakdal</t>
  </si>
  <si>
    <t>Laarne</t>
  </si>
  <si>
    <t>Lanaken</t>
  </si>
  <si>
    <t>Landen</t>
  </si>
  <si>
    <t>Langemark-Poelkapelle</t>
  </si>
  <si>
    <t>Lebbeke</t>
  </si>
  <si>
    <t>Lede</t>
  </si>
  <si>
    <t>Ledegem</t>
  </si>
  <si>
    <t>Lendelede</t>
  </si>
  <si>
    <t>Lennik</t>
  </si>
  <si>
    <t>Leopoldsburg</t>
  </si>
  <si>
    <t>Lichtervelde</t>
  </si>
  <si>
    <t>Liedekerke</t>
  </si>
  <si>
    <t>Lier</t>
  </si>
  <si>
    <t>Lierde</t>
  </si>
  <si>
    <t>Lievegem</t>
  </si>
  <si>
    <t>Lille</t>
  </si>
  <si>
    <t>Linkebeek</t>
  </si>
  <si>
    <t>Lint</t>
  </si>
  <si>
    <t>Linter</t>
  </si>
  <si>
    <t>Lochristi</t>
  </si>
  <si>
    <t>Lokeren</t>
  </si>
  <si>
    <t>Lommel</t>
  </si>
  <si>
    <t>Londerzeel</t>
  </si>
  <si>
    <t>Lo-Reninge</t>
  </si>
  <si>
    <t>Lubbeek</t>
  </si>
  <si>
    <t>Lummen</t>
  </si>
  <si>
    <t>Maarkedal</t>
  </si>
  <si>
    <t>Maaseik</t>
  </si>
  <si>
    <t>Maasmechelen</t>
  </si>
  <si>
    <t>Machelen</t>
  </si>
  <si>
    <t>Maldegem</t>
  </si>
  <si>
    <t>Malle</t>
  </si>
  <si>
    <t>Meerhout</t>
  </si>
  <si>
    <t>Meise</t>
  </si>
  <si>
    <t>Melle</t>
  </si>
  <si>
    <t>Menen</t>
  </si>
  <si>
    <t>Merchtem</t>
  </si>
  <si>
    <t>Merelbeke</t>
  </si>
  <si>
    <t>Merksplas</t>
  </si>
  <si>
    <t>Mesen</t>
  </si>
  <si>
    <t>Meulebeke</t>
  </si>
  <si>
    <t>Middelkerke</t>
  </si>
  <si>
    <t>Moerbeke</t>
  </si>
  <si>
    <t>Mol</t>
  </si>
  <si>
    <t>Moorslede</t>
  </si>
  <si>
    <t>Mortsel</t>
  </si>
  <si>
    <t>Nazareth</t>
  </si>
  <si>
    <t>Niel</t>
  </si>
  <si>
    <t>Nieuwerkerken</t>
  </si>
  <si>
    <t>Nieuwpoort</t>
  </si>
  <si>
    <t>Nijlen</t>
  </si>
  <si>
    <t>Ninove</t>
  </si>
  <si>
    <t>Olen</t>
  </si>
  <si>
    <t>Oosterzele</t>
  </si>
  <si>
    <t>Oostkamp</t>
  </si>
  <si>
    <t>Oostrozebeke</t>
  </si>
  <si>
    <t>Opwijk</t>
  </si>
  <si>
    <t>Oudenaarde</t>
  </si>
  <si>
    <t>Oudenburg</t>
  </si>
  <si>
    <t>Oud-Heverlee</t>
  </si>
  <si>
    <t>Oudsbergen</t>
  </si>
  <si>
    <t>Oud-Turnhout</t>
  </si>
  <si>
    <t>Overijse</t>
  </si>
  <si>
    <t>Peer</t>
  </si>
  <si>
    <t>Pelt</t>
  </si>
  <si>
    <t>Pepingen</t>
  </si>
  <si>
    <t>Pittem</t>
  </si>
  <si>
    <t>Poperinge</t>
  </si>
  <si>
    <t>Putte</t>
  </si>
  <si>
    <t>Puurs-Sint-Amands</t>
  </si>
  <si>
    <t>Ranst</t>
  </si>
  <si>
    <t>Ravels</t>
  </si>
  <si>
    <t>Retie</t>
  </si>
  <si>
    <t>Riemst</t>
  </si>
  <si>
    <t>Rijkevorsel</t>
  </si>
  <si>
    <t>Ronse</t>
  </si>
  <si>
    <t>Roosdaal</t>
  </si>
  <si>
    <t>Rotselaar</t>
  </si>
  <si>
    <t>Ruiselede</t>
  </si>
  <si>
    <t>Rumst</t>
  </si>
  <si>
    <t>Schelle</t>
  </si>
  <si>
    <t>Scherpenheuvel-Zichem</t>
  </si>
  <si>
    <t>Schilde</t>
  </si>
  <si>
    <t>Schoten</t>
  </si>
  <si>
    <t>Sint-Genesius-Rode</t>
  </si>
  <si>
    <t>Sint-Gillis-Waas</t>
  </si>
  <si>
    <t>Sint-Katelijne-Waver</t>
  </si>
  <si>
    <t>Sint-Laureins</t>
  </si>
  <si>
    <t>Sint-Lievens-Houtem</t>
  </si>
  <si>
    <t>Sint-Martens-Latem</t>
  </si>
  <si>
    <t>Sint-Pieters-Leeuw</t>
  </si>
  <si>
    <t>Sint-Truiden</t>
  </si>
  <si>
    <t>Spiere-Helkijn</t>
  </si>
  <si>
    <t>Stabroek</t>
  </si>
  <si>
    <t>Staden</t>
  </si>
  <si>
    <t>Steenokkerzeel</t>
  </si>
  <si>
    <t>Stekene</t>
  </si>
  <si>
    <t>Temse</t>
  </si>
  <si>
    <t>Ternat</t>
  </si>
  <si>
    <t>Tervuren</t>
  </si>
  <si>
    <t>Tessenderlo</t>
  </si>
  <si>
    <t>Tielt</t>
  </si>
  <si>
    <t>Tielt-Winge</t>
  </si>
  <si>
    <t>Tienen</t>
  </si>
  <si>
    <t>Tongeren</t>
  </si>
  <si>
    <t>Torhout</t>
  </si>
  <si>
    <t>Tremelo</t>
  </si>
  <si>
    <t>Veurne</t>
  </si>
  <si>
    <t>Vilvoorde</t>
  </si>
  <si>
    <t>Vleteren</t>
  </si>
  <si>
    <t>Voeren</t>
  </si>
  <si>
    <t>Vorselaar</t>
  </si>
  <si>
    <t>Vosselaar</t>
  </si>
  <si>
    <t>Waasmunster</t>
  </si>
  <si>
    <t>Wachtebeke</t>
  </si>
  <si>
    <t>Waregem</t>
  </si>
  <si>
    <t>Wellen</t>
  </si>
  <si>
    <t>Wemmel</t>
  </si>
  <si>
    <t>Wervik</t>
  </si>
  <si>
    <t>Westerlo</t>
  </si>
  <si>
    <t>Wetteren</t>
  </si>
  <si>
    <t>Wevelgem</t>
  </si>
  <si>
    <t>Wezembeek-Oppem</t>
  </si>
  <si>
    <t>Wichelen</t>
  </si>
  <si>
    <t>Wielsbeke</t>
  </si>
  <si>
    <t>Wijnegem</t>
  </si>
  <si>
    <t>Willebroek</t>
  </si>
  <si>
    <t>Wingene</t>
  </si>
  <si>
    <t>Wommelgem</t>
  </si>
  <si>
    <t>Wortegem-Petegem</t>
  </si>
  <si>
    <t>Wuustwezel</t>
  </si>
  <si>
    <t>Zandhoven</t>
  </si>
  <si>
    <t>Zaventem</t>
  </si>
  <si>
    <t>Zedelgem</t>
  </si>
  <si>
    <t>Zele</t>
  </si>
  <si>
    <t>Zelzate</t>
  </si>
  <si>
    <t>Zemst</t>
  </si>
  <si>
    <t>Zoersel</t>
  </si>
  <si>
    <t>Zonhoven</t>
  </si>
  <si>
    <t>Zonnebeke</t>
  </si>
  <si>
    <t>Zottegem</t>
  </si>
  <si>
    <t>Zoutleeuw</t>
  </si>
  <si>
    <t>Zuienkerke</t>
  </si>
  <si>
    <t>Zulte</t>
  </si>
  <si>
    <t>Zutendaal</t>
  </si>
  <si>
    <t>Zwalm</t>
  </si>
  <si>
    <t>Zwevegem</t>
  </si>
  <si>
    <t>Zwijndrecht</t>
  </si>
  <si>
    <t>Capaciteitseenheid</t>
  </si>
  <si>
    <t>Roerend goed</t>
  </si>
  <si>
    <t>Opmerkingen</t>
  </si>
  <si>
    <t>Link naar regelgeving</t>
  </si>
  <si>
    <t>Woonzorg</t>
  </si>
  <si>
    <t>Woonzorg - Centra voor dagopvang</t>
  </si>
  <si>
    <t>centrum</t>
  </si>
  <si>
    <t>https://codex.vlaanderen.be/Zoeken/Document.aspx?DID=1032550&amp;param=inhoud</t>
  </si>
  <si>
    <t>Woonzorg - Centra voor dagverzorging</t>
  </si>
  <si>
    <t>Woonzorg - Centra voor kortverblijf type 2</t>
  </si>
  <si>
    <t>woongelegenheden</t>
  </si>
  <si>
    <t>Woonzorg - Centra voor kortverblijf type 3</t>
  </si>
  <si>
    <t>- verdeeld over max. 3 antennes van 200 m²</t>
  </si>
  <si>
    <t>Woonzorg - Lokaal dienstencentrum</t>
  </si>
  <si>
    <t>Bijzondere jeugdbijstand</t>
  </si>
  <si>
    <t>Bijzondere Jeugdbijstand - Organisatie voor bijzondere jeugdzorg in een modulair kader</t>
  </si>
  <si>
    <t>erkende modules - VTE</t>
  </si>
  <si>
    <t>https://codex.vlaanderen.be/Portals/Codex/documenten/1019250.html</t>
  </si>
  <si>
    <t>Organisatie voor bijzondere jeugdzorg - verblijf</t>
  </si>
  <si>
    <t>erkende modules</t>
  </si>
  <si>
    <t>Organisatie voor bijzondere jeugdzorg – dagbegeleiding in groep</t>
  </si>
  <si>
    <t>Organisatie voor bijzondere jeugdzorg – contextbegeleiding, contextbegeleiding in functie van autonoom wonen en ondersteunende begeleiding</t>
  </si>
  <si>
    <t>Bijzondere Jeugdbijstand - Categorie 8</t>
  </si>
  <si>
    <t>Bijzondere Jeugdbijstand - Beveiligend verblijf</t>
  </si>
  <si>
    <t>Bijzondere Jeugdbijstand - Centra Integrale Gezinszorg</t>
  </si>
  <si>
    <t>gebruikers - VTE</t>
  </si>
  <si>
    <t>Centrum voor integrale gezinszorg - verblijf</t>
  </si>
  <si>
    <t>gebruikers</t>
  </si>
  <si>
    <t>Centrum voor integrale gezinszorg – contextbegeleiding</t>
  </si>
  <si>
    <t>Bijzondere Jeugdbijstand  - Onthaal-, oriëntatie- en observatiecentrum in een Modulair Kader</t>
  </si>
  <si>
    <t>Onthaal-, oriëntatie- en observatiecentrum in een modulair kader – verblijf</t>
  </si>
  <si>
    <t>Onthaal-, oriëntatie- en observatiecentrum in een modulair kader – modules diagnostiek</t>
  </si>
  <si>
    <t>Bijzondere Jeugdbijstand - Vergunde dienst voor pleegzorg</t>
  </si>
  <si>
    <t>Bijzondere Jeugdbijstand  - Dienst voor Herstelgerichte en Constructieve Afhandeling</t>
  </si>
  <si>
    <t>Bijzondere Jeugdbijstand - Dienst voor Crisishulp aan Huis</t>
  </si>
  <si>
    <t>Bijzondere Jeugdbijstand - Centrum voor Ontwikkelingsstoornissen</t>
  </si>
  <si>
    <t>Personen met een handicap</t>
  </si>
  <si>
    <t>Personen met een handicap - verblijf (internaat/semi-internaat/kortverblijf) en/of revalidatie</t>
  </si>
  <si>
    <t>Bedden/plaatsen/VTE</t>
  </si>
  <si>
    <t>https://codex.vlaanderen.be/Zoeken/Document.aspx?DID=1030051&amp;param=inhoud</t>
  </si>
  <si>
    <t>bedden</t>
  </si>
  <si>
    <t>Semi-internaat</t>
  </si>
  <si>
    <t>Revalidatiecentrum</t>
  </si>
  <si>
    <t>Personen met een handicap - Units voor observatie, diagnose en behandeling</t>
  </si>
  <si>
    <t xml:space="preserve">Personen met een handicap - Units voor Geïnterneerden </t>
  </si>
  <si>
    <t>Personen met een handicap - infrastructuurforfait (meerderjarigen)</t>
  </si>
  <si>
    <t>forfaits</t>
  </si>
  <si>
    <t>Gezinnen met kinderen</t>
  </si>
  <si>
    <t>residentiële opvangplaatsen</t>
  </si>
  <si>
    <t>https://codex.vlaanderen.be/Portals/Codex/documenten/1020190.html</t>
  </si>
  <si>
    <t>Centrum voor kinderzorg en gezinsondersteuning: residentieel</t>
  </si>
  <si>
    <t>Centrum voor kinderzorg en gezinsondersteuning: ambulant</t>
  </si>
  <si>
    <t>ambulante opvangplaatsen</t>
  </si>
  <si>
    <t>Centrum voor kinderzorg en gezinsondersteuning: typemodule mobiele begeleiding</t>
  </si>
  <si>
    <t>Centrum voor kinderzorg en gezinsondersteuning: typemodule ambulante pedagogische training in groepsverband</t>
  </si>
  <si>
    <t>Centrum voor kinderzorg en gezinsondersteuning: typemodule ambulante training in groepsverband</t>
  </si>
  <si>
    <t>Preventieve en ambulante gezondheidszorg</t>
  </si>
  <si>
    <t>Preventieve en Ambulante Gezondheidszorg - Centra voor Geestelijke Gezondheidszorg</t>
  </si>
  <si>
    <t>https://codex.vlaanderen.be/Zoeken/Document.aspx?DID=1019574&amp;param=inhoud</t>
  </si>
  <si>
    <t>Preventieve en Ambulante Gezondheidszorg - Consultatiebureau voor Respiratoire Aandoeningen –  waaraan geen mobiele eenheid verbonden is</t>
  </si>
  <si>
    <t>Preventieve en Ambulante Gezondheidszorg - Consultatiebureau voor Respiratoire Aandoeningen – waaraan een mobiele eenheid verbonden is</t>
  </si>
  <si>
    <t>Preventieve en Ambulante Gezondheidszorg - Wijkgezondheidscentrum</t>
  </si>
  <si>
    <t>Wijkgezondheidscentrum: &lt; 2000 patiënten met discipline huisartsengeneeskunde, een paramedische discipline en een discipline van maatschappelijk werk</t>
  </si>
  <si>
    <t>centrum/Patiënten</t>
  </si>
  <si>
    <t>Wijkgezondheidscentrum: In het Brussel-Hoofdstedelijk-Gewest, Gent of Antwerpen:&lt; 2.000 patiënten met discipline huisartsengeneeskunde, een paramedische discipline en een discipline van maatschappelijk werk, en een discipline gezondheidspromotie</t>
  </si>
  <si>
    <t>Wijkgezondheidscentrum:​ 2.000 à 4.000 patiënten met een discipline huisartsengeneeskunde, een paramedische discipline, een discipline van maatschappelijk werk en een discipline gezondheidspromotie</t>
  </si>
  <si>
    <t>Wijkgezondheidscentrum: In het Brussel-Hoofdstedelijk-Gewest, Gent of Antwerpen:​2.000 à 4.000 patiënten</t>
  </si>
  <si>
    <t>Wijkgezondheidscentrum: &gt; 4.000 patiënten met een discipline huisartsengeneeskunde, een paramedische discipline, een discipline van maatschappelijk werk, een discipline gezondheidspromotie en een extra zorgdiscipline</t>
  </si>
  <si>
    <t>Wijkgezondheidscentrum: In het Brussel-Hoofdstedelijk-Gewest, Gent of Antwerpen &gt; 4.000</t>
  </si>
  <si>
    <t>Preventieve en Ambulante Gezondheidszorg - Aanloopadressen inzake beschut wonen</t>
  </si>
  <si>
    <t>Preventieve en Ambulante Gezondheidszorg - Aanloopadressen inzake beschut wonen: &gt;= 15 plaatsen</t>
  </si>
  <si>
    <t>aanloopadres</t>
  </si>
  <si>
    <t>Preventieve en Ambulante Gezondheidszorg - Aanloopadressen inzake beschut wonen: &gt;= 25 plaatsen</t>
  </si>
  <si>
    <t xml:space="preserve"> + 2/plaats boven de 25 plaatsen (tot max. 400/aanloopadres)</t>
  </si>
  <si>
    <t>Algemeen welzijnswerk</t>
  </si>
  <si>
    <t>VTE/plaats</t>
  </si>
  <si>
    <t>Centra Algemeen Welzijnswerk - Autonome Centra</t>
  </si>
  <si>
    <t>https://codex.vlaanderen.be/Zoeken/Document.aspx?DID=1019573&amp;param=inhoud</t>
  </si>
  <si>
    <t>Centra Algemeen Welzijnswerk - Autonome Centra - groepsopvang/studiowonen</t>
  </si>
  <si>
    <t>opvangplaats</t>
  </si>
  <si>
    <t>Centra Algemeen Welzijnswerk - Centra voor Tele-Onthaal</t>
  </si>
  <si>
    <t>Psychiatrisch verzorgingstehuis</t>
  </si>
  <si>
    <t>Psychiatrische Verzorgingstehuizen</t>
  </si>
  <si>
    <t>Bedden/plaatsen</t>
  </si>
  <si>
    <t>Revalidatieovereenkomst</t>
  </si>
  <si>
    <t>plaats/VTE</t>
  </si>
  <si>
    <t>Capaciteit soort</t>
  </si>
  <si>
    <t>Zorgvormen</t>
  </si>
  <si>
    <t>zorgvormen aankoop-centrumstad</t>
  </si>
  <si>
    <t>Bedden</t>
  </si>
  <si>
    <t>Bewoners</t>
  </si>
  <si>
    <t>Modules</t>
  </si>
  <si>
    <t>Nieuwbouw 21% BTW</t>
  </si>
  <si>
    <t>Nieuwbouw 6-12-21% BTW</t>
  </si>
  <si>
    <t>Ingrijpende energetische renovatie</t>
  </si>
  <si>
    <t>Bijzondere Jeugdbijstand - Overkophuizen</t>
  </si>
  <si>
    <t>Voltooiingswerken 21% BTW</t>
  </si>
  <si>
    <t>Voltooiingswerken 6-12-21% BTW</t>
  </si>
  <si>
    <t>N.V.T.</t>
  </si>
  <si>
    <t>Locatie</t>
  </si>
  <si>
    <t>Brussel-Hoofdstedelijk gewest</t>
  </si>
  <si>
    <t>Grootstad</t>
  </si>
  <si>
    <t>Andere</t>
  </si>
  <si>
    <t>Wijkgezondheidscentrum</t>
  </si>
  <si>
    <t>Capaciteitssoort</t>
  </si>
  <si>
    <t>Totale cap.</t>
  </si>
  <si>
    <t>Uitbreidingscap.</t>
  </si>
  <si>
    <t>Vervangingscap.</t>
  </si>
  <si>
    <t>BTW Tarief</t>
  </si>
  <si>
    <t>Wijkgezondheidscentrum: In het Brussel-Hoofdstedelijk-Gewest, Gent of Antwerpen &gt; 4.000 patiënten met een discipline huisartsengeneeskunde, een paramedische discipline, een discipline van maatschappelijk werk, een discipline gezondheidspromotie en een extra zorgdiscipline</t>
  </si>
  <si>
    <t>Aanloopadressen inzake beschut wonen</t>
  </si>
  <si>
    <t>n.v.t.</t>
  </si>
  <si>
    <t xml:space="preserve">Wachtwoord Excel </t>
  </si>
  <si>
    <t>Wachtwoord VBA</t>
  </si>
  <si>
    <t>WVGev1p@</t>
  </si>
  <si>
    <t>Object AXI</t>
  </si>
  <si>
    <t>Flexfield AXI</t>
  </si>
  <si>
    <t>Locatie AXI</t>
  </si>
  <si>
    <t>Cel Excel</t>
  </si>
  <si>
    <t>Uitleg</t>
  </si>
  <si>
    <t>Object AXI2</t>
  </si>
  <si>
    <t>Flextab Axi</t>
  </si>
  <si>
    <t>Dossier.Reference</t>
  </si>
  <si>
    <t>Naam project</t>
  </si>
  <si>
    <t>Dossier.Flex</t>
  </si>
  <si>
    <t>A103</t>
  </si>
  <si>
    <t>Bedrag kunst bij aanvraag</t>
  </si>
  <si>
    <t>Aanvraag</t>
  </si>
  <si>
    <t>excl</t>
  </si>
  <si>
    <t>A100</t>
  </si>
  <si>
    <t>Bouwkost all-in bij aanvraag</t>
  </si>
  <si>
    <t>incl</t>
  </si>
  <si>
    <t>bouwkost all-in na gunningen, eindafrekining en bij aanbesteding doordrukken naar basisgegevens onder de juiste subtab</t>
  </si>
  <si>
    <t>A888</t>
  </si>
  <si>
    <t>Oppervlakte project</t>
  </si>
  <si>
    <t>Object.RAM[Z1K1].Flex</t>
  </si>
  <si>
    <t>VO12b</t>
  </si>
  <si>
    <t>Zorgvorm klassieke 2016 raming</t>
  </si>
  <si>
    <t>object 'Raming', type 'Raming Klassieke 2016'</t>
  </si>
  <si>
    <t>Object.RAM[Z1K2].Flex</t>
  </si>
  <si>
    <t>Object.RAM[Z1K3].Flex</t>
  </si>
  <si>
    <t>Object.RAM[Z1K4].Flex</t>
  </si>
  <si>
    <t>Object.RAM[Z2K1].Flex</t>
  </si>
  <si>
    <t>Object.RAM[Z2K2].Flex</t>
  </si>
  <si>
    <t>Object.RAM[Z2K3].Flex</t>
  </si>
  <si>
    <t>Object.RAM[Z2K4].Flex</t>
  </si>
  <si>
    <t>Object.RAM[Z3K1].Flex</t>
  </si>
  <si>
    <t>Object.RAM[Z3K2].Flex</t>
  </si>
  <si>
    <t>Object.RAM[Z3K3].Flex</t>
  </si>
  <si>
    <t>Object.RAM[Z3K4].Flex</t>
  </si>
  <si>
    <t>VO5</t>
  </si>
  <si>
    <t>Indicatie kostensoort</t>
  </si>
  <si>
    <t>Maximaal subsidiabele oppervlakte zorgvorm 1</t>
  </si>
  <si>
    <t>Maximaal subsidiabele oppervlakte zorgvorm 2</t>
  </si>
  <si>
    <t>Maximaal subsidiabele oppervlakte zorgvorm 3</t>
  </si>
  <si>
    <t>A098</t>
  </si>
  <si>
    <t>Raming afbraakwerken bij aanvraag</t>
  </si>
  <si>
    <t>A087</t>
  </si>
  <si>
    <t>Raming bij aanvraag PF1</t>
  </si>
  <si>
    <t>A088</t>
  </si>
  <si>
    <t>Raming bij aanvraag PF2</t>
  </si>
  <si>
    <t>A089</t>
  </si>
  <si>
    <t>Raming bij aanvraag PF3</t>
  </si>
  <si>
    <t>A102</t>
  </si>
  <si>
    <t/>
  </si>
  <si>
    <t>Raming bij aanvraag PF1 t.e.m. PF3</t>
  </si>
  <si>
    <t>A090</t>
  </si>
  <si>
    <t>Raming bij aanvraag PF4</t>
  </si>
  <si>
    <t>A091</t>
  </si>
  <si>
    <t>Raming bij aanvraag PF1 t.e.m. PF4</t>
  </si>
  <si>
    <t>A097</t>
  </si>
  <si>
    <t>Raming omgevingswerken bij aanvraag</t>
  </si>
  <si>
    <t>AO001</t>
  </si>
  <si>
    <t>Algemene onkosten per KS per ZV (bij aanvraag)</t>
  </si>
  <si>
    <t>AO400</t>
  </si>
  <si>
    <t>Ondergrondse parking (aanvraag)</t>
  </si>
  <si>
    <t>A062</t>
  </si>
  <si>
    <t>Vermoedelijk BTW-tarief</t>
  </si>
  <si>
    <t>AO002</t>
  </si>
  <si>
    <t>Vermoedelijk BTW bedrag</t>
  </si>
  <si>
    <t>AO003</t>
  </si>
  <si>
    <t>Bouwkost all-in per KS per ZV bij aanvraag</t>
  </si>
  <si>
    <t>A101</t>
  </si>
  <si>
    <t>Reële oppervlakte per KS per ZV</t>
  </si>
  <si>
    <t>AO004</t>
  </si>
  <si>
    <t>Subsidiabele oppervlakte (per KS per ZV) bij aanvraag</t>
  </si>
  <si>
    <t>AO005</t>
  </si>
  <si>
    <t>Verhouding tot bouwplafond bij aanvraag (PF1-3 per KS per ZV)</t>
  </si>
  <si>
    <t>Object.RAMW[Z1K1].Flex</t>
  </si>
  <si>
    <t>object 'Raming', 'Gewijzigde Raming Klassieke 2016'</t>
  </si>
  <si>
    <t>Object.RAMW[Z1K2].Flex</t>
  </si>
  <si>
    <t>Object.RAMW[Z1K3].Flex</t>
  </si>
  <si>
    <t>Object.RAMW[Z1K4].Flex</t>
  </si>
  <si>
    <t>Object.RAMW[Z2K1].Flex</t>
  </si>
  <si>
    <t>Object.RAMW[Z2K2].Flex</t>
  </si>
  <si>
    <t>Object.RAMW[Z2K3].Flex</t>
  </si>
  <si>
    <t>Object.RAMW[Z2K4].Flex</t>
  </si>
  <si>
    <t>Object.RAMW[Z3K1].Flex</t>
  </si>
  <si>
    <t>Object.RAMW[Z3K2].Flex</t>
  </si>
  <si>
    <t>Object.RAMW[Z3K3].Flex</t>
  </si>
  <si>
    <t>Object.RAMW[Z3K4].Flex</t>
  </si>
  <si>
    <t>Gewijzigde raming aangevraagd</t>
  </si>
  <si>
    <t>Raming bij aanvraag</t>
  </si>
  <si>
    <t>EA37</t>
  </si>
  <si>
    <t>Eindafrekening afbraakwerken</t>
  </si>
  <si>
    <t>Object 'Raming', 'Raming klassieks 2016'</t>
  </si>
  <si>
    <t>EA06</t>
  </si>
  <si>
    <t>Eindafrekening PF1</t>
  </si>
  <si>
    <t>EA07</t>
  </si>
  <si>
    <t>Eindafrekening PF2</t>
  </si>
  <si>
    <t>EA08</t>
  </si>
  <si>
    <t>Eindafrekening PF3</t>
  </si>
  <si>
    <t>EA14</t>
  </si>
  <si>
    <t>Subtotaal eindafrekening PF1-PF3</t>
  </si>
  <si>
    <t>EA09</t>
  </si>
  <si>
    <t>Eindafrekening PF4</t>
  </si>
  <si>
    <t>EA15</t>
  </si>
  <si>
    <t>Totaal eindafrekening PF 1-4</t>
  </si>
  <si>
    <t>EA36</t>
  </si>
  <si>
    <t>Eindafrekening omgevingswerken</t>
  </si>
  <si>
    <t>AO401</t>
  </si>
  <si>
    <t>Ondergrondse parking (eindafrekening)</t>
  </si>
  <si>
    <t>AO006</t>
  </si>
  <si>
    <t>zorgvorm 1 kostensoort 1 raming bij EA algemene onkosten</t>
  </si>
  <si>
    <t>AO008</t>
  </si>
  <si>
    <t>Bouwkost per m² PF1-3 (per KS per ZV)</t>
  </si>
  <si>
    <t>AO009</t>
  </si>
  <si>
    <t>Bouwkost per m² PF4 (per KS per ZV)</t>
  </si>
  <si>
    <t>AO010</t>
  </si>
  <si>
    <t>Bouwkost per m² PF1-4 (per KS per ZV)</t>
  </si>
  <si>
    <t>Zorgvorm 1 kostensoort 1 Bouwkost all-in bij EA</t>
  </si>
  <si>
    <t>Weggelaten</t>
  </si>
  <si>
    <t>AO011</t>
  </si>
  <si>
    <t>Reële oppervlakte bij eindafrekening (per KS per ZV)</t>
  </si>
  <si>
    <t>AO012</t>
  </si>
  <si>
    <t>Subsidiabele oppervlakte (per KS per ZV) bij eindafrekening</t>
  </si>
  <si>
    <t>AO013</t>
  </si>
  <si>
    <t>Verhouding tot bouwplafond (PF1-3 per KS per ZV) bij eindafrekening</t>
  </si>
  <si>
    <t>zorgvorm 1 kostensoort 2 raming bij EA algemene onkosten</t>
  </si>
  <si>
    <t>Zorgvorm 1 kostensoort 2 Vermoedelijk BTW bedrag (bij EA)</t>
  </si>
  <si>
    <t>zorgvorm 1 kostensoort 3 raming bij EA algemene onkosten</t>
  </si>
  <si>
    <t>Zorgvorm 1 kostensoort 3 Bouwkost all-in bij EA</t>
  </si>
  <si>
    <t>zorgvorm 1 kostensoort 4 raming bij EA algemene onkosten</t>
  </si>
  <si>
    <t>Zorgvorm 1 kostensoort 4 Bouwkost all-in bij EA</t>
  </si>
  <si>
    <t>zorgvorm 2 kostensoort 1 raming bij EA algemene onkosten</t>
  </si>
  <si>
    <t>Zorgvorm 2 kostensoort 1 Bouwkost all-in bij EA</t>
  </si>
  <si>
    <t>zorgvorm 2 kostensoort 2 raming bij EA algemene onkosten</t>
  </si>
  <si>
    <t>Zorgvorm 2 kostensoort 2 Bouwkost all-in bij EA</t>
  </si>
  <si>
    <t>zorgvorm 2 kostensoort 3 raming bij EA algemene onkosten</t>
  </si>
  <si>
    <t>Zorgvorm 2 kostensoort 3 Bouwkost all-in bij aanvraag</t>
  </si>
  <si>
    <t>zorgvorm 2 kostensoort 4 raming bij EA algemene onkosten</t>
  </si>
  <si>
    <t>Zorgvorm 2 kostensoort 4 Bouwkost all-in bij EA</t>
  </si>
  <si>
    <t>zorgvorm 3 kostensoort 1 raming bij EA algemene onkosten</t>
  </si>
  <si>
    <t>Zorgvorm 3 kostensoort 1 Bouwkost all-in bij EA</t>
  </si>
  <si>
    <t>zorgvorm 3 kostensoort 2 raming bij EA algemene onkosten</t>
  </si>
  <si>
    <t>Zorgvorm 3 kostensoort 2 Bouwkost all-in bij EA</t>
  </si>
  <si>
    <t>zorgvorm 3 kostensoort 3 raming bij EA algemene onkosten</t>
  </si>
  <si>
    <t>Zorgvorm 3 kostensoort 3 Bouwkost all-in bij EA</t>
  </si>
  <si>
    <t>zorgvorm 3 kostensoort 4 raming bij EA algemene onkosten</t>
  </si>
  <si>
    <t>Zorgvorm 3 kostensoort 4 Bouwkost all-in bij EA</t>
  </si>
  <si>
    <t>Object.BTAD.Flex</t>
  </si>
  <si>
    <t>BTA50</t>
  </si>
  <si>
    <t>Bestaande gesubsidieerde projectoppervlakte</t>
  </si>
  <si>
    <t>object 'advies', type 'bouwtechnisch advies'</t>
  </si>
  <si>
    <t>BTA51</t>
  </si>
  <si>
    <t>Bruto oppervlakte project</t>
  </si>
  <si>
    <t>BTA3</t>
  </si>
  <si>
    <t>Definitieve subsidiabele oppervlakte</t>
  </si>
  <si>
    <t>BTA4</t>
  </si>
  <si>
    <t>Geadviseerd bedrag PF1-4 (excl. aankoop) / =bedrag initiële belofte</t>
  </si>
  <si>
    <t>BTA5</t>
  </si>
  <si>
    <t>BTA9</t>
  </si>
  <si>
    <t>Geadviseerd deel aankoop</t>
  </si>
  <si>
    <t>BTA10</t>
  </si>
  <si>
    <t>Initieel geadviseerd subsidiebedrag notaris- en registratiekosten</t>
  </si>
  <si>
    <t>O011</t>
  </si>
  <si>
    <t>Bedrag kunst</t>
  </si>
  <si>
    <t>BTA8</t>
  </si>
  <si>
    <t>BTW-percentage bij belofte (%)</t>
  </si>
  <si>
    <t>BTA52</t>
  </si>
  <si>
    <t>BTW bedrag bij aanvraag</t>
  </si>
  <si>
    <t>BTA12</t>
  </si>
  <si>
    <t>Venale waarde</t>
  </si>
  <si>
    <t>Bouwindex jaartal belofte</t>
  </si>
  <si>
    <t>VO12bis</t>
  </si>
  <si>
    <t>VO511</t>
  </si>
  <si>
    <t>Kostensoort 1.1</t>
  </si>
  <si>
    <t>VO511T</t>
  </si>
  <si>
    <t>Totaal subsidie zorgvorm 1 kostensoort 1.1</t>
  </si>
  <si>
    <t>VO511B</t>
  </si>
  <si>
    <t>Bouwplafond zorgvorm 1 kostensoort 1.1</t>
  </si>
  <si>
    <t>VO512</t>
  </si>
  <si>
    <t>Kostensoort 1.2</t>
  </si>
  <si>
    <t>VO512T</t>
  </si>
  <si>
    <t>Totaal subsidie zorgvorm 1 kostensoort 1.2</t>
  </si>
  <si>
    <t>VO512B</t>
  </si>
  <si>
    <t>Bouwplafond zorgvorm 1 kostensoort 1.2</t>
  </si>
  <si>
    <t>VO513</t>
  </si>
  <si>
    <t>Kostensoort 1.3</t>
  </si>
  <si>
    <t>VO513T</t>
  </si>
  <si>
    <t>Totaal subsidie zorgvorm 1 kostensoort 1.3</t>
  </si>
  <si>
    <t>VO513B</t>
  </si>
  <si>
    <t>Bouwplafond zorgvorm 1 kostensoort 1.3</t>
  </si>
  <si>
    <t>VO514</t>
  </si>
  <si>
    <t>Kostensoort 1.4</t>
  </si>
  <si>
    <t>VO514T</t>
  </si>
  <si>
    <t>Totaal subsidie zorgvorm 1 kostensoort 1.4</t>
  </si>
  <si>
    <t>VO514B</t>
  </si>
  <si>
    <t>Bouwplafond zorgvorm 1 kostensoort 1.4</t>
  </si>
  <si>
    <t>VO12tri</t>
  </si>
  <si>
    <t>VO521</t>
  </si>
  <si>
    <t>Kostensoort 2.1</t>
  </si>
  <si>
    <t>VO521T</t>
  </si>
  <si>
    <t>Totaal subsidie zorgvorm 2 kostensoort 2.1</t>
  </si>
  <si>
    <t>VO521B</t>
  </si>
  <si>
    <t>Bouwplafond zorgvorm 2 kostensoort 2.1</t>
  </si>
  <si>
    <t>VO522</t>
  </si>
  <si>
    <t>Kostensoort 2.2</t>
  </si>
  <si>
    <t>VO522T</t>
  </si>
  <si>
    <t>Totaal subsidie zorgvorm 2 kostensoort 2.2</t>
  </si>
  <si>
    <t>VO522B</t>
  </si>
  <si>
    <t>Bouwplafond zorgvorm 2 kostensoort 2.2</t>
  </si>
  <si>
    <t>VO523</t>
  </si>
  <si>
    <t>Kostensoort 2.3</t>
  </si>
  <si>
    <t>VO523T</t>
  </si>
  <si>
    <t>Totaal subsidie zorgvorm 2 kostensoort 2.3</t>
  </si>
  <si>
    <t>VO523B</t>
  </si>
  <si>
    <t>Bouwplafond zorgvorm 2 kostensoort 2.3</t>
  </si>
  <si>
    <t>VO524</t>
  </si>
  <si>
    <t>Kostensoort 2.4</t>
  </si>
  <si>
    <t>VO524T</t>
  </si>
  <si>
    <t>Totaal subsidie zorgvorm 2 kostensoort 2.4</t>
  </si>
  <si>
    <t>VO524B</t>
  </si>
  <si>
    <t>Bouwplafond zorgvorm 2 kostensoort 2.4</t>
  </si>
  <si>
    <t>VO12quat</t>
  </si>
  <si>
    <t>VO531</t>
  </si>
  <si>
    <t>Kostensoort 3.1</t>
  </si>
  <si>
    <t>VO531T</t>
  </si>
  <si>
    <t>Totaal subsidie zorgvorm 3 kostensoort 3.1</t>
  </si>
  <si>
    <t>VO531B</t>
  </si>
  <si>
    <t>Bouwplafond zorgvorm 3 kostensoort 3.1</t>
  </si>
  <si>
    <t>VO532</t>
  </si>
  <si>
    <t>Kostensoort 3.2</t>
  </si>
  <si>
    <t>VO532T</t>
  </si>
  <si>
    <t>Totaal subsidie zorgvorm 3 kostensoort 3.2</t>
  </si>
  <si>
    <t>VO532B</t>
  </si>
  <si>
    <t>Bouwplafond zorgvorm 3 kostensoort 3.2</t>
  </si>
  <si>
    <t>VO533</t>
  </si>
  <si>
    <t>Kostensoort 3.3</t>
  </si>
  <si>
    <t>VO533T</t>
  </si>
  <si>
    <t>Totaal subsidie zorgvorm 3 kostensoort 3.3</t>
  </si>
  <si>
    <t>VO533B</t>
  </si>
  <si>
    <t>Bouwplafond zorgvorm 3 kostensoort 3.3</t>
  </si>
  <si>
    <t>VO534</t>
  </si>
  <si>
    <t>Kostensoort 3.4</t>
  </si>
  <si>
    <t>VO534T</t>
  </si>
  <si>
    <t>Totaal subsidie zorgvorm 3 kostensoort 3.4</t>
  </si>
  <si>
    <t>VO534B</t>
  </si>
  <si>
    <t>Bouwplafond zorgvorm 3 kostensoort 3.4</t>
  </si>
  <si>
    <t>Object.WB.Flex</t>
  </si>
  <si>
    <t>object 'advies', type 'wijziging belofte'</t>
  </si>
  <si>
    <t>Bedrag van wijziging(en) berekend bouwplafond (=delta)</t>
  </si>
  <si>
    <t>BTA53</t>
  </si>
  <si>
    <t>Bedrag BTW bij wijziging belofte</t>
  </si>
  <si>
    <t>Bedrag van wijziging belofte</t>
  </si>
  <si>
    <t>OB034</t>
  </si>
  <si>
    <t>Bouwindex jaartal gewijzigde belofte</t>
  </si>
  <si>
    <t>OB046</t>
  </si>
  <si>
    <t>Bedrag van wijziging geadviseerd deel aankoop</t>
  </si>
  <si>
    <t>OB047</t>
  </si>
  <si>
    <t>Bedrag van wijziging geadviseerd subsidiebedrag notaris- en registratiekosten</t>
  </si>
  <si>
    <t>OB045</t>
  </si>
  <si>
    <t>Bedrag van wijziging venale waarde</t>
  </si>
  <si>
    <t>BETS017</t>
  </si>
  <si>
    <t>Bouwkostraming all-in voor aanbesteding</t>
  </si>
  <si>
    <t>Betalingen</t>
  </si>
  <si>
    <t>BETS028</t>
  </si>
  <si>
    <t>Bouwkostraming all-in na gunning</t>
  </si>
  <si>
    <t>kostenevolutie</t>
  </si>
  <si>
    <t>EA29</t>
  </si>
  <si>
    <t>% afwijking t.o.v. init. kostprijs EVA3</t>
  </si>
  <si>
    <t>eindevaluatie</t>
  </si>
  <si>
    <t>EA45</t>
  </si>
  <si>
    <t>Minimum bedrag BTA kunst</t>
  </si>
  <si>
    <t>overzicht kunst</t>
  </si>
  <si>
    <t>EA35</t>
  </si>
  <si>
    <t>Bouwkost all-in na oplevering</t>
  </si>
  <si>
    <t>B888</t>
  </si>
  <si>
    <t>Reëel aankoopbedrag</t>
  </si>
  <si>
    <t>aankoop</t>
  </si>
  <si>
    <t>AO413</t>
  </si>
  <si>
    <t>Bouwkost per m² all-in (project) (eindafrekening)</t>
  </si>
  <si>
    <t>Kostenevolutie</t>
  </si>
  <si>
    <t>AO406</t>
  </si>
  <si>
    <t>Bouwkost per m² PF1-3 (project) (aanvraag)</t>
  </si>
  <si>
    <t>AO407</t>
  </si>
  <si>
    <t>Bouwkost per m² PF4 (project) (aanvraag)</t>
  </si>
  <si>
    <t>AO408</t>
  </si>
  <si>
    <t>Bouwkost per m² PF1-4 (project) (aanvraag)</t>
  </si>
  <si>
    <t>AO410</t>
  </si>
  <si>
    <t>Bouwkost per m² PF1-3 (project) (Eindafrekening)</t>
  </si>
  <si>
    <t>AO411</t>
  </si>
  <si>
    <t>Bouwkost per m² PF4 (project) (eindafrekening)</t>
  </si>
  <si>
    <t>AO412</t>
  </si>
  <si>
    <t>Bouwkost per m² PF1-4 (project) (eindafrekening)</t>
  </si>
  <si>
    <t>AO409</t>
  </si>
  <si>
    <t>Bouwkost per m² all-in (project) (aanvraag)</t>
  </si>
  <si>
    <t>AO403</t>
  </si>
  <si>
    <t>Bouwkost per m² PF1-3 (per KS per ZV bij aanvraag)</t>
  </si>
  <si>
    <t>AO404</t>
  </si>
  <si>
    <t>Bouwkost per m² PF4 (per KS per ZV bij aanvraag)</t>
  </si>
  <si>
    <t>AO405</t>
  </si>
  <si>
    <t>Bouwkost per m² PF1-4 (per KS per ZV bij aanvraag)</t>
  </si>
  <si>
    <t>Algemene onkosten per KS per ZV (bij eindafrekening)</t>
  </si>
  <si>
    <t>AO402</t>
  </si>
  <si>
    <t>Bouwkost all-in per KS per ZV bij Eindafrekening</t>
  </si>
  <si>
    <t>AO007</t>
  </si>
  <si>
    <t>BTW-tarief bij eindafrekening</t>
  </si>
  <si>
    <t>EVA24</t>
  </si>
  <si>
    <t>som gunningsbedragen excl. BTW</t>
  </si>
  <si>
    <t>EVA12</t>
  </si>
  <si>
    <t>% afwijking t.o.v. init. kostprijs EVA2</t>
  </si>
  <si>
    <t>evaluatie 2</t>
  </si>
  <si>
    <t>ratio subsidie/aankoop</t>
  </si>
  <si>
    <t>ratio subsidie/bouwkost verbouwing</t>
  </si>
  <si>
    <t>ratio subsidie/bouwkost aankoop met verbouwing</t>
  </si>
  <si>
    <t>ratio subsidie/bouwkost</t>
  </si>
  <si>
    <t>ZAK001</t>
  </si>
  <si>
    <t>Bedrag jaarlijkse vergoeding 1</t>
  </si>
  <si>
    <t>handhaving en controle</t>
  </si>
  <si>
    <t>AK003</t>
  </si>
  <si>
    <t>Venale waarde grond</t>
  </si>
  <si>
    <t>object 'capaciteit BJB'</t>
  </si>
  <si>
    <t>GES Verblijf</t>
  </si>
  <si>
    <t>GES Ondersteunende begeleiding (O)</t>
  </si>
  <si>
    <t>GES Contextbegeleiding kortdurend intensief (CH)</t>
  </si>
  <si>
    <t>beveiligend Verblijf</t>
  </si>
  <si>
    <t>beveiligend verblijf Ondersteunende begeleiding (O)</t>
  </si>
  <si>
    <t>beveiligend verblijf Contextbegeleiding kortdurend intensief (CH)</t>
  </si>
  <si>
    <t>object 'capaciteit CAW'</t>
  </si>
  <si>
    <t>CAW Studio/kamer - 1 persoon</t>
  </si>
  <si>
    <t>CAW Studio/kamer - 2 personen</t>
  </si>
  <si>
    <t>CAW Studio/kamer - x personen</t>
  </si>
  <si>
    <t>object 'capaciteit GK'</t>
  </si>
  <si>
    <t>object 'capaciteit PH'</t>
  </si>
  <si>
    <t>object 'capaciteit PAG'</t>
  </si>
  <si>
    <t>object 'capaciteit REVA'</t>
  </si>
  <si>
    <t>s</t>
  </si>
  <si>
    <t>i-2021</t>
  </si>
  <si>
    <t>i</t>
  </si>
  <si>
    <t>2024</t>
  </si>
  <si>
    <t>37,261</t>
  </si>
  <si>
    <t>139,30</t>
  </si>
  <si>
    <t>12122</t>
  </si>
  <si>
    <t>2,28638</t>
  </si>
  <si>
    <t>2023</t>
  </si>
  <si>
    <t>35,980</t>
  </si>
  <si>
    <t>135,85</t>
  </si>
  <si>
    <t>11822</t>
  </si>
  <si>
    <t>2,22750</t>
  </si>
  <si>
    <t>2022</t>
  </si>
  <si>
    <t>33,217</t>
  </si>
  <si>
    <t>-</t>
  </si>
  <si>
    <t>10397</t>
  </si>
  <si>
    <t>2,01480</t>
  </si>
  <si>
    <t>2021</t>
  </si>
  <si>
    <t>32,122</t>
  </si>
  <si>
    <t>7944</t>
  </si>
  <si>
    <t>1,72225</t>
  </si>
  <si>
    <t>2020</t>
  </si>
  <si>
    <t>31,792</t>
  </si>
  <si>
    <t>7660</t>
  </si>
  <si>
    <t>1,68429</t>
  </si>
  <si>
    <t>2019</t>
  </si>
  <si>
    <t>32,397</t>
  </si>
  <si>
    <t>8066</t>
  </si>
  <si>
    <t>1,74124</t>
  </si>
  <si>
    <t>2018</t>
  </si>
  <si>
    <t>32,111</t>
  </si>
  <si>
    <t>7808</t>
  </si>
  <si>
    <t>1,70703</t>
  </si>
  <si>
    <t>2017</t>
  </si>
  <si>
    <t>31,390</t>
  </si>
  <si>
    <t>7276</t>
  </si>
  <si>
    <t>1,63386</t>
  </si>
  <si>
    <t>​2016</t>
  </si>
  <si>
    <t>​31,406</t>
  </si>
  <si>
    <t>​6649</t>
  </si>
  <si>
    <t>​1,56503</t>
  </si>
  <si>
    <t>2015​</t>
  </si>
  <si>
    <t>​31,260</t>
  </si>
  <si>
    <t>​7189</t>
  </si>
  <si>
    <t>​1,62165</t>
  </si>
  <si>
    <t>2014​</t>
  </si>
  <si>
    <t>​31,145</t>
  </si>
  <si>
    <t>7235​</t>
  </si>
  <si>
    <t>1,62441​</t>
  </si>
  <si>
    <t>​2013</t>
  </si>
  <si>
    <t>30,943​</t>
  </si>
  <si>
    <t>7381​</t>
  </si>
  <si>
    <t>1,63645​</t>
  </si>
  <si>
    <t>2012</t>
  </si>
  <si>
    <t>30,257</t>
  </si>
  <si>
    <t>7361</t>
  </si>
  <si>
    <t>1,62044</t>
  </si>
  <si>
    <t>2011</t>
  </si>
  <si>
    <t>29,215</t>
  </si>
  <si>
    <t>7127</t>
  </si>
  <si>
    <t>1,57367</t>
  </si>
  <si>
    <t>2010</t>
  </si>
  <si>
    <t>28,655</t>
  </si>
  <si>
    <t>6483</t>
  </si>
  <si>
    <t>1,49139</t>
  </si>
  <si>
    <t>2009</t>
  </si>
  <si>
    <t>28,378</t>
  </si>
  <si>
    <t>6590</t>
  </si>
  <si>
    <t>1,49761</t>
  </si>
  <si>
    <t>2008</t>
  </si>
  <si>
    <t>27,620</t>
  </si>
  <si>
    <t>6721</t>
  </si>
  <si>
    <t>1,49681</t>
  </si>
  <si>
    <t>2007</t>
  </si>
  <si>
    <t>26,869</t>
  </si>
  <si>
    <t>6561</t>
  </si>
  <si>
    <t>1,46406</t>
  </si>
  <si>
    <t>2006</t>
  </si>
  <si>
    <t>26,384</t>
  </si>
  <si>
    <t>5251</t>
  </si>
  <si>
    <t>1,30983</t>
  </si>
  <si>
    <t>2005</t>
  </si>
  <si>
    <t>25,623</t>
  </si>
  <si>
    <t>4873</t>
  </si>
  <si>
    <t>1,25283</t>
  </si>
  <si>
    <t>2004</t>
  </si>
  <si>
    <t>25,070</t>
  </si>
  <si>
    <t>4414</t>
  </si>
  <si>
    <t>1,19109</t>
  </si>
  <si>
    <t>2003</t>
  </si>
  <si>
    <t>24,318</t>
  </si>
  <si>
    <t>4189</t>
  </si>
  <si>
    <t>1,15115</t>
  </si>
  <si>
    <t>2002</t>
  </si>
  <si>
    <t>24,110</t>
  </si>
  <si>
    <t>4045</t>
  </si>
  <si>
    <t>1,13109</t>
  </si>
  <si>
    <t>2001</t>
  </si>
  <si>
    <t>1,10929</t>
  </si>
  <si>
    <t>2000</t>
  </si>
  <si>
    <t>1,08445</t>
  </si>
  <si>
    <t>1999</t>
  </si>
  <si>
    <t>1,06038</t>
  </si>
  <si>
    <t>1998</t>
  </si>
  <si>
    <t>1,05488</t>
  </si>
  <si>
    <t>1997</t>
  </si>
  <si>
    <t>1,04472</t>
  </si>
  <si>
    <t>1996</t>
  </si>
  <si>
    <t>1,02843</t>
  </si>
  <si>
    <t>1995</t>
  </si>
  <si>
    <t>1,03177</t>
  </si>
  <si>
    <t>1994</t>
  </si>
  <si>
    <t>1,00</t>
  </si>
  <si>
    <t>﻿Jaar</t>
  </si>
  <si>
    <t>Index op 1ste januari</t>
  </si>
  <si>
    <t>Index op 1ste juli</t>
  </si>
  <si>
    <t>Contextbegeleiding</t>
  </si>
  <si>
    <t>Column1</t>
  </si>
  <si>
    <t>Column2</t>
  </si>
  <si>
    <t>Column3</t>
  </si>
  <si>
    <t>Column4</t>
  </si>
  <si>
    <t>Column5</t>
  </si>
  <si>
    <t>Contextbegeleiding midden (CM) (=breedsporig) (ter ondersteuning van crisisopvang)</t>
  </si>
  <si>
    <t>Residentiële opvang (kort + lang)</t>
  </si>
  <si>
    <t>Bijzondere Jeugdbijstand - Centrum voor kinderzorg en gezinsondersteuning</t>
  </si>
  <si>
    <t>Bijzondere Jeugdbijstand - Vertrouwenscentra voor Kindermishandeling</t>
  </si>
  <si>
    <t>Residentiële opvang met subsidie van Opgroeien</t>
  </si>
  <si>
    <t>Wijziging belofte: Aantal begeleidingen/gezinnen/ plaatsen</t>
  </si>
  <si>
    <t>Bijzondere Jeugdbijstand - Centrum voor Kinderzorg en Gezinsondersteuning</t>
  </si>
  <si>
    <t>Totaal BTW en AO</t>
  </si>
  <si>
    <t>Ondersteunende begeleiding (O) - GES</t>
  </si>
  <si>
    <t>Verblijf - GES</t>
  </si>
  <si>
    <t>Contextbegeleiding kortdurend intensief (CH) - GES</t>
  </si>
  <si>
    <t>Verblijf - veilig verblijf</t>
  </si>
  <si>
    <t>Ondersteunende begeleiding (O) - veilig verblijf</t>
  </si>
  <si>
    <t>Contextbegeleiding kortdurend intensief (CH) - veilig verblijf</t>
  </si>
  <si>
    <t>2025</t>
  </si>
  <si>
    <t>38,569</t>
  </si>
  <si>
    <t>142,33</t>
  </si>
  <si>
    <t>12386</t>
  </si>
  <si>
    <t>2,34177</t>
  </si>
  <si>
    <t>CIG</t>
  </si>
  <si>
    <t>Verblijf - CIG (= begeleidingscapaciteit)</t>
  </si>
  <si>
    <t>Contextbegeleiding - CIG</t>
  </si>
  <si>
    <t>EVA 2 ingediend</t>
  </si>
  <si>
    <t>diverse kosten (meerwerken, prijsherzieningen, nutsaansluitingen)</t>
  </si>
  <si>
    <t>Totale bruto kostprijs project na gunning</t>
  </si>
  <si>
    <t>Stijging/daling t.o.v. initiële raming</t>
  </si>
  <si>
    <t xml:space="preserve"> EVA 3 ingediend</t>
  </si>
  <si>
    <t>Totale bruto kostprijs project na eindafrekening</t>
  </si>
  <si>
    <t>BTA5E</t>
  </si>
  <si>
    <t>Nieuw totaal belofte volgens advies wijziging belofte</t>
  </si>
  <si>
    <t>Nieuw berekend bouwplafond volgens advies wijziging belofte</t>
  </si>
  <si>
    <t>BTA5F</t>
  </si>
  <si>
    <t>Abex</t>
  </si>
  <si>
    <t>Residentiële opvang</t>
  </si>
  <si>
    <t>MAXSUPOPP</t>
  </si>
  <si>
    <t>Maximaal subsidiabele oppervlakte</t>
  </si>
  <si>
    <r>
      <t xml:space="preserve">Geef de naam, gesubsidieerde oppervlakte en het jaar van ingebruikname van de </t>
    </r>
    <r>
      <rPr>
        <b/>
        <u/>
        <sz val="11"/>
        <color theme="1"/>
        <rFont val="Garamond"/>
        <family val="1"/>
      </rPr>
      <t>reeds in het verleden</t>
    </r>
    <r>
      <rPr>
        <b/>
        <sz val="11"/>
        <color theme="1"/>
        <rFont val="Garamond"/>
        <family val="1"/>
      </rPr>
      <t xml:space="preserve"> door VIPA gesubsidieerde projecten voor uw voorziening. Indien de gesubsidieerde oppervlakte niet gekend is, zet deze op 0 m².</t>
    </r>
  </si>
  <si>
    <t>Lokaal dienstencentra</t>
  </si>
  <si>
    <t>Aantal erkende LDC's</t>
  </si>
  <si>
    <t>LDC</t>
  </si>
  <si>
    <t>Centra voor dagverzorging</t>
  </si>
  <si>
    <t>Aantal erkende DVC's</t>
  </si>
  <si>
    <t>subsidiabele oppervlakte</t>
  </si>
  <si>
    <t>Centra voor dagopvang</t>
  </si>
  <si>
    <t>Centra voor kortverblijf type 2</t>
  </si>
  <si>
    <t>centra voor dagverzorging</t>
  </si>
  <si>
    <t>Centra voor kortverblijf type 3</t>
  </si>
  <si>
    <t>CDO</t>
  </si>
  <si>
    <t>CDV</t>
  </si>
  <si>
    <t>m²/centra</t>
  </si>
  <si>
    <t>m²/woongelegenheid</t>
  </si>
  <si>
    <t>woongelegenheid</t>
  </si>
  <si>
    <t>Aantal plaatsen - VTE - Centra</t>
  </si>
  <si>
    <t>bijhorende tabbladden openen en invullen.</t>
  </si>
  <si>
    <t>TOTAAL PF1-3*</t>
  </si>
  <si>
    <t>* Voor de sector ‘personen met een handicap – meerderjarigen’ geldt de verplichting om een kunstwerk te voorzien niet gezien het Kunstendecreet niet van toepassing is op het infrastructuurforfait. Daardoor worden de ramingen van projecten in deze sector niet meegerekend voor het kunstbudget.</t>
  </si>
  <si>
    <r>
      <t xml:space="preserve">*Bruto oppervlakte van het project voor de bijhorende zorgvorm en kostensoort </t>
    </r>
    <r>
      <rPr>
        <i/>
        <u/>
        <sz val="11"/>
        <color theme="0" tint="-0.34998626667073579"/>
        <rFont val="Calibri"/>
        <family val="2"/>
        <scheme val="minor"/>
      </rPr>
      <t>zonder ondergrondse parking</t>
    </r>
  </si>
  <si>
    <t>Sportinfrastructuur (onroerend, dat buiten de gesubsidieerde oppervlakte valt)</t>
  </si>
  <si>
    <t>In dit tabblad dient u de raming voor de kostensoort 'uitbreiding' in te vullen.</t>
  </si>
  <si>
    <t>In dit tabblad dient u de raming voor de kostensoort 'verbouwing' in te vullen.</t>
  </si>
  <si>
    <t xml:space="preserve">In dit tabblad dient u de raming voor de kostensoort 'ingrijpend energetische verbouwing' in te vullen. </t>
  </si>
  <si>
    <t>In dit tabblad dient u de raming voor de kostensoort 'voltooiingswerken' in te vullen.</t>
  </si>
  <si>
    <t xml:space="preserve">In dit tabblad dient u de raming voor de kostensoort 'aankoop met verbouwing' in te vullen. </t>
  </si>
  <si>
    <t xml:space="preserve">In dit tabblad dient u de raming voor de kostensoort 'nieuwbouw' en 'aankoop zonder verbouwing' in te vullen. </t>
  </si>
  <si>
    <r>
      <t xml:space="preserve">Enkel de </t>
    </r>
    <r>
      <rPr>
        <b/>
        <i/>
        <u/>
        <sz val="12"/>
        <color rgb="FF00B0F0"/>
        <rFont val="Calibri"/>
        <family val="2"/>
        <scheme val="minor"/>
      </rPr>
      <t>blauwe velden</t>
    </r>
    <r>
      <rPr>
        <i/>
        <sz val="12"/>
        <color theme="1"/>
        <rFont val="Calibri"/>
        <family val="2"/>
        <scheme val="minor"/>
      </rPr>
      <t xml:space="preserve"> dienen ingevuld te worden, alle andere velden worden berekend of ingevuld door VIPA.</t>
    </r>
  </si>
  <si>
    <r>
      <t xml:space="preserve">De tabbladen </t>
    </r>
    <r>
      <rPr>
        <b/>
        <i/>
        <sz val="12"/>
        <color theme="1"/>
        <rFont val="Calibri"/>
        <family val="2"/>
        <scheme val="minor"/>
      </rPr>
      <t xml:space="preserve">Overzicht project, Oppervlakte en Bouwkost "kostensoort" </t>
    </r>
    <r>
      <rPr>
        <i/>
        <sz val="12"/>
        <color theme="1"/>
        <rFont val="Calibri"/>
        <family val="2"/>
        <scheme val="minor"/>
      </rPr>
      <t>dienen ingevuld te zijn wanneer u uw dossier indient bij VIPA. De raming van het project dient opgesplitst te worden per kostensoort. Wanneer u de kostensoort onder punt D invult zullen de bijhorende tabbladden voor de bouwkost verschijnen.</t>
    </r>
  </si>
  <si>
    <t>Netto opp. (oppervlakte zonder muren)</t>
  </si>
  <si>
    <t xml:space="preserve">Bruto opp. </t>
  </si>
  <si>
    <t>Kinderopvang - Kinderopvang</t>
  </si>
  <si>
    <t>EVIPA_2026_V5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</si>
</sst>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7" formatCode="&quot;€&quot;\ #,##0.00;&quot;€&quot;\ \-#,##0.00"/>
    <numFmt numFmtId="42" formatCode="_ &quot;€&quot;\ * #,##0_ ;_ &quot;€&quot;\ * \-#,##0_ ;_ &quot;€&quot;\ * &quot;-&quot;_ ;_ @_ "/>
    <numFmt numFmtId="44" formatCode="_ &quot;€&quot;\ * #,##0.00_ ;_ &quot;€&quot;\ * \-#,##0.00_ ;_ &quot;€&quot;\ * &quot;-&quot;??_ ;_ @_ "/>
    <numFmt numFmtId="43" formatCode="_ * #,##0.00_ ;_ * \-#,##0.00_ ;_ * &quot;-&quot;??_ ;_ @_ "/>
    <numFmt numFmtId="164" formatCode="&quot;€&quot;\ #,##0.00;\-&quot;€&quot;\ #,##0.00"/>
    <numFmt numFmtId="165" formatCode="_-&quot;€&quot;\ * #,##0.00_-;\-&quot;€&quot;\ * #,##0.00_-;_-&quot;€&quot;\ * &quot;-&quot;??_-;_-@_-"/>
    <numFmt numFmtId="166" formatCode="&quot;€&quot;\ #,##0.00"/>
    <numFmt numFmtId="167" formatCode="#,##0.00\ &quot;EUR&quot;"/>
    <numFmt numFmtId="168" formatCode="&quot;€&quot;\ #,##0"/>
    <numFmt numFmtId="169" formatCode="#,##0&quot; m²&quot;"/>
    <numFmt numFmtId="170" formatCode="0.00\ &quot; m²&quot;"/>
    <numFmt numFmtId="171" formatCode="0&quot; m²&quot;"/>
    <numFmt numFmtId="172" formatCode="0.00&quot; m²&quot;"/>
    <numFmt numFmtId="173" formatCode="0&quot; %&quot;"/>
    <numFmt numFmtId="174" formatCode="0.0000"/>
    <numFmt numFmtId="175" formatCode="#,##0.00&quot; m²&quot;"/>
    <numFmt numFmtId="176" formatCode="0.00&quot; aantal plaatsen/VTE&quot;"/>
    <numFmt numFmtId="177" formatCode="0.0"/>
    <numFmt numFmtId="178" formatCode="&quot;€&quot;\ #,##0.00000"/>
    <numFmt numFmtId="179" formatCode="0.00000"/>
    <numFmt numFmtId="180" formatCode="0&quot; personen/kamer of studio&quot;"/>
    <numFmt numFmtId="181" formatCode="0&quot; kamers/studio's&quot;"/>
    <numFmt numFmtId="182" formatCode="0.00&quot; aantal VTE&quot;"/>
    <numFmt numFmtId="183" formatCode="0.00&quot; aantal plaatsen&quot;"/>
    <numFmt numFmtId="184" formatCode="_ [$€-813]\ * #,##0.00_ ;_ [$€-813]\ * \-#,##0.00_ ;_ [$€-813]\ * &quot;-&quot;??_ ;_ @_ "/>
  </numFmts>
  <fonts count="104" x14ac:knownFonts="1">
    <font>
      <sz val="11"/>
      <color theme="1"/>
      <name val="Calibri"/>
      <family val="2"/>
      <scheme val="minor"/>
    </font>
    <font>
      <sz val="10"/>
      <color theme="1"/>
      <name val="Calibri"/>
      <family val="2"/>
      <scheme val="minor"/>
    </font>
    <font>
      <b/>
      <sz val="10"/>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sz val="12"/>
      <name val="Arial"/>
      <family val="2"/>
    </font>
    <font>
      <sz val="10"/>
      <name val="Arial"/>
      <family val="2"/>
    </font>
    <font>
      <sz val="11"/>
      <color theme="3"/>
      <name val="Calibri"/>
      <family val="2"/>
      <scheme val="minor"/>
    </font>
    <font>
      <sz val="10"/>
      <name val="Courier"/>
      <family val="3"/>
    </font>
    <font>
      <i/>
      <sz val="10"/>
      <color theme="1"/>
      <name val="Calibri"/>
      <family val="2"/>
      <scheme val="minor"/>
    </font>
    <font>
      <i/>
      <sz val="10"/>
      <color rgb="FFFF0000"/>
      <name val="Calibri"/>
      <family val="2"/>
      <scheme val="minor"/>
    </font>
    <font>
      <i/>
      <sz val="10"/>
      <color theme="8" tint="-0.249977111117893"/>
      <name val="Calibri"/>
      <family val="2"/>
      <scheme val="minor"/>
    </font>
    <font>
      <sz val="11"/>
      <color theme="1"/>
      <name val="Calibri"/>
      <family val="2"/>
      <scheme val="minor"/>
    </font>
    <font>
      <sz val="10"/>
      <color theme="1"/>
      <name val="Arial"/>
      <family val="2"/>
    </font>
    <font>
      <i/>
      <sz val="10"/>
      <color theme="8" tint="-0.249977111117893"/>
      <name val="Arial"/>
      <family val="2"/>
    </font>
    <font>
      <sz val="10"/>
      <color theme="6" tint="-0.249977111117893"/>
      <name val="Calibri"/>
      <family val="2"/>
      <scheme val="minor"/>
    </font>
    <font>
      <sz val="10"/>
      <color theme="9" tint="-0.249977111117893"/>
      <name val="Calibri"/>
      <family val="2"/>
      <scheme val="minor"/>
    </font>
    <font>
      <sz val="10"/>
      <color theme="8" tint="-0.249977111117893"/>
      <name val="Calibri"/>
      <family val="2"/>
      <scheme val="minor"/>
    </font>
    <font>
      <sz val="10"/>
      <color rgb="FF00B0F0"/>
      <name val="Calibri"/>
      <family val="2"/>
      <scheme val="minor"/>
    </font>
    <font>
      <sz val="10"/>
      <name val="Calibri"/>
      <family val="2"/>
      <scheme val="minor"/>
    </font>
    <font>
      <b/>
      <sz val="10"/>
      <name val="Calibri"/>
      <family val="2"/>
      <scheme val="minor"/>
    </font>
    <font>
      <sz val="10"/>
      <color rgb="FFFF0000"/>
      <name val="Arial"/>
      <family val="2"/>
    </font>
    <font>
      <b/>
      <sz val="10"/>
      <color theme="9" tint="-0.249977111117893"/>
      <name val="Calibri"/>
      <family val="2"/>
      <scheme val="minor"/>
    </font>
    <font>
      <sz val="10"/>
      <color rgb="FFFF0000"/>
      <name val="Calibri"/>
      <family val="2"/>
      <scheme val="minor"/>
    </font>
    <font>
      <b/>
      <i/>
      <sz val="10"/>
      <color theme="1"/>
      <name val="Calibri"/>
      <family val="2"/>
      <scheme val="minor"/>
    </font>
    <font>
      <i/>
      <sz val="10"/>
      <color theme="1"/>
      <name val="Arial"/>
      <family val="2"/>
    </font>
    <font>
      <sz val="10"/>
      <color indexed="8"/>
      <name val="Arial"/>
      <family val="2"/>
    </font>
    <font>
      <sz val="11"/>
      <color indexed="8"/>
      <name val="Calibri"/>
      <family val="2"/>
    </font>
    <font>
      <i/>
      <sz val="11"/>
      <color indexed="8"/>
      <name val="Calibri"/>
      <family val="2"/>
    </font>
    <font>
      <b/>
      <sz val="10"/>
      <color rgb="FF333333"/>
      <name val="Calibri"/>
      <family val="2"/>
      <scheme val="minor"/>
    </font>
    <font>
      <sz val="10"/>
      <color rgb="FF333333"/>
      <name val="Calibri"/>
      <family val="2"/>
      <scheme val="minor"/>
    </font>
    <font>
      <i/>
      <sz val="10"/>
      <color rgb="FF333333"/>
      <name val="Calibri"/>
      <family val="2"/>
      <scheme val="minor"/>
    </font>
    <font>
      <b/>
      <sz val="11"/>
      <name val="Calibri"/>
      <family val="2"/>
      <scheme val="minor"/>
    </font>
    <font>
      <sz val="10"/>
      <color rgb="FF333333"/>
      <name val="Arial"/>
      <family val="2"/>
    </font>
    <font>
      <b/>
      <sz val="10"/>
      <color rgb="FF333333"/>
      <name val="Arial"/>
      <family val="2"/>
    </font>
    <font>
      <u/>
      <sz val="11"/>
      <color theme="10"/>
      <name val="Calibri"/>
      <family val="2"/>
      <scheme val="minor"/>
    </font>
    <font>
      <sz val="10"/>
      <color theme="9"/>
      <name val="Calibri"/>
      <family val="2"/>
      <scheme val="minor"/>
    </font>
    <font>
      <sz val="8"/>
      <color rgb="FF000000"/>
      <name val="Arial"/>
      <family val="2"/>
    </font>
    <font>
      <sz val="10"/>
      <color theme="1" tint="0.499984740745262"/>
      <name val="Calibri"/>
      <family val="2"/>
      <scheme val="minor"/>
    </font>
    <font>
      <b/>
      <sz val="10"/>
      <color theme="1" tint="0.499984740745262"/>
      <name val="Calibri"/>
      <family val="2"/>
      <scheme val="minor"/>
    </font>
    <font>
      <sz val="10"/>
      <color rgb="FF0070C0"/>
      <name val="Calibri"/>
      <family val="2"/>
      <scheme val="minor"/>
    </font>
    <font>
      <b/>
      <sz val="11"/>
      <color theme="0"/>
      <name val="Calibri"/>
      <family val="2"/>
      <scheme val="minor"/>
    </font>
    <font>
      <b/>
      <u/>
      <sz val="11"/>
      <color theme="1"/>
      <name val="Calibri"/>
      <family val="2"/>
      <scheme val="minor"/>
    </font>
    <font>
      <sz val="11"/>
      <color rgb="FF00B0F0"/>
      <name val="Calibri"/>
      <family val="2"/>
      <scheme val="minor"/>
    </font>
    <font>
      <i/>
      <sz val="11"/>
      <color rgb="FF00B0F0"/>
      <name val="Calibri"/>
      <family val="2"/>
      <scheme val="minor"/>
    </font>
    <font>
      <i/>
      <sz val="11"/>
      <color rgb="FF00B0F0"/>
      <name val="Calibri"/>
      <family val="2"/>
    </font>
    <font>
      <b/>
      <sz val="11"/>
      <color theme="0"/>
      <name val="Calibri"/>
      <family val="2"/>
    </font>
    <font>
      <b/>
      <u/>
      <sz val="10"/>
      <name val="Calibri"/>
      <family val="2"/>
      <scheme val="minor"/>
    </font>
    <font>
      <sz val="8"/>
      <name val="Calibri"/>
      <family val="2"/>
      <scheme val="minor"/>
    </font>
    <font>
      <b/>
      <i/>
      <sz val="11"/>
      <color theme="0"/>
      <name val="Calibri"/>
      <family val="2"/>
      <scheme val="minor"/>
    </font>
    <font>
      <b/>
      <sz val="18"/>
      <color theme="1"/>
      <name val="Garamond"/>
      <family val="1"/>
    </font>
    <font>
      <b/>
      <sz val="12"/>
      <color theme="1"/>
      <name val="Garamond"/>
      <family val="1"/>
    </font>
    <font>
      <sz val="11"/>
      <color theme="1"/>
      <name val="Garamond"/>
      <family val="1"/>
    </font>
    <font>
      <b/>
      <i/>
      <sz val="9"/>
      <color theme="1"/>
      <name val="Garamond"/>
      <family val="1"/>
    </font>
    <font>
      <i/>
      <sz val="9"/>
      <color theme="1"/>
      <name val="Garamond"/>
      <family val="1"/>
    </font>
    <font>
      <b/>
      <sz val="11"/>
      <color rgb="FFFFFFFF"/>
      <name val="Garamond"/>
      <family val="1"/>
    </font>
    <font>
      <b/>
      <sz val="11"/>
      <color theme="1"/>
      <name val="Garamond"/>
      <family val="1"/>
    </font>
    <font>
      <i/>
      <sz val="11"/>
      <color theme="0" tint="-0.34998626667073579"/>
      <name val="Calibri"/>
      <family val="2"/>
      <scheme val="minor"/>
    </font>
    <font>
      <i/>
      <sz val="11"/>
      <name val="Calibri"/>
      <family val="2"/>
      <scheme val="minor"/>
    </font>
    <font>
      <sz val="11"/>
      <name val="Calibri"/>
      <family val="2"/>
      <scheme val="minor"/>
    </font>
    <font>
      <i/>
      <sz val="9"/>
      <color theme="0" tint="-0.34998626667073579"/>
      <name val="Calibri"/>
      <family val="2"/>
      <scheme val="minor"/>
    </font>
    <font>
      <b/>
      <sz val="14"/>
      <color theme="0"/>
      <name val="Calibri"/>
      <family val="2"/>
      <scheme val="minor"/>
    </font>
    <font>
      <b/>
      <sz val="12"/>
      <color theme="0"/>
      <name val="Calibri"/>
      <family val="2"/>
      <scheme val="minor"/>
    </font>
    <font>
      <b/>
      <i/>
      <sz val="11"/>
      <name val="Calibri"/>
      <family val="2"/>
      <scheme val="minor"/>
    </font>
    <font>
      <i/>
      <sz val="10"/>
      <name val="Calibri"/>
      <family val="2"/>
      <scheme val="minor"/>
    </font>
    <font>
      <b/>
      <sz val="10"/>
      <color theme="8" tint="-0.249977111117893"/>
      <name val="Calibri"/>
      <family val="2"/>
      <scheme val="minor"/>
    </font>
    <font>
      <sz val="11"/>
      <color theme="0"/>
      <name val="Calibri"/>
      <family val="2"/>
      <scheme val="minor"/>
    </font>
    <font>
      <b/>
      <sz val="12"/>
      <color theme="1"/>
      <name val="Calibri"/>
      <family val="2"/>
      <scheme val="minor"/>
    </font>
    <font>
      <b/>
      <i/>
      <sz val="11"/>
      <color indexed="8"/>
      <name val="Calibri"/>
      <family val="2"/>
    </font>
    <font>
      <i/>
      <sz val="11"/>
      <name val="Calibri"/>
      <family val="2"/>
    </font>
    <font>
      <sz val="11"/>
      <color rgb="FF00B0F0"/>
      <name val="Calibri"/>
      <family val="2"/>
    </font>
    <font>
      <sz val="11"/>
      <name val="Calibri"/>
      <family val="2"/>
    </font>
    <font>
      <i/>
      <sz val="11"/>
      <color theme="0" tint="-0.249977111117893"/>
      <name val="Calibri"/>
      <family val="2"/>
      <scheme val="minor"/>
    </font>
    <font>
      <sz val="10"/>
      <color theme="0" tint="-0.249977111117893"/>
      <name val="Calibri"/>
      <family val="2"/>
      <scheme val="minor"/>
    </font>
    <font>
      <sz val="11"/>
      <color theme="5" tint="0.39997558519241921"/>
      <name val="Calibri"/>
      <family val="2"/>
      <scheme val="minor"/>
    </font>
    <font>
      <sz val="11"/>
      <color rgb="FF7030A0"/>
      <name val="Calibri"/>
      <family val="2"/>
      <scheme val="minor"/>
    </font>
    <font>
      <b/>
      <sz val="14"/>
      <color theme="1"/>
      <name val="Calibri"/>
      <family val="2"/>
      <scheme val="minor"/>
    </font>
    <font>
      <sz val="14"/>
      <name val="Calibri"/>
      <family val="2"/>
      <scheme val="minor"/>
    </font>
    <font>
      <sz val="14"/>
      <color rgb="FF00B0F0"/>
      <name val="Calibri"/>
      <family val="2"/>
      <scheme val="minor"/>
    </font>
    <font>
      <sz val="14"/>
      <color theme="1"/>
      <name val="Calibri"/>
      <family val="2"/>
      <scheme val="minor"/>
    </font>
    <font>
      <i/>
      <sz val="12"/>
      <color theme="1"/>
      <name val="Calibri"/>
      <family val="2"/>
      <scheme val="minor"/>
    </font>
    <font>
      <b/>
      <i/>
      <sz val="11"/>
      <color theme="1"/>
      <name val="Garamond"/>
      <family val="1"/>
    </font>
    <font>
      <b/>
      <u/>
      <sz val="11"/>
      <color theme="1"/>
      <name val="Garamond"/>
      <family val="1"/>
    </font>
    <font>
      <b/>
      <i/>
      <sz val="12"/>
      <color theme="1"/>
      <name val="Calibri"/>
      <family val="2"/>
      <scheme val="minor"/>
    </font>
    <font>
      <sz val="14"/>
      <color theme="0"/>
      <name val="Calibri"/>
      <family val="2"/>
      <scheme val="minor"/>
    </font>
    <font>
      <b/>
      <i/>
      <u/>
      <sz val="12"/>
      <color theme="1"/>
      <name val="Calibri"/>
      <family val="2"/>
      <scheme val="minor"/>
    </font>
    <font>
      <b/>
      <i/>
      <sz val="12"/>
      <color theme="0"/>
      <name val="Calibri"/>
      <family val="2"/>
      <scheme val="minor"/>
    </font>
    <font>
      <i/>
      <sz val="11"/>
      <color rgb="FFFF0000"/>
      <name val="Calibri"/>
      <family val="2"/>
      <scheme val="minor"/>
    </font>
    <font>
      <i/>
      <sz val="11"/>
      <color theme="8"/>
      <name val="Calibri"/>
      <family val="2"/>
      <scheme val="minor"/>
    </font>
    <font>
      <b/>
      <sz val="11"/>
      <color rgb="FF00B0F0"/>
      <name val="Garamond"/>
      <family val="1"/>
    </font>
    <font>
      <i/>
      <sz val="9"/>
      <color rgb="FFFCD5B4"/>
      <name val="Calibri"/>
      <family val="2"/>
      <scheme val="minor"/>
    </font>
    <font>
      <i/>
      <u/>
      <sz val="11"/>
      <color theme="0" tint="-0.34998626667073579"/>
      <name val="Calibri"/>
      <family val="2"/>
      <scheme val="minor"/>
    </font>
    <font>
      <sz val="11"/>
      <color rgb="FF000000"/>
      <name val="Calibri"/>
      <family val="2"/>
    </font>
    <font>
      <sz val="8"/>
      <color rgb="FF000000"/>
      <name val="Segoe UI"/>
      <family val="2"/>
    </font>
    <font>
      <b/>
      <i/>
      <u/>
      <sz val="14"/>
      <color rgb="FFFF0000"/>
      <name val="Calibri"/>
      <family val="2"/>
    </font>
    <font>
      <sz val="10"/>
      <color rgb="FF92D050"/>
      <name val="Calibri"/>
      <family val="2"/>
      <scheme val="minor"/>
    </font>
    <font>
      <sz val="12"/>
      <color theme="1"/>
      <name val="Calibri"/>
      <family val="2"/>
      <scheme val="minor"/>
    </font>
    <font>
      <i/>
      <sz val="9"/>
      <color theme="1"/>
      <name val="Calibri"/>
      <family val="2"/>
      <scheme val="minor"/>
    </font>
    <font>
      <b/>
      <sz val="11"/>
      <color rgb="FF000000"/>
      <name val="Calibri"/>
      <family val="2"/>
    </font>
    <font>
      <sz val="11"/>
      <color theme="1"/>
      <name val="Aptos"/>
      <family val="2"/>
    </font>
    <font>
      <sz val="11"/>
      <color rgb="FF000000"/>
      <name val="Calibri"/>
      <family val="2"/>
      <scheme val="minor"/>
    </font>
    <font>
      <b/>
      <sz val="11"/>
      <color rgb="FFFF0000"/>
      <name val="Calibri"/>
      <family val="2"/>
      <scheme val="minor"/>
    </font>
    <font>
      <b/>
      <i/>
      <u/>
      <sz val="12"/>
      <color rgb="FF00B0F0"/>
      <name val="Calibri"/>
      <family val="2"/>
      <scheme val="minor"/>
    </font>
  </fonts>
  <fills count="23">
    <fill>
      <patternFill patternType="none"/>
    </fill>
    <fill>
      <patternFill patternType="gray125"/>
    </fill>
    <fill>
      <patternFill patternType="solid">
        <fgColor theme="6"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mediumGray">
        <fgColor rgb="FF000000"/>
        <bgColor theme="0" tint="-0.34998626667073579"/>
      </patternFill>
    </fill>
    <fill>
      <patternFill patternType="solid">
        <fgColor rgb="FFCCE5FF"/>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FCD5B4"/>
        <bgColor indexed="64"/>
      </patternFill>
    </fill>
    <fill>
      <patternFill patternType="solid">
        <fgColor theme="4"/>
        <bgColor theme="4"/>
      </patternFill>
    </fill>
    <fill>
      <patternFill patternType="solid">
        <fgColor theme="4" tint="0.79998168889431442"/>
        <bgColor theme="4" tint="0.79998168889431442"/>
      </patternFill>
    </fill>
  </fills>
  <borders count="150">
    <border>
      <left/>
      <right/>
      <top/>
      <bottom/>
      <diagonal/>
    </border>
    <border>
      <left style="medium">
        <color rgb="FFBFBFBF"/>
      </left>
      <right/>
      <top style="medium">
        <color rgb="FFBFBFBF"/>
      </top>
      <bottom style="medium">
        <color rgb="FFBFBFBF"/>
      </bottom>
      <diagonal/>
    </border>
    <border>
      <left/>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
      <left style="medium">
        <color rgb="FFBFBFBF"/>
      </left>
      <right/>
      <top/>
      <bottom/>
      <diagonal/>
    </border>
    <border>
      <left style="medium">
        <color rgb="FFBFBFBF"/>
      </left>
      <right style="medium">
        <color rgb="FFBFBFBF"/>
      </right>
      <top style="medium">
        <color rgb="FFBFBFBF"/>
      </top>
      <bottom style="double">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style="double">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34998626667073579"/>
      </left>
      <right/>
      <top style="thin">
        <color theme="0" tint="-0.34998626667073579"/>
      </top>
      <bottom style="thin">
        <color theme="0" tint="-0.499984740745262"/>
      </bottom>
      <diagonal/>
    </border>
    <border>
      <left/>
      <right style="thin">
        <color theme="0" tint="-0.34998626667073579"/>
      </right>
      <top style="thin">
        <color theme="0" tint="-0.34998626667073579"/>
      </top>
      <bottom style="thin">
        <color theme="0" tint="-0.499984740745262"/>
      </bottom>
      <diagonal/>
    </border>
    <border>
      <left style="thin">
        <color theme="0" tint="-0.34998626667073579"/>
      </left>
      <right style="thin">
        <color theme="0" tint="-0.34998626667073579"/>
      </right>
      <top/>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style="thin">
        <color theme="0" tint="-0.34998626667073579"/>
      </bottom>
      <diagonal/>
    </border>
    <border>
      <left style="thin">
        <color theme="0" tint="-0.34998626667073579"/>
      </left>
      <right style="thin">
        <color theme="0" tint="-0.34998626667073579"/>
      </right>
      <top style="thin">
        <color theme="0" tint="-0.499984740745262"/>
      </top>
      <bottom style="thin">
        <color indexed="64"/>
      </bottom>
      <diagonal/>
    </border>
    <border>
      <left style="thin">
        <color theme="0" tint="-0.499984740745262"/>
      </left>
      <right style="thin">
        <color theme="0" tint="-0.499984740745262"/>
      </right>
      <top style="thin">
        <color theme="0" tint="-0.499984740745262"/>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right/>
      <top style="thin">
        <color indexed="64"/>
      </top>
      <bottom/>
      <diagonal/>
    </border>
    <border>
      <left style="thin">
        <color theme="0" tint="-0.499984740745262"/>
      </left>
      <right style="thin">
        <color theme="0" tint="-0.499984740745262"/>
      </right>
      <top style="thin">
        <color indexed="64"/>
      </top>
      <bottom style="thin">
        <color theme="0" tint="-0.499984740745262"/>
      </bottom>
      <diagonal/>
    </border>
    <border>
      <left style="thin">
        <color theme="0" tint="-0.499984740745262"/>
      </left>
      <right style="thin">
        <color indexed="64"/>
      </right>
      <top style="thin">
        <color indexed="64"/>
      </top>
      <bottom style="thin">
        <color theme="0" tint="-0.499984740745262"/>
      </bottom>
      <diagonal/>
    </border>
    <border>
      <left style="thin">
        <color indexed="64"/>
      </left>
      <right style="thin">
        <color indexed="64"/>
      </right>
      <top/>
      <bottom/>
      <diagonal/>
    </border>
    <border>
      <left style="thin">
        <color theme="0" tint="-0.34998626667073579"/>
      </left>
      <right style="thin">
        <color theme="0" tint="-0.34998626667073579"/>
      </right>
      <top/>
      <bottom style="thin">
        <color indexed="64"/>
      </bottom>
      <diagonal/>
    </border>
    <border>
      <left style="thin">
        <color theme="0" tint="-0.34998626667073579"/>
      </left>
      <right/>
      <top style="thin">
        <color theme="0" tint="-0.34998626667073579"/>
      </top>
      <bottom style="thin">
        <color indexed="64"/>
      </bottom>
      <diagonal/>
    </border>
    <border>
      <left style="thin">
        <color theme="0" tint="-0.499984740745262"/>
      </left>
      <right style="thin">
        <color theme="0" tint="-0.34998626667073579"/>
      </right>
      <top style="thin">
        <color indexed="64"/>
      </top>
      <bottom style="double">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double">
        <color indexed="64"/>
      </bottom>
      <diagonal/>
    </border>
    <border>
      <left style="thin">
        <color indexed="64"/>
      </left>
      <right/>
      <top/>
      <bottom style="thin">
        <color theme="0" tint="-0.499984740745262"/>
      </bottom>
      <diagonal/>
    </border>
    <border>
      <left/>
      <right/>
      <top/>
      <bottom style="thin">
        <color theme="0" tint="-0.499984740745262"/>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double">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rgb="FFBFBFBF"/>
      </right>
      <top/>
      <bottom/>
      <diagonal/>
    </border>
    <border>
      <left style="thin">
        <color indexed="64"/>
      </left>
      <right/>
      <top/>
      <bottom/>
      <diagonal/>
    </border>
    <border>
      <left/>
      <right/>
      <top/>
      <bottom style="medium">
        <color rgb="FFBFBFBF"/>
      </bottom>
      <diagonal/>
    </border>
    <border>
      <left/>
      <right/>
      <top/>
      <bottom style="thin">
        <color theme="0" tint="-0.34998626667073579"/>
      </bottom>
      <diagonal/>
    </border>
    <border>
      <left/>
      <right style="thin">
        <color theme="0" tint="-0.499984740745262"/>
      </right>
      <top style="thin">
        <color theme="0" tint="-0.499984740745262"/>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bottom/>
      <diagonal/>
    </border>
    <border>
      <left style="medium">
        <color indexed="64"/>
      </left>
      <right style="medium">
        <color indexed="64"/>
      </right>
      <top style="medium">
        <color indexed="64"/>
      </top>
      <bottom style="medium">
        <color indexed="64"/>
      </bottom>
      <diagonal/>
    </border>
    <border>
      <left style="hair">
        <color theme="1" tint="0.499984740745262"/>
      </left>
      <right style="hair">
        <color theme="1" tint="0.499984740745262"/>
      </right>
      <top style="hair">
        <color theme="1" tint="0.499984740745262"/>
      </top>
      <bottom style="hair">
        <color theme="1" tint="0.499984740745262"/>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thin">
        <color rgb="FF00B0F0"/>
      </left>
      <right/>
      <top style="thin">
        <color rgb="FF00B0F0"/>
      </top>
      <bottom style="thin">
        <color rgb="FF00B0F0"/>
      </bottom>
      <diagonal/>
    </border>
    <border>
      <left/>
      <right/>
      <top style="thin">
        <color rgb="FF00B0F0"/>
      </top>
      <bottom style="thin">
        <color rgb="FF00B0F0"/>
      </bottom>
      <diagonal/>
    </border>
    <border>
      <left/>
      <right style="thin">
        <color rgb="FF00B0F0"/>
      </right>
      <top style="thin">
        <color rgb="FF00B0F0"/>
      </top>
      <bottom style="thin">
        <color rgb="FF00B0F0"/>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rgb="FF00B0F0"/>
      </top>
      <bottom/>
      <diagonal/>
    </border>
    <border>
      <left style="thin">
        <color theme="0" tint="-0.499984740745262"/>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style="thin">
        <color indexed="64"/>
      </top>
      <bottom style="thin">
        <color theme="0" tint="-0.34998626667073579"/>
      </bottom>
      <diagonal/>
    </border>
    <border>
      <left/>
      <right/>
      <top style="double">
        <color indexed="64"/>
      </top>
      <bottom/>
      <diagonal/>
    </border>
    <border>
      <left style="medium">
        <color indexed="64"/>
      </left>
      <right/>
      <top style="thin">
        <color indexed="64"/>
      </top>
      <bottom/>
      <diagonal/>
    </border>
    <border>
      <left style="thin">
        <color theme="0" tint="-0.499984740745262"/>
      </left>
      <right/>
      <top/>
      <bottom/>
      <diagonal/>
    </border>
    <border>
      <left style="hair">
        <color auto="1"/>
      </left>
      <right/>
      <top/>
      <bottom style="hair">
        <color auto="1"/>
      </bottom>
      <diagonal/>
    </border>
    <border>
      <left/>
      <right/>
      <top/>
      <bottom style="hair">
        <color auto="1"/>
      </bottom>
      <diagonal/>
    </border>
    <border>
      <left style="hair">
        <color auto="1"/>
      </left>
      <right/>
      <top style="hair">
        <color auto="1"/>
      </top>
      <bottom/>
      <diagonal/>
    </border>
    <border>
      <left/>
      <right/>
      <top style="hair">
        <color auto="1"/>
      </top>
      <bottom/>
      <diagonal/>
    </border>
    <border>
      <left style="hair">
        <color auto="1"/>
      </left>
      <right style="hair">
        <color auto="1"/>
      </right>
      <top style="hair">
        <color auto="1"/>
      </top>
      <bottom/>
      <diagonal/>
    </border>
    <border>
      <left style="medium">
        <color indexed="64"/>
      </left>
      <right style="medium">
        <color indexed="64"/>
      </right>
      <top style="medium">
        <color indexed="64"/>
      </top>
      <bottom style="hair">
        <color auto="1"/>
      </bottom>
      <diagonal/>
    </border>
    <border>
      <left style="medium">
        <color indexed="64"/>
      </left>
      <right style="medium">
        <color indexed="64"/>
      </right>
      <top style="hair">
        <color auto="1"/>
      </top>
      <bottom style="medium">
        <color indexed="64"/>
      </bottom>
      <diagonal/>
    </border>
    <border>
      <left style="medium">
        <color indexed="64"/>
      </left>
      <right style="medium">
        <color indexed="64"/>
      </right>
      <top style="hair">
        <color auto="1"/>
      </top>
      <bottom style="hair">
        <color auto="1"/>
      </bottom>
      <diagonal/>
    </border>
    <border>
      <left style="thin">
        <color indexed="64"/>
      </left>
      <right style="thin">
        <color indexed="64"/>
      </right>
      <top/>
      <bottom style="double">
        <color indexed="64"/>
      </bottom>
      <diagonal/>
    </border>
    <border>
      <left/>
      <right style="thin">
        <color theme="0" tint="-0.499984740745262"/>
      </right>
      <top/>
      <bottom/>
      <diagonal/>
    </border>
    <border>
      <left style="medium">
        <color rgb="FFFF0000"/>
      </left>
      <right/>
      <top style="medium">
        <color rgb="FFFF0000"/>
      </top>
      <bottom/>
      <diagonal/>
    </border>
    <border>
      <left/>
      <right/>
      <top style="medium">
        <color rgb="FFFF0000"/>
      </top>
      <bottom/>
      <diagonal/>
    </border>
    <border>
      <left/>
      <right style="thin">
        <color indexed="64"/>
      </right>
      <top style="medium">
        <color rgb="FFFF0000"/>
      </top>
      <bottom/>
      <diagonal/>
    </border>
    <border>
      <left style="thin">
        <color indexed="64"/>
      </left>
      <right style="thin">
        <color indexed="64"/>
      </right>
      <top style="medium">
        <color rgb="FFFF0000"/>
      </top>
      <bottom style="thin">
        <color indexed="64"/>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thin">
        <color indexed="64"/>
      </left>
      <right/>
      <top style="medium">
        <color rgb="FFFF0000"/>
      </top>
      <bottom style="thin">
        <color indexed="64"/>
      </bottom>
      <diagonal/>
    </border>
    <border>
      <left/>
      <right style="thin">
        <color indexed="64"/>
      </right>
      <top style="medium">
        <color indexed="64"/>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top style="thin">
        <color indexed="64"/>
      </top>
      <bottom style="double">
        <color indexed="64"/>
      </bottom>
      <diagonal/>
    </border>
    <border>
      <left style="thin">
        <color theme="0" tint="-0.34998626667073579"/>
      </left>
      <right style="thin">
        <color theme="0" tint="-0.34998626667073579"/>
      </right>
      <top style="medium">
        <color rgb="FFBFBFBF"/>
      </top>
      <bottom style="thin">
        <color theme="0" tint="-0.34998626667073579"/>
      </bottom>
      <diagonal/>
    </border>
    <border>
      <left style="medium">
        <color rgb="FFBFBFBF"/>
      </left>
      <right style="medium">
        <color rgb="FFBFBFBF"/>
      </right>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rgb="FFBFBFBF"/>
      </left>
      <right/>
      <top style="medium">
        <color rgb="FFBFBFBF"/>
      </top>
      <bottom/>
      <diagonal/>
    </border>
    <border>
      <left/>
      <right/>
      <top style="medium">
        <color rgb="FFBFBFBF"/>
      </top>
      <bottom/>
      <diagonal/>
    </border>
    <border>
      <left/>
      <right style="medium">
        <color rgb="FFBFBFBF"/>
      </right>
      <top style="medium">
        <color rgb="FFBFBFBF"/>
      </top>
      <bottom/>
      <diagonal/>
    </border>
    <border>
      <left/>
      <right/>
      <top style="thin">
        <color theme="0" tint="-0.34998626667073579"/>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bottom style="double">
        <color indexed="64"/>
      </bottom>
      <diagonal/>
    </border>
    <border>
      <left style="medium">
        <color rgb="FFBFBFBF"/>
      </left>
      <right style="medium">
        <color rgb="FFBFBFBF"/>
      </right>
      <top style="medium">
        <color rgb="FFBFBFBF"/>
      </top>
      <bottom style="medium">
        <color rgb="FFBFBFBF"/>
      </bottom>
      <diagonal/>
    </border>
  </borders>
  <cellStyleXfs count="15">
    <xf numFmtId="0" fontId="0" fillId="0" borderId="0"/>
    <xf numFmtId="0" fontId="7" fillId="0" borderId="0"/>
    <xf numFmtId="0" fontId="6" fillId="0" borderId="0"/>
    <xf numFmtId="9" fontId="7" fillId="0" borderId="0" applyFont="0" applyFill="0" applyBorder="0" applyAlignment="0" applyProtection="0"/>
    <xf numFmtId="0" fontId="7" fillId="0" borderId="0"/>
    <xf numFmtId="0" fontId="9" fillId="0" borderId="0"/>
    <xf numFmtId="0" fontId="9"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xf numFmtId="9" fontId="13" fillId="0" borderId="0" applyFont="0" applyFill="0" applyBorder="0" applyAlignment="0" applyProtection="0"/>
    <xf numFmtId="165" fontId="13" fillId="0" borderId="0" applyFont="0" applyFill="0" applyBorder="0" applyAlignment="0" applyProtection="0"/>
    <xf numFmtId="0" fontId="27" fillId="0" borderId="0"/>
    <xf numFmtId="0" fontId="36" fillId="0" borderId="0" applyNumberFormat="0" applyFill="0" applyBorder="0" applyAlignment="0" applyProtection="0"/>
  </cellStyleXfs>
  <cellXfs count="1285">
    <xf numFmtId="0" fontId="0" fillId="0" borderId="0" xfId="0"/>
    <xf numFmtId="166" fontId="2" fillId="0" borderId="5" xfId="0" applyNumberFormat="1" applyFont="1" applyBorder="1" applyAlignment="1">
      <alignment horizontal="right" vertical="center" wrapText="1"/>
    </xf>
    <xf numFmtId="9" fontId="1" fillId="0" borderId="3" xfId="0" applyNumberFormat="1" applyFont="1" applyBorder="1" applyAlignment="1">
      <alignment vertical="center" wrapText="1"/>
    </xf>
    <xf numFmtId="0" fontId="1" fillId="0" borderId="6" xfId="0" applyFont="1" applyBorder="1" applyAlignment="1">
      <alignment vertical="center" wrapText="1"/>
    </xf>
    <xf numFmtId="166" fontId="2" fillId="0" borderId="7" xfId="0" applyNumberFormat="1" applyFont="1" applyBorder="1" applyAlignment="1">
      <alignment horizontal="right"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8" xfId="0" applyFont="1" applyBorder="1" applyAlignment="1">
      <alignment vertical="center" wrapText="1"/>
    </xf>
    <xf numFmtId="9" fontId="1" fillId="0" borderId="8" xfId="0" applyNumberFormat="1" applyFont="1" applyBorder="1" applyAlignment="1">
      <alignment vertical="center" wrapText="1"/>
    </xf>
    <xf numFmtId="166" fontId="1" fillId="0" borderId="8" xfId="0" applyNumberFormat="1" applyFont="1" applyBorder="1" applyAlignment="1">
      <alignment vertical="center" wrapText="1"/>
    </xf>
    <xf numFmtId="4" fontId="0" fillId="0" borderId="0" xfId="0" applyNumberFormat="1"/>
    <xf numFmtId="4" fontId="5" fillId="0" borderId="0" xfId="0" applyNumberFormat="1" applyFont="1"/>
    <xf numFmtId="49" fontId="5" fillId="0" borderId="0" xfId="0" applyNumberFormat="1" applyFont="1" applyAlignment="1">
      <alignment horizontal="center"/>
    </xf>
    <xf numFmtId="4" fontId="4" fillId="0" borderId="10" xfId="0" applyNumberFormat="1" applyFont="1" applyBorder="1"/>
    <xf numFmtId="42" fontId="0" fillId="0" borderId="0" xfId="0" applyNumberFormat="1"/>
    <xf numFmtId="42" fontId="3" fillId="0" borderId="0" xfId="0" applyNumberFormat="1" applyFont="1"/>
    <xf numFmtId="42" fontId="8" fillId="0" borderId="9" xfId="0" applyNumberFormat="1" applyFont="1" applyBorder="1"/>
    <xf numFmtId="0" fontId="1" fillId="0" borderId="0" xfId="0" applyFont="1"/>
    <xf numFmtId="0" fontId="10" fillId="0" borderId="0" xfId="0" applyFont="1"/>
    <xf numFmtId="0" fontId="0" fillId="0" borderId="12" xfId="0" applyBorder="1"/>
    <xf numFmtId="0" fontId="1" fillId="0" borderId="9" xfId="0" applyFont="1" applyBorder="1"/>
    <xf numFmtId="0" fontId="1" fillId="0" borderId="12" xfId="0" applyFont="1" applyBorder="1"/>
    <xf numFmtId="0" fontId="1" fillId="0" borderId="0" xfId="0" applyFont="1" applyAlignment="1">
      <alignment vertical="center" wrapText="1"/>
    </xf>
    <xf numFmtId="166" fontId="2" fillId="0" borderId="8" xfId="0" applyNumberFormat="1" applyFont="1" applyBorder="1" applyAlignment="1">
      <alignment horizontal="right" vertical="center" wrapText="1"/>
    </xf>
    <xf numFmtId="0" fontId="1" fillId="0" borderId="0" xfId="0" applyFont="1" applyAlignment="1">
      <alignment horizontal="right" vertical="center" wrapText="1"/>
    </xf>
    <xf numFmtId="9" fontId="1" fillId="0" borderId="16" xfId="0" applyNumberFormat="1" applyFont="1" applyBorder="1" applyAlignment="1">
      <alignment vertical="center" wrapText="1"/>
    </xf>
    <xf numFmtId="166" fontId="2" fillId="0" borderId="17" xfId="0" applyNumberFormat="1" applyFont="1" applyBorder="1" applyAlignment="1">
      <alignment horizontal="right" vertical="center"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1" fillId="0" borderId="15" xfId="0" applyFont="1" applyBorder="1" applyAlignment="1">
      <alignment vertical="center" wrapText="1"/>
    </xf>
    <xf numFmtId="0" fontId="1" fillId="0" borderId="18" xfId="0" applyFont="1" applyBorder="1" applyAlignment="1">
      <alignment vertical="center" wrapText="1"/>
    </xf>
    <xf numFmtId="0" fontId="1" fillId="3" borderId="12" xfId="0" applyFont="1" applyFill="1" applyBorder="1"/>
    <xf numFmtId="9" fontId="1" fillId="3" borderId="12" xfId="0" applyNumberFormat="1" applyFont="1" applyFill="1" applyBorder="1" applyAlignment="1">
      <alignment vertical="center" wrapText="1"/>
    </xf>
    <xf numFmtId="166" fontId="1" fillId="0" borderId="12" xfId="0" applyNumberFormat="1" applyFont="1" applyBorder="1"/>
    <xf numFmtId="9" fontId="1" fillId="0" borderId="12" xfId="0" applyNumberFormat="1" applyFont="1" applyBorder="1"/>
    <xf numFmtId="0" fontId="1" fillId="0" borderId="21" xfId="0" applyFont="1" applyBorder="1"/>
    <xf numFmtId="9" fontId="1" fillId="0" borderId="21" xfId="0" applyNumberFormat="1" applyFont="1" applyBorder="1"/>
    <xf numFmtId="166" fontId="1" fillId="0" borderId="22" xfId="0" applyNumberFormat="1" applyFont="1" applyBorder="1"/>
    <xf numFmtId="9" fontId="1" fillId="0" borderId="0" xfId="0" applyNumberFormat="1" applyFont="1"/>
    <xf numFmtId="9" fontId="1" fillId="0" borderId="0" xfId="0" applyNumberFormat="1" applyFont="1" applyAlignment="1">
      <alignment vertical="center" wrapText="1"/>
    </xf>
    <xf numFmtId="0" fontId="1" fillId="4" borderId="8" xfId="0" applyFont="1" applyFill="1" applyBorder="1" applyAlignment="1">
      <alignment vertical="center" wrapText="1"/>
    </xf>
    <xf numFmtId="166" fontId="1" fillId="4" borderId="8" xfId="0" applyNumberFormat="1" applyFont="1" applyFill="1" applyBorder="1" applyAlignment="1">
      <alignment horizontal="right" vertical="center" wrapText="1"/>
    </xf>
    <xf numFmtId="9" fontId="1" fillId="4" borderId="8" xfId="0" applyNumberFormat="1" applyFont="1" applyFill="1" applyBorder="1" applyAlignment="1">
      <alignment vertical="center" wrapText="1"/>
    </xf>
    <xf numFmtId="9" fontId="1" fillId="4" borderId="13" xfId="0" applyNumberFormat="1" applyFont="1" applyFill="1" applyBorder="1" applyAlignment="1">
      <alignment vertical="center" wrapText="1"/>
    </xf>
    <xf numFmtId="166" fontId="1" fillId="0" borderId="18" xfId="0" applyNumberFormat="1" applyFont="1" applyBorder="1" applyAlignment="1">
      <alignment horizontal="right" vertical="center" wrapText="1"/>
    </xf>
    <xf numFmtId="166" fontId="2" fillId="0" borderId="18" xfId="0" applyNumberFormat="1" applyFont="1" applyBorder="1" applyAlignment="1">
      <alignment horizontal="right" vertical="center" wrapText="1"/>
    </xf>
    <xf numFmtId="166" fontId="2" fillId="0" borderId="16" xfId="0" applyNumberFormat="1" applyFont="1" applyBorder="1" applyAlignment="1">
      <alignment horizontal="right" vertical="center" wrapText="1"/>
    </xf>
    <xf numFmtId="0" fontId="1" fillId="0" borderId="12" xfId="0" applyFont="1" applyBorder="1" applyAlignment="1">
      <alignment vertical="center" wrapText="1"/>
    </xf>
    <xf numFmtId="0" fontId="1" fillId="0" borderId="12" xfId="0" applyFont="1" applyBorder="1" applyAlignment="1">
      <alignment horizontal="right" vertical="center" wrapText="1"/>
    </xf>
    <xf numFmtId="0" fontId="1" fillId="0" borderId="8" xfId="0" applyFont="1" applyBorder="1"/>
    <xf numFmtId="166" fontId="1" fillId="0" borderId="0" xfId="0" applyNumberFormat="1" applyFont="1"/>
    <xf numFmtId="0" fontId="11" fillId="0" borderId="0" xfId="0" applyFont="1"/>
    <xf numFmtId="166" fontId="1" fillId="0" borderId="0" xfId="0" applyNumberFormat="1" applyFont="1" applyAlignment="1">
      <alignment vertical="center" wrapText="1"/>
    </xf>
    <xf numFmtId="0" fontId="2" fillId="0" borderId="0" xfId="0" applyFont="1"/>
    <xf numFmtId="0" fontId="1" fillId="0" borderId="20" xfId="0" applyFont="1" applyBorder="1"/>
    <xf numFmtId="0" fontId="12" fillId="0" borderId="0" xfId="0" applyFont="1"/>
    <xf numFmtId="0" fontId="10" fillId="4" borderId="29" xfId="0" applyFont="1" applyFill="1" applyBorder="1" applyAlignment="1">
      <alignment vertical="center" wrapText="1"/>
    </xf>
    <xf numFmtId="0" fontId="2" fillId="0" borderId="12" xfId="0" applyFont="1" applyBorder="1"/>
    <xf numFmtId="0" fontId="14" fillId="0" borderId="0" xfId="0" applyFont="1"/>
    <xf numFmtId="0" fontId="15" fillId="0" borderId="0" xfId="0" applyFont="1"/>
    <xf numFmtId="0" fontId="1" fillId="8" borderId="8" xfId="0" applyFont="1" applyFill="1" applyBorder="1" applyAlignment="1">
      <alignment vertical="center" wrapText="1"/>
    </xf>
    <xf numFmtId="0" fontId="1" fillId="3" borderId="18" xfId="0" applyFont="1" applyFill="1" applyBorder="1" applyAlignment="1">
      <alignment vertical="center" wrapText="1"/>
    </xf>
    <xf numFmtId="166" fontId="1" fillId="3" borderId="18" xfId="0" applyNumberFormat="1" applyFont="1" applyFill="1" applyBorder="1" applyAlignment="1">
      <alignment horizontal="right" vertical="center" wrapText="1"/>
    </xf>
    <xf numFmtId="9" fontId="1" fillId="3" borderId="18" xfId="0" applyNumberFormat="1" applyFont="1" applyFill="1" applyBorder="1" applyAlignment="1">
      <alignment vertical="center" wrapText="1"/>
    </xf>
    <xf numFmtId="0" fontId="1" fillId="3" borderId="23" xfId="0" applyFont="1" applyFill="1" applyBorder="1"/>
    <xf numFmtId="9" fontId="1" fillId="3" borderId="23" xfId="0" applyNumberFormat="1" applyFont="1" applyFill="1" applyBorder="1"/>
    <xf numFmtId="9" fontId="1" fillId="3" borderId="23" xfId="0" applyNumberFormat="1" applyFont="1" applyFill="1" applyBorder="1" applyAlignment="1">
      <alignment vertical="center" wrapText="1"/>
    </xf>
    <xf numFmtId="166" fontId="1" fillId="3" borderId="23" xfId="0" applyNumberFormat="1" applyFont="1" applyFill="1" applyBorder="1"/>
    <xf numFmtId="0" fontId="2" fillId="8" borderId="24" xfId="0" applyFont="1" applyFill="1" applyBorder="1" applyAlignment="1">
      <alignment vertical="center"/>
    </xf>
    <xf numFmtId="0" fontId="2" fillId="3" borderId="21" xfId="0" applyFont="1" applyFill="1" applyBorder="1"/>
    <xf numFmtId="0" fontId="1" fillId="3" borderId="30" xfId="0" applyFont="1" applyFill="1" applyBorder="1" applyAlignment="1">
      <alignment vertical="center" wrapText="1"/>
    </xf>
    <xf numFmtId="9" fontId="1" fillId="3" borderId="31" xfId="0" applyNumberFormat="1" applyFont="1" applyFill="1" applyBorder="1" applyAlignment="1">
      <alignment vertical="center" wrapText="1"/>
    </xf>
    <xf numFmtId="166" fontId="1" fillId="3" borderId="30" xfId="0" applyNumberFormat="1" applyFont="1" applyFill="1" applyBorder="1" applyAlignment="1">
      <alignment horizontal="right" vertical="center" wrapText="1"/>
    </xf>
    <xf numFmtId="0" fontId="1" fillId="8" borderId="25" xfId="0" applyFont="1" applyFill="1" applyBorder="1" applyAlignment="1">
      <alignment vertical="center"/>
    </xf>
    <xf numFmtId="0" fontId="1" fillId="0" borderId="23" xfId="0" applyFont="1" applyBorder="1"/>
    <xf numFmtId="166" fontId="1" fillId="4" borderId="32" xfId="0" applyNumberFormat="1" applyFont="1" applyFill="1" applyBorder="1" applyAlignment="1">
      <alignment horizontal="right" vertical="center" wrapText="1"/>
    </xf>
    <xf numFmtId="9" fontId="2" fillId="3" borderId="31" xfId="0" applyNumberFormat="1" applyFont="1" applyFill="1" applyBorder="1" applyAlignment="1">
      <alignment vertical="center" wrapText="1"/>
    </xf>
    <xf numFmtId="166" fontId="1" fillId="3" borderId="33" xfId="0" applyNumberFormat="1" applyFont="1" applyFill="1" applyBorder="1" applyAlignment="1">
      <alignment horizontal="right" vertical="center" wrapText="1"/>
    </xf>
    <xf numFmtId="0" fontId="1" fillId="0" borderId="16" xfId="0" applyFont="1" applyBorder="1" applyAlignment="1">
      <alignment vertical="center" wrapText="1"/>
    </xf>
    <xf numFmtId="166" fontId="2" fillId="7" borderId="18" xfId="0" applyNumberFormat="1" applyFont="1" applyFill="1" applyBorder="1" applyAlignment="1">
      <alignment horizontal="right" vertical="center" wrapText="1"/>
    </xf>
    <xf numFmtId="167" fontId="20" fillId="0" borderId="9" xfId="11" applyNumberFormat="1" applyFont="1" applyBorder="1"/>
    <xf numFmtId="9" fontId="16" fillId="0" borderId="9" xfId="11" applyFont="1" applyBorder="1"/>
    <xf numFmtId="167" fontId="21" fillId="0" borderId="9" xfId="11" applyNumberFormat="1" applyFont="1" applyBorder="1"/>
    <xf numFmtId="0" fontId="1" fillId="0" borderId="9" xfId="0" quotePrefix="1" applyFont="1" applyBorder="1"/>
    <xf numFmtId="0" fontId="16" fillId="0" borderId="9" xfId="0" applyFont="1" applyBorder="1"/>
    <xf numFmtId="44" fontId="16" fillId="0" borderId="9" xfId="0" applyNumberFormat="1" applyFont="1" applyBorder="1"/>
    <xf numFmtId="0" fontId="18" fillId="0" borderId="9" xfId="0" applyFont="1" applyBorder="1"/>
    <xf numFmtId="9" fontId="18" fillId="0" borderId="9" xfId="11" applyFont="1" applyBorder="1"/>
    <xf numFmtId="0" fontId="0" fillId="0" borderId="9" xfId="0" applyBorder="1"/>
    <xf numFmtId="0" fontId="19" fillId="0" borderId="20" xfId="0" applyFont="1" applyBorder="1"/>
    <xf numFmtId="0" fontId="19" fillId="0" borderId="12" xfId="0" applyFont="1" applyBorder="1"/>
    <xf numFmtId="167" fontId="16" fillId="0" borderId="9" xfId="11" applyNumberFormat="1" applyFont="1" applyBorder="1"/>
    <xf numFmtId="0" fontId="20" fillId="0" borderId="20" xfId="0" applyFont="1" applyBorder="1"/>
    <xf numFmtId="0" fontId="2" fillId="5" borderId="9" xfId="0" applyFont="1" applyFill="1" applyBorder="1"/>
    <xf numFmtId="166" fontId="2" fillId="8" borderId="18" xfId="0" applyNumberFormat="1" applyFont="1" applyFill="1" applyBorder="1" applyAlignment="1">
      <alignment horizontal="right" vertical="center" wrapText="1"/>
    </xf>
    <xf numFmtId="166" fontId="2" fillId="8" borderId="23" xfId="0" applyNumberFormat="1" applyFont="1" applyFill="1" applyBorder="1"/>
    <xf numFmtId="9" fontId="20" fillId="0" borderId="8" xfId="0" applyNumberFormat="1" applyFont="1" applyBorder="1" applyAlignment="1">
      <alignment vertical="center" wrapText="1"/>
    </xf>
    <xf numFmtId="166" fontId="1" fillId="0" borderId="23" xfId="0" applyNumberFormat="1" applyFont="1" applyBorder="1"/>
    <xf numFmtId="0" fontId="2" fillId="0" borderId="36" xfId="0" applyFont="1" applyBorder="1"/>
    <xf numFmtId="0" fontId="1" fillId="0" borderId="36" xfId="0" applyFont="1" applyBorder="1"/>
    <xf numFmtId="0" fontId="22" fillId="0" borderId="0" xfId="0" applyFont="1"/>
    <xf numFmtId="0" fontId="21" fillId="0" borderId="37" xfId="0" applyFont="1" applyBorder="1"/>
    <xf numFmtId="0" fontId="20" fillId="0" borderId="38" xfId="0" applyFont="1" applyBorder="1"/>
    <xf numFmtId="0" fontId="21" fillId="0" borderId="38" xfId="0" applyFont="1" applyBorder="1"/>
    <xf numFmtId="0" fontId="20" fillId="0" borderId="39" xfId="0" applyFont="1" applyBorder="1"/>
    <xf numFmtId="0" fontId="4" fillId="0" borderId="0" xfId="0" applyFont="1"/>
    <xf numFmtId="9" fontId="17" fillId="0" borderId="9" xfId="0" applyNumberFormat="1" applyFont="1" applyBorder="1"/>
    <xf numFmtId="0" fontId="21" fillId="0" borderId="36" xfId="0" applyFont="1" applyBorder="1"/>
    <xf numFmtId="0" fontId="2" fillId="2" borderId="24" xfId="0" applyFont="1" applyFill="1" applyBorder="1" applyAlignment="1">
      <alignment vertical="center"/>
    </xf>
    <xf numFmtId="0" fontId="1" fillId="2" borderId="25" xfId="0" applyFont="1" applyFill="1" applyBorder="1" applyAlignment="1">
      <alignment vertical="center" wrapText="1"/>
    </xf>
    <xf numFmtId="0" fontId="1" fillId="2" borderId="8" xfId="0" applyFont="1" applyFill="1" applyBorder="1" applyAlignment="1">
      <alignment vertical="center" wrapText="1"/>
    </xf>
    <xf numFmtId="0" fontId="10" fillId="3" borderId="8" xfId="0" applyFont="1" applyFill="1" applyBorder="1" applyAlignment="1">
      <alignment vertical="center" wrapText="1"/>
    </xf>
    <xf numFmtId="166" fontId="1" fillId="3" borderId="8" xfId="0" applyNumberFormat="1" applyFont="1" applyFill="1" applyBorder="1" applyAlignment="1">
      <alignment horizontal="right" vertical="center" wrapText="1"/>
    </xf>
    <xf numFmtId="9" fontId="1" fillId="3" borderId="13" xfId="0" applyNumberFormat="1" applyFont="1" applyFill="1" applyBorder="1" applyAlignment="1">
      <alignment vertical="center" wrapText="1"/>
    </xf>
    <xf numFmtId="0" fontId="1" fillId="4" borderId="0" xfId="0" applyFont="1" applyFill="1" applyAlignment="1">
      <alignment vertical="center" wrapText="1"/>
    </xf>
    <xf numFmtId="166" fontId="1" fillId="4" borderId="35" xfId="0" applyNumberFormat="1" applyFont="1" applyFill="1" applyBorder="1" applyAlignment="1">
      <alignment horizontal="right" vertical="center" wrapText="1"/>
    </xf>
    <xf numFmtId="0" fontId="2" fillId="4" borderId="29" xfId="0" applyFont="1" applyFill="1" applyBorder="1" applyAlignment="1">
      <alignment vertical="center" wrapText="1"/>
    </xf>
    <xf numFmtId="9" fontId="1" fillId="4" borderId="29" xfId="0" applyNumberFormat="1" applyFont="1" applyFill="1" applyBorder="1" applyAlignment="1">
      <alignment vertical="center" wrapText="1"/>
    </xf>
    <xf numFmtId="0" fontId="1" fillId="4" borderId="33" xfId="0" applyFont="1" applyFill="1" applyBorder="1" applyAlignment="1">
      <alignment vertical="center" wrapText="1"/>
    </xf>
    <xf numFmtId="166" fontId="1" fillId="4" borderId="33" xfId="0" applyNumberFormat="1" applyFont="1" applyFill="1" applyBorder="1" applyAlignment="1">
      <alignment horizontal="right" vertical="center" wrapText="1"/>
    </xf>
    <xf numFmtId="9" fontId="1" fillId="4" borderId="42" xfId="0" applyNumberFormat="1" applyFont="1" applyFill="1" applyBorder="1" applyAlignment="1">
      <alignment vertical="center" wrapText="1"/>
    </xf>
    <xf numFmtId="0" fontId="1" fillId="0" borderId="41" xfId="0" applyFont="1" applyBorder="1" applyAlignment="1">
      <alignment vertical="center" wrapText="1"/>
    </xf>
    <xf numFmtId="166" fontId="1" fillId="0" borderId="41" xfId="0" applyNumberFormat="1" applyFont="1" applyBorder="1" applyAlignment="1">
      <alignment horizontal="right" vertical="center" wrapText="1"/>
    </xf>
    <xf numFmtId="166" fontId="1" fillId="4" borderId="43" xfId="0" applyNumberFormat="1" applyFont="1" applyFill="1" applyBorder="1" applyAlignment="1">
      <alignment horizontal="right" vertical="center" wrapText="1"/>
    </xf>
    <xf numFmtId="166" fontId="2" fillId="0" borderId="26" xfId="0" applyNumberFormat="1" applyFont="1" applyBorder="1" applyAlignment="1">
      <alignment horizontal="right" vertical="center" wrapText="1"/>
    </xf>
    <xf numFmtId="169" fontId="20" fillId="3" borderId="30" xfId="0" applyNumberFormat="1" applyFont="1" applyFill="1" applyBorder="1" applyAlignment="1">
      <alignment vertical="center" wrapText="1"/>
    </xf>
    <xf numFmtId="166" fontId="1" fillId="0" borderId="2" xfId="0" applyNumberFormat="1" applyFont="1" applyBorder="1" applyAlignment="1">
      <alignment vertical="center" wrapText="1"/>
    </xf>
    <xf numFmtId="49" fontId="1" fillId="0" borderId="3" xfId="0" applyNumberFormat="1" applyFont="1" applyBorder="1" applyAlignment="1">
      <alignment vertical="center" wrapText="1"/>
    </xf>
    <xf numFmtId="49" fontId="1" fillId="0" borderId="3" xfId="0" applyNumberFormat="1" applyFont="1" applyBorder="1" applyAlignment="1">
      <alignment horizontal="right" vertical="center" wrapText="1"/>
    </xf>
    <xf numFmtId="166" fontId="1" fillId="0" borderId="3" xfId="0" applyNumberFormat="1" applyFont="1" applyBorder="1" applyAlignment="1">
      <alignment vertical="center" wrapText="1"/>
    </xf>
    <xf numFmtId="49" fontId="1" fillId="0" borderId="2" xfId="0" applyNumberFormat="1" applyFont="1" applyBorder="1" applyAlignment="1">
      <alignment vertical="center" wrapText="1"/>
    </xf>
    <xf numFmtId="0" fontId="1" fillId="0" borderId="8" xfId="0" applyFont="1" applyBorder="1" applyAlignment="1">
      <alignment horizontal="center" vertical="center" wrapText="1"/>
    </xf>
    <xf numFmtId="9" fontId="1" fillId="0" borderId="12" xfId="0" applyNumberFormat="1" applyFont="1" applyBorder="1" applyAlignment="1">
      <alignment horizontal="center" vertical="center" wrapText="1"/>
    </xf>
    <xf numFmtId="0" fontId="2" fillId="5" borderId="13" xfId="0" applyFont="1" applyFill="1" applyBorder="1" applyAlignment="1">
      <alignment vertical="center" wrapText="1"/>
    </xf>
    <xf numFmtId="0" fontId="1" fillId="5" borderId="14" xfId="0" applyFont="1" applyFill="1" applyBorder="1" applyAlignment="1">
      <alignment vertical="center" wrapText="1"/>
    </xf>
    <xf numFmtId="0" fontId="1" fillId="5" borderId="15" xfId="0" applyFont="1" applyFill="1" applyBorder="1" applyAlignment="1">
      <alignment vertical="center" wrapText="1"/>
    </xf>
    <xf numFmtId="49" fontId="2" fillId="5" borderId="13" xfId="0" applyNumberFormat="1" applyFont="1" applyFill="1" applyBorder="1" applyAlignment="1">
      <alignment vertical="top"/>
    </xf>
    <xf numFmtId="0" fontId="1" fillId="5" borderId="13" xfId="0" applyFont="1" applyFill="1" applyBorder="1" applyAlignment="1">
      <alignment vertical="center"/>
    </xf>
    <xf numFmtId="0" fontId="1" fillId="5" borderId="1" xfId="0" applyFont="1" applyFill="1" applyBorder="1" applyAlignment="1">
      <alignment vertical="center"/>
    </xf>
    <xf numFmtId="0" fontId="1" fillId="5" borderId="2" xfId="0" applyFont="1" applyFill="1" applyBorder="1" applyAlignment="1">
      <alignment vertical="center" wrapText="1"/>
    </xf>
    <xf numFmtId="0" fontId="1" fillId="5" borderId="3" xfId="0" applyFont="1" applyFill="1" applyBorder="1" applyAlignment="1">
      <alignment vertical="center" wrapText="1"/>
    </xf>
    <xf numFmtId="0" fontId="18" fillId="0" borderId="0" xfId="0" applyFont="1"/>
    <xf numFmtId="9" fontId="18" fillId="0" borderId="0" xfId="11" applyFont="1"/>
    <xf numFmtId="167" fontId="21" fillId="0" borderId="0" xfId="11" applyNumberFormat="1" applyFont="1"/>
    <xf numFmtId="9" fontId="16" fillId="0" borderId="0" xfId="11" applyFont="1"/>
    <xf numFmtId="9" fontId="17" fillId="0" borderId="0" xfId="0" applyNumberFormat="1" applyFont="1"/>
    <xf numFmtId="0" fontId="2" fillId="6" borderId="9" xfId="0" applyFont="1" applyFill="1" applyBorder="1"/>
    <xf numFmtId="0" fontId="26" fillId="0" borderId="0" xfId="0" applyFont="1"/>
    <xf numFmtId="168" fontId="1" fillId="0" borderId="0" xfId="0" applyNumberFormat="1" applyFont="1" applyAlignment="1">
      <alignment vertical="center" wrapText="1"/>
    </xf>
    <xf numFmtId="168" fontId="0" fillId="0" borderId="0" xfId="0" applyNumberFormat="1"/>
    <xf numFmtId="44" fontId="21" fillId="0" borderId="9" xfId="0" applyNumberFormat="1" applyFont="1" applyBorder="1"/>
    <xf numFmtId="0" fontId="20" fillId="0" borderId="9" xfId="0" quotePrefix="1" applyFont="1" applyBorder="1"/>
    <xf numFmtId="0" fontId="4" fillId="2" borderId="12" xfId="0" applyFont="1" applyFill="1" applyBorder="1"/>
    <xf numFmtId="0" fontId="2" fillId="2" borderId="12" xfId="0" applyFont="1" applyFill="1" applyBorder="1" applyAlignment="1">
      <alignment vertical="center" wrapText="1"/>
    </xf>
    <xf numFmtId="0" fontId="5" fillId="0" borderId="0" xfId="0" applyFont="1" applyAlignment="1">
      <alignment horizontal="right"/>
    </xf>
    <xf numFmtId="0" fontId="1" fillId="0" borderId="0" xfId="0" applyFont="1" applyAlignment="1">
      <alignment wrapText="1"/>
    </xf>
    <xf numFmtId="0" fontId="1" fillId="0" borderId="40" xfId="0" applyFont="1" applyBorder="1"/>
    <xf numFmtId="0" fontId="30" fillId="0" borderId="9" xfId="0" applyFont="1" applyBorder="1" applyAlignment="1">
      <alignment vertical="top" wrapText="1"/>
    </xf>
    <xf numFmtId="0" fontId="31" fillId="0" borderId="9" xfId="0" applyFont="1" applyBorder="1" applyAlignment="1">
      <alignment vertical="top" wrapText="1"/>
    </xf>
    <xf numFmtId="0" fontId="32" fillId="0" borderId="9" xfId="0" applyFont="1" applyBorder="1" applyAlignment="1">
      <alignment vertical="top" wrapText="1"/>
    </xf>
    <xf numFmtId="0" fontId="31" fillId="0" borderId="9" xfId="0" applyFont="1" applyBorder="1" applyAlignment="1">
      <alignment vertical="top"/>
    </xf>
    <xf numFmtId="0" fontId="1" fillId="0" borderId="9" xfId="0" applyFont="1" applyBorder="1" applyAlignment="1">
      <alignment wrapText="1"/>
    </xf>
    <xf numFmtId="0" fontId="32" fillId="0" borderId="9" xfId="0" applyFont="1" applyBorder="1" applyAlignment="1">
      <alignment horizontal="right" vertical="center" wrapText="1"/>
    </xf>
    <xf numFmtId="0" fontId="31" fillId="0" borderId="9" xfId="0" applyFont="1" applyBorder="1" applyAlignment="1">
      <alignment horizontal="right" vertical="top"/>
    </xf>
    <xf numFmtId="0" fontId="32" fillId="0" borderId="9" xfId="0" applyFont="1" applyBorder="1" applyAlignment="1">
      <alignment horizontal="right" vertical="top" wrapText="1"/>
    </xf>
    <xf numFmtId="0" fontId="1" fillId="4" borderId="0" xfId="0" applyFont="1" applyFill="1" applyAlignment="1">
      <alignment wrapText="1"/>
    </xf>
    <xf numFmtId="0" fontId="1" fillId="4" borderId="0" xfId="0" applyFont="1" applyFill="1"/>
    <xf numFmtId="0" fontId="0" fillId="4" borderId="0" xfId="0" applyFill="1"/>
    <xf numFmtId="0" fontId="1" fillId="4" borderId="44" xfId="0" applyFont="1" applyFill="1" applyBorder="1"/>
    <xf numFmtId="0" fontId="4" fillId="4" borderId="0" xfId="0" applyFont="1" applyFill="1"/>
    <xf numFmtId="0" fontId="0" fillId="4" borderId="0" xfId="0" applyFill="1" applyAlignment="1">
      <alignment horizontal="right"/>
    </xf>
    <xf numFmtId="170" fontId="28" fillId="0" borderId="9" xfId="13" applyNumberFormat="1" applyFont="1" applyBorder="1" applyAlignment="1">
      <alignment wrapText="1"/>
    </xf>
    <xf numFmtId="0" fontId="30" fillId="8" borderId="9" xfId="0" applyFont="1" applyFill="1" applyBorder="1" applyAlignment="1">
      <alignment vertical="top" wrapText="1"/>
    </xf>
    <xf numFmtId="0" fontId="0" fillId="8" borderId="9" xfId="0" applyFill="1" applyBorder="1"/>
    <xf numFmtId="170" fontId="28" fillId="0" borderId="46" xfId="13" applyNumberFormat="1" applyFont="1" applyBorder="1" applyAlignment="1">
      <alignment wrapText="1"/>
    </xf>
    <xf numFmtId="0" fontId="0" fillId="0" borderId="46" xfId="0" applyBorder="1"/>
    <xf numFmtId="0" fontId="5" fillId="0" borderId="9" xfId="0" applyFont="1" applyBorder="1"/>
    <xf numFmtId="0" fontId="0" fillId="0" borderId="47" xfId="0" applyBorder="1"/>
    <xf numFmtId="0" fontId="32" fillId="0" borderId="9" xfId="0" applyFont="1" applyBorder="1" applyAlignment="1">
      <alignment horizontal="left" vertical="center" wrapText="1"/>
    </xf>
    <xf numFmtId="0" fontId="0" fillId="0" borderId="0" xfId="0" applyAlignment="1">
      <alignment horizontal="left"/>
    </xf>
    <xf numFmtId="0" fontId="0" fillId="0" borderId="45" xfId="0" applyBorder="1"/>
    <xf numFmtId="0" fontId="5" fillId="0" borderId="49" xfId="0" applyFont="1" applyBorder="1" applyAlignment="1">
      <alignment horizontal="right"/>
    </xf>
    <xf numFmtId="0" fontId="4" fillId="8" borderId="0" xfId="0" applyFont="1" applyFill="1"/>
    <xf numFmtId="0" fontId="0" fillId="8" borderId="0" xfId="0" applyFill="1"/>
    <xf numFmtId="0" fontId="4" fillId="8" borderId="0" xfId="0" applyFont="1" applyFill="1" applyAlignment="1">
      <alignment horizontal="left"/>
    </xf>
    <xf numFmtId="171" fontId="0" fillId="0" borderId="0" xfId="0" applyNumberFormat="1"/>
    <xf numFmtId="171" fontId="4" fillId="0" borderId="0" xfId="0" applyNumberFormat="1" applyFont="1"/>
    <xf numFmtId="1" fontId="19" fillId="0" borderId="20" xfId="0" applyNumberFormat="1" applyFont="1" applyBorder="1"/>
    <xf numFmtId="0" fontId="4" fillId="0" borderId="49" xfId="0" applyFont="1" applyBorder="1"/>
    <xf numFmtId="0" fontId="0" fillId="0" borderId="52" xfId="0" applyBorder="1"/>
    <xf numFmtId="0" fontId="0" fillId="0" borderId="53" xfId="0" applyBorder="1"/>
    <xf numFmtId="0" fontId="0" fillId="0" borderId="54" xfId="0" applyBorder="1"/>
    <xf numFmtId="0" fontId="0" fillId="8" borderId="54" xfId="0" applyFill="1" applyBorder="1"/>
    <xf numFmtId="0" fontId="0" fillId="8" borderId="53" xfId="0" applyFill="1" applyBorder="1"/>
    <xf numFmtId="0" fontId="0" fillId="0" borderId="58" xfId="0" applyBorder="1"/>
    <xf numFmtId="0" fontId="0" fillId="0" borderId="59" xfId="0" applyBorder="1"/>
    <xf numFmtId="0" fontId="4" fillId="8" borderId="53" xfId="0" applyFont="1" applyFill="1" applyBorder="1" applyAlignment="1">
      <alignment horizontal="right"/>
    </xf>
    <xf numFmtId="0" fontId="4" fillId="8" borderId="0" xfId="0" applyFont="1" applyFill="1" applyAlignment="1">
      <alignment horizontal="right"/>
    </xf>
    <xf numFmtId="0" fontId="4" fillId="0" borderId="52" xfId="0" applyFont="1" applyBorder="1"/>
    <xf numFmtId="171" fontId="33" fillId="0" borderId="0" xfId="0" applyNumberFormat="1" applyFont="1"/>
    <xf numFmtId="0" fontId="34" fillId="0" borderId="9" xfId="0" applyFont="1" applyBorder="1" applyAlignment="1">
      <alignment horizontal="left" vertical="center" wrapText="1" indent="1"/>
    </xf>
    <xf numFmtId="0" fontId="34" fillId="0" borderId="62" xfId="0" applyFont="1" applyBorder="1" applyAlignment="1">
      <alignment horizontal="left" vertical="center" wrapText="1" indent="1"/>
    </xf>
    <xf numFmtId="0" fontId="35" fillId="0" borderId="61" xfId="0" applyFont="1" applyBorder="1" applyAlignment="1">
      <alignment vertical="center" wrapText="1"/>
    </xf>
    <xf numFmtId="0" fontId="0" fillId="4" borderId="9" xfId="0" applyFill="1" applyBorder="1"/>
    <xf numFmtId="0" fontId="36" fillId="4" borderId="9" xfId="14" applyFill="1" applyBorder="1"/>
    <xf numFmtId="0" fontId="37" fillId="0" borderId="12" xfId="0" applyFont="1" applyBorder="1"/>
    <xf numFmtId="0" fontId="0" fillId="0" borderId="52" xfId="0" applyBorder="1" applyAlignment="1">
      <alignment horizontal="right" wrapText="1"/>
    </xf>
    <xf numFmtId="0" fontId="1" fillId="0" borderId="5" xfId="0" applyFont="1" applyBorder="1" applyAlignment="1">
      <alignment vertical="center"/>
    </xf>
    <xf numFmtId="0" fontId="1" fillId="5" borderId="2" xfId="0" applyFont="1" applyFill="1" applyBorder="1" applyAlignment="1">
      <alignment vertical="center"/>
    </xf>
    <xf numFmtId="0" fontId="1" fillId="5" borderId="3" xfId="0" applyFont="1" applyFill="1" applyBorder="1" applyAlignment="1">
      <alignment vertical="center"/>
    </xf>
    <xf numFmtId="0" fontId="1" fillId="0" borderId="4" xfId="0" applyFont="1" applyBorder="1" applyAlignment="1">
      <alignment vertical="center"/>
    </xf>
    <xf numFmtId="168" fontId="1" fillId="0" borderId="0" xfId="0" applyNumberFormat="1" applyFont="1" applyAlignment="1">
      <alignment vertical="center"/>
    </xf>
    <xf numFmtId="0" fontId="1" fillId="0" borderId="1" xfId="0" applyFont="1" applyBorder="1" applyAlignment="1">
      <alignment vertical="center"/>
    </xf>
    <xf numFmtId="0" fontId="1" fillId="0" borderId="2" xfId="0" applyFont="1" applyBorder="1" applyAlignment="1">
      <alignment vertical="center"/>
    </xf>
    <xf numFmtId="9" fontId="1" fillId="0" borderId="3" xfId="0" applyNumberFormat="1" applyFont="1" applyBorder="1" applyAlignment="1">
      <alignment vertical="center"/>
    </xf>
    <xf numFmtId="0" fontId="1" fillId="0" borderId="6" xfId="0" applyFont="1" applyBorder="1" applyAlignment="1">
      <alignment vertical="center"/>
    </xf>
    <xf numFmtId="0" fontId="1" fillId="0" borderId="3" xfId="0" applyFont="1" applyBorder="1" applyAlignment="1">
      <alignment vertical="center"/>
    </xf>
    <xf numFmtId="49" fontId="1" fillId="0" borderId="3" xfId="0" applyNumberFormat="1" applyFont="1" applyBorder="1" applyAlignment="1">
      <alignment horizontal="right" vertical="center"/>
    </xf>
    <xf numFmtId="0" fontId="1" fillId="3" borderId="8" xfId="0" applyFont="1" applyFill="1" applyBorder="1" applyAlignment="1">
      <alignment horizontal="center" vertical="center" wrapText="1"/>
    </xf>
    <xf numFmtId="166" fontId="2" fillId="3" borderId="8" xfId="0" applyNumberFormat="1" applyFont="1" applyFill="1" applyBorder="1" applyAlignment="1">
      <alignment horizontal="right" vertical="center" wrapText="1"/>
    </xf>
    <xf numFmtId="0" fontId="1" fillId="0" borderId="8" xfId="0" applyFont="1" applyBorder="1" applyAlignment="1">
      <alignment vertical="center"/>
    </xf>
    <xf numFmtId="0" fontId="1" fillId="5" borderId="14" xfId="0" applyFont="1" applyFill="1" applyBorder="1" applyAlignment="1">
      <alignment vertical="center"/>
    </xf>
    <xf numFmtId="0" fontId="1" fillId="5" borderId="15" xfId="0" applyFont="1" applyFill="1" applyBorder="1" applyAlignment="1">
      <alignment vertical="center"/>
    </xf>
    <xf numFmtId="166" fontId="2" fillId="0" borderId="8" xfId="0" applyNumberFormat="1" applyFont="1" applyBorder="1" applyAlignment="1">
      <alignment horizontal="right" vertical="center"/>
    </xf>
    <xf numFmtId="9" fontId="1" fillId="0" borderId="8" xfId="0" applyNumberFormat="1" applyFont="1" applyBorder="1" applyAlignment="1">
      <alignment vertical="center"/>
    </xf>
    <xf numFmtId="9" fontId="20" fillId="0" borderId="8" xfId="0" applyNumberFormat="1" applyFont="1" applyBorder="1" applyAlignment="1">
      <alignment vertical="center"/>
    </xf>
    <xf numFmtId="9" fontId="1" fillId="0" borderId="16" xfId="0" applyNumberFormat="1" applyFont="1" applyBorder="1" applyAlignment="1">
      <alignment vertical="center"/>
    </xf>
    <xf numFmtId="166" fontId="2" fillId="0" borderId="17" xfId="0" applyNumberFormat="1" applyFont="1" applyBorder="1" applyAlignment="1">
      <alignment horizontal="right" vertical="center"/>
    </xf>
    <xf numFmtId="0" fontId="1" fillId="0" borderId="13" xfId="0" applyFont="1" applyBorder="1" applyAlignment="1">
      <alignment vertical="center"/>
    </xf>
    <xf numFmtId="0" fontId="1" fillId="0" borderId="14" xfId="0" applyFont="1" applyBorder="1" applyAlignment="1">
      <alignment vertical="center"/>
    </xf>
    <xf numFmtId="0" fontId="1" fillId="0" borderId="15" xfId="0" applyFont="1" applyBorder="1" applyAlignment="1">
      <alignment vertical="center"/>
    </xf>
    <xf numFmtId="0" fontId="1" fillId="0" borderId="18" xfId="0" applyFont="1" applyBorder="1" applyAlignment="1">
      <alignment vertical="center"/>
    </xf>
    <xf numFmtId="166" fontId="2" fillId="8" borderId="18" xfId="0" applyNumberFormat="1" applyFont="1" applyFill="1" applyBorder="1" applyAlignment="1">
      <alignment horizontal="right" vertical="center"/>
    </xf>
    <xf numFmtId="166" fontId="1" fillId="0" borderId="3" xfId="0" applyNumberFormat="1" applyFont="1" applyBorder="1" applyAlignment="1">
      <alignment vertical="center"/>
    </xf>
    <xf numFmtId="49" fontId="1" fillId="0" borderId="3" xfId="0" applyNumberFormat="1" applyFont="1" applyBorder="1" applyAlignment="1">
      <alignment vertical="center"/>
    </xf>
    <xf numFmtId="172" fontId="0" fillId="0" borderId="64" xfId="0" applyNumberFormat="1" applyBorder="1"/>
    <xf numFmtId="0" fontId="2" fillId="0" borderId="8" xfId="0" applyFont="1" applyBorder="1" applyAlignment="1">
      <alignment vertical="center" wrapText="1"/>
    </xf>
    <xf numFmtId="9" fontId="1" fillId="3" borderId="67" xfId="0" applyNumberFormat="1" applyFont="1" applyFill="1" applyBorder="1" applyAlignment="1">
      <alignment vertical="center" wrapText="1"/>
    </xf>
    <xf numFmtId="0" fontId="1" fillId="3" borderId="21" xfId="0" applyFont="1" applyFill="1" applyBorder="1"/>
    <xf numFmtId="0" fontId="1" fillId="3" borderId="9" xfId="0" applyFont="1" applyFill="1" applyBorder="1" applyAlignment="1">
      <alignment vertical="center" wrapText="1"/>
    </xf>
    <xf numFmtId="9" fontId="1" fillId="3" borderId="31" xfId="0" applyNumberFormat="1" applyFont="1" applyFill="1" applyBorder="1" applyAlignment="1">
      <alignment horizontal="center" vertical="center" wrapText="1"/>
    </xf>
    <xf numFmtId="171" fontId="1" fillId="0" borderId="0" xfId="0" applyNumberFormat="1" applyFont="1"/>
    <xf numFmtId="0" fontId="1" fillId="0" borderId="0" xfId="0" applyFont="1" applyAlignment="1">
      <alignment vertical="center"/>
    </xf>
    <xf numFmtId="0" fontId="2" fillId="0" borderId="8" xfId="0" applyFont="1" applyBorder="1" applyAlignment="1">
      <alignment vertical="center"/>
    </xf>
    <xf numFmtId="166" fontId="1" fillId="0" borderId="8" xfId="0" applyNumberFormat="1" applyFont="1" applyBorder="1" applyAlignment="1">
      <alignment vertical="center"/>
    </xf>
    <xf numFmtId="0" fontId="1" fillId="0" borderId="0" xfId="0" applyFont="1" applyAlignment="1">
      <alignment horizontal="right" vertical="center"/>
    </xf>
    <xf numFmtId="9" fontId="1" fillId="0" borderId="0" xfId="0" applyNumberFormat="1" applyFont="1" applyAlignment="1">
      <alignment vertical="center"/>
    </xf>
    <xf numFmtId="4" fontId="4" fillId="0" borderId="0" xfId="0" applyNumberFormat="1" applyFont="1"/>
    <xf numFmtId="1" fontId="1" fillId="0" borderId="12" xfId="0" applyNumberFormat="1" applyFont="1" applyBorder="1"/>
    <xf numFmtId="167" fontId="21" fillId="0" borderId="0" xfId="11" applyNumberFormat="1" applyFont="1" applyBorder="1"/>
    <xf numFmtId="9" fontId="16" fillId="0" borderId="0" xfId="11" applyFont="1" applyBorder="1"/>
    <xf numFmtId="9" fontId="18" fillId="0" borderId="0" xfId="11" applyFont="1" applyBorder="1"/>
    <xf numFmtId="0" fontId="10" fillId="4" borderId="15" xfId="0" applyFont="1" applyFill="1" applyBorder="1" applyAlignment="1">
      <alignment horizontal="left" vertical="center" wrapText="1"/>
    </xf>
    <xf numFmtId="164" fontId="18" fillId="0" borderId="0" xfId="11" applyNumberFormat="1" applyFont="1" applyBorder="1"/>
    <xf numFmtId="166" fontId="18" fillId="0" borderId="0" xfId="11" applyNumberFormat="1" applyFont="1" applyBorder="1"/>
    <xf numFmtId="9" fontId="1" fillId="3" borderId="12" xfId="0" applyNumberFormat="1" applyFont="1" applyFill="1" applyBorder="1" applyAlignment="1">
      <alignment vertical="center"/>
    </xf>
    <xf numFmtId="0" fontId="1" fillId="3" borderId="30" xfId="0" applyFont="1" applyFill="1" applyBorder="1" applyAlignment="1">
      <alignment vertical="center"/>
    </xf>
    <xf numFmtId="166" fontId="1" fillId="3" borderId="33" xfId="0" applyNumberFormat="1" applyFont="1" applyFill="1" applyBorder="1" applyAlignment="1">
      <alignment horizontal="right" vertical="center"/>
    </xf>
    <xf numFmtId="0" fontId="1" fillId="4" borderId="29" xfId="0" applyFont="1" applyFill="1" applyBorder="1" applyAlignment="1">
      <alignment vertical="center"/>
    </xf>
    <xf numFmtId="168" fontId="1" fillId="4" borderId="18" xfId="0" applyNumberFormat="1" applyFont="1" applyFill="1" applyBorder="1" applyAlignment="1">
      <alignment horizontal="right" vertical="center"/>
    </xf>
    <xf numFmtId="9" fontId="1" fillId="4" borderId="0" xfId="0" applyNumberFormat="1" applyFont="1" applyFill="1" applyAlignment="1">
      <alignment vertical="center"/>
    </xf>
    <xf numFmtId="9" fontId="1" fillId="0" borderId="23" xfId="0" applyNumberFormat="1" applyFont="1" applyBorder="1"/>
    <xf numFmtId="166" fontId="1" fillId="4" borderId="32" xfId="0" applyNumberFormat="1" applyFont="1" applyFill="1" applyBorder="1" applyAlignment="1">
      <alignment horizontal="right" vertical="center"/>
    </xf>
    <xf numFmtId="0" fontId="1" fillId="4" borderId="8" xfId="0" applyFont="1" applyFill="1" applyBorder="1" applyAlignment="1">
      <alignment vertical="center"/>
    </xf>
    <xf numFmtId="166" fontId="1" fillId="4" borderId="8" xfId="0" applyNumberFormat="1" applyFont="1" applyFill="1" applyBorder="1" applyAlignment="1">
      <alignment horizontal="right" vertical="center"/>
    </xf>
    <xf numFmtId="9" fontId="1" fillId="4" borderId="13" xfId="0" applyNumberFormat="1" applyFont="1" applyFill="1" applyBorder="1" applyAlignment="1">
      <alignment vertical="center"/>
    </xf>
    <xf numFmtId="166" fontId="1" fillId="0" borderId="18" xfId="0" applyNumberFormat="1" applyFont="1" applyBorder="1" applyAlignment="1">
      <alignment horizontal="right" vertical="center"/>
    </xf>
    <xf numFmtId="166" fontId="1" fillId="4" borderId="29" xfId="0" applyNumberFormat="1"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right" vertical="center"/>
    </xf>
    <xf numFmtId="166" fontId="1" fillId="0" borderId="12" xfId="0" applyNumberFormat="1" applyFont="1" applyBorder="1" applyAlignment="1">
      <alignment horizontal="right" vertical="center"/>
    </xf>
    <xf numFmtId="165" fontId="18" fillId="0" borderId="0" xfId="12" applyFont="1" applyBorder="1"/>
    <xf numFmtId="165" fontId="1" fillId="0" borderId="0" xfId="12" applyFont="1" applyBorder="1"/>
    <xf numFmtId="0" fontId="2" fillId="6" borderId="68" xfId="0" applyFont="1" applyFill="1" applyBorder="1"/>
    <xf numFmtId="0" fontId="1" fillId="0" borderId="68" xfId="0" applyFont="1" applyBorder="1"/>
    <xf numFmtId="0" fontId="16" fillId="0" borderId="68" xfId="0" applyFont="1" applyBorder="1"/>
    <xf numFmtId="0" fontId="18" fillId="0" borderId="68" xfId="0" applyFont="1" applyBorder="1"/>
    <xf numFmtId="0" fontId="5" fillId="8" borderId="55" xfId="0" applyFont="1" applyFill="1" applyBorder="1"/>
    <xf numFmtId="0" fontId="5" fillId="8" borderId="60" xfId="0" applyFont="1" applyFill="1" applyBorder="1"/>
    <xf numFmtId="0" fontId="5" fillId="8" borderId="40" xfId="0" applyFont="1" applyFill="1" applyBorder="1" applyAlignment="1">
      <alignment horizontal="left"/>
    </xf>
    <xf numFmtId="0" fontId="5" fillId="8" borderId="56" xfId="0" applyFont="1" applyFill="1" applyBorder="1"/>
    <xf numFmtId="0" fontId="5" fillId="8" borderId="53" xfId="0" applyFont="1" applyFill="1" applyBorder="1"/>
    <xf numFmtId="0" fontId="5" fillId="8" borderId="40" xfId="0" applyFont="1" applyFill="1" applyBorder="1"/>
    <xf numFmtId="0" fontId="5" fillId="8" borderId="53" xfId="0" applyFont="1" applyFill="1" applyBorder="1" applyAlignment="1">
      <alignment horizontal="left"/>
    </xf>
    <xf numFmtId="0" fontId="4" fillId="0" borderId="52" xfId="0" applyFont="1" applyBorder="1" applyAlignment="1">
      <alignment horizontal="right"/>
    </xf>
    <xf numFmtId="0" fontId="5" fillId="0" borderId="52" xfId="0" applyFont="1" applyBorder="1" applyAlignment="1">
      <alignment horizontal="right"/>
    </xf>
    <xf numFmtId="0" fontId="0" fillId="0" borderId="0" xfId="12" applyNumberFormat="1" applyFont="1" applyFill="1" applyBorder="1"/>
    <xf numFmtId="165" fontId="0" fillId="0" borderId="0" xfId="12" applyFont="1" applyFill="1" applyBorder="1"/>
    <xf numFmtId="0" fontId="0" fillId="0" borderId="69" xfId="0" applyBorder="1"/>
    <xf numFmtId="0" fontId="0" fillId="0" borderId="69" xfId="0" applyBorder="1" applyAlignment="1">
      <alignment horizontal="left"/>
    </xf>
    <xf numFmtId="0" fontId="0" fillId="0" borderId="69" xfId="12" applyNumberFormat="1" applyFont="1" applyFill="1" applyBorder="1"/>
    <xf numFmtId="165" fontId="0" fillId="0" borderId="69" xfId="12" applyFont="1" applyFill="1" applyBorder="1"/>
    <xf numFmtId="0" fontId="32" fillId="0" borderId="45" xfId="0" applyFont="1" applyBorder="1" applyAlignment="1">
      <alignment horizontal="left" vertical="center" wrapText="1"/>
    </xf>
    <xf numFmtId="0" fontId="19" fillId="0" borderId="0" xfId="0" applyFont="1" applyAlignment="1" applyProtection="1">
      <alignment horizontal="center"/>
      <protection locked="0"/>
    </xf>
    <xf numFmtId="0" fontId="24" fillId="0" borderId="0" xfId="0" applyFont="1" applyAlignment="1" applyProtection="1">
      <alignment horizontal="left"/>
      <protection locked="0"/>
    </xf>
    <xf numFmtId="0" fontId="36" fillId="0" borderId="0" xfId="14"/>
    <xf numFmtId="1" fontId="20" fillId="0" borderId="12" xfId="0" applyNumberFormat="1" applyFont="1" applyBorder="1"/>
    <xf numFmtId="1" fontId="20" fillId="0" borderId="12" xfId="0" applyNumberFormat="1" applyFont="1" applyBorder="1" applyProtection="1">
      <protection locked="0"/>
    </xf>
    <xf numFmtId="0" fontId="2" fillId="9" borderId="45" xfId="0" applyFont="1" applyFill="1" applyBorder="1"/>
    <xf numFmtId="9" fontId="20" fillId="10" borderId="12" xfId="0" applyNumberFormat="1" applyFont="1" applyFill="1" applyBorder="1"/>
    <xf numFmtId="166" fontId="20" fillId="0" borderId="12" xfId="0" applyNumberFormat="1" applyFont="1" applyBorder="1"/>
    <xf numFmtId="166" fontId="1" fillId="11" borderId="12" xfId="0" applyNumberFormat="1" applyFont="1" applyFill="1" applyBorder="1"/>
    <xf numFmtId="0" fontId="2" fillId="11" borderId="12" xfId="0" applyFont="1" applyFill="1" applyBorder="1"/>
    <xf numFmtId="166" fontId="20" fillId="10" borderId="12" xfId="0" applyNumberFormat="1" applyFont="1" applyFill="1" applyBorder="1"/>
    <xf numFmtId="0" fontId="1" fillId="10" borderId="12" xfId="0" applyFont="1" applyFill="1" applyBorder="1" applyAlignment="1">
      <alignment vertical="center" wrapText="1"/>
    </xf>
    <xf numFmtId="0" fontId="24" fillId="0" borderId="0" xfId="0" applyFont="1"/>
    <xf numFmtId="0" fontId="2" fillId="9" borderId="9" xfId="0" applyFont="1" applyFill="1" applyBorder="1"/>
    <xf numFmtId="0" fontId="39" fillId="0" borderId="9" xfId="0" applyFont="1" applyBorder="1" applyAlignment="1">
      <alignment horizontal="right"/>
    </xf>
    <xf numFmtId="7" fontId="40" fillId="0" borderId="9" xfId="0" applyNumberFormat="1" applyFont="1" applyBorder="1" applyAlignment="1">
      <alignment horizontal="right"/>
    </xf>
    <xf numFmtId="0" fontId="39" fillId="0" borderId="9" xfId="0" applyFont="1" applyBorder="1"/>
    <xf numFmtId="0" fontId="39" fillId="0" borderId="0" xfId="0" applyFont="1" applyAlignment="1">
      <alignment horizontal="right"/>
    </xf>
    <xf numFmtId="9" fontId="39" fillId="0" borderId="0" xfId="11" applyFont="1" applyBorder="1" applyAlignment="1">
      <alignment horizontal="right"/>
    </xf>
    <xf numFmtId="0" fontId="39" fillId="0" borderId="0" xfId="0" applyFont="1"/>
    <xf numFmtId="9" fontId="39" fillId="0" borderId="9" xfId="11" applyFont="1" applyBorder="1" applyAlignment="1">
      <alignment horizontal="right"/>
    </xf>
    <xf numFmtId="0" fontId="39" fillId="0" borderId="9" xfId="0" quotePrefix="1" applyFont="1" applyBorder="1" applyAlignment="1">
      <alignment horizontal="right"/>
    </xf>
    <xf numFmtId="0" fontId="0" fillId="0" borderId="0" xfId="0" applyAlignment="1">
      <alignment horizontal="right"/>
    </xf>
    <xf numFmtId="0" fontId="17" fillId="0" borderId="9" xfId="0" quotePrefix="1" applyFont="1" applyBorder="1" applyAlignment="1">
      <alignment horizontal="right"/>
    </xf>
    <xf numFmtId="7" fontId="23" fillId="0" borderId="9" xfId="0" applyNumberFormat="1" applyFont="1" applyBorder="1" applyAlignment="1">
      <alignment horizontal="right"/>
    </xf>
    <xf numFmtId="10" fontId="20" fillId="0" borderId="12" xfId="0" applyNumberFormat="1" applyFont="1" applyBorder="1"/>
    <xf numFmtId="0" fontId="20" fillId="0" borderId="12" xfId="0" applyFont="1" applyBorder="1"/>
    <xf numFmtId="0" fontId="41" fillId="0" borderId="0" xfId="0" applyFont="1"/>
    <xf numFmtId="0" fontId="41" fillId="0" borderId="0" xfId="0" applyFont="1" applyProtection="1">
      <protection locked="0"/>
    </xf>
    <xf numFmtId="0" fontId="41" fillId="0" borderId="12" xfId="0" applyFont="1" applyBorder="1"/>
    <xf numFmtId="43" fontId="1" fillId="4" borderId="19" xfId="11" applyNumberFormat="1" applyFont="1" applyFill="1" applyBorder="1"/>
    <xf numFmtId="43" fontId="1" fillId="4" borderId="12" xfId="11" applyNumberFormat="1" applyFont="1" applyFill="1" applyBorder="1"/>
    <xf numFmtId="43" fontId="1" fillId="0" borderId="12" xfId="11" applyNumberFormat="1" applyFont="1" applyFill="1" applyBorder="1"/>
    <xf numFmtId="9" fontId="1" fillId="12" borderId="12" xfId="0" applyNumberFormat="1" applyFont="1" applyFill="1" applyBorder="1"/>
    <xf numFmtId="0" fontId="2" fillId="12" borderId="12" xfId="0" applyFont="1" applyFill="1" applyBorder="1"/>
    <xf numFmtId="43" fontId="0" fillId="0" borderId="0" xfId="0" applyNumberFormat="1"/>
    <xf numFmtId="166" fontId="1" fillId="12" borderId="12" xfId="0" applyNumberFormat="1" applyFont="1" applyFill="1" applyBorder="1"/>
    <xf numFmtId="9" fontId="1" fillId="13" borderId="12" xfId="0" applyNumberFormat="1" applyFont="1" applyFill="1" applyBorder="1"/>
    <xf numFmtId="166" fontId="1" fillId="13" borderId="12" xfId="0" applyNumberFormat="1" applyFont="1" applyFill="1" applyBorder="1"/>
    <xf numFmtId="0" fontId="20" fillId="13" borderId="12" xfId="0" applyFont="1" applyFill="1" applyBorder="1" applyAlignment="1">
      <alignment horizontal="left" vertical="center" wrapText="1"/>
    </xf>
    <xf numFmtId="174" fontId="0" fillId="0" borderId="0" xfId="0" applyNumberFormat="1"/>
    <xf numFmtId="9" fontId="1" fillId="13" borderId="12" xfId="11" applyFont="1" applyFill="1" applyBorder="1"/>
    <xf numFmtId="0" fontId="1" fillId="13" borderId="12" xfId="0" applyFont="1" applyFill="1" applyBorder="1" applyAlignment="1">
      <alignment vertical="center" wrapText="1"/>
    </xf>
    <xf numFmtId="0" fontId="0" fillId="13" borderId="9" xfId="0" applyFill="1" applyBorder="1"/>
    <xf numFmtId="0" fontId="20" fillId="0" borderId="38" xfId="0" applyFont="1" applyBorder="1" applyAlignment="1">
      <alignment horizontal="center"/>
    </xf>
    <xf numFmtId="0" fontId="1" fillId="0" borderId="0" xfId="0" quotePrefix="1" applyFont="1"/>
    <xf numFmtId="0" fontId="5" fillId="0" borderId="0" xfId="0" applyFont="1"/>
    <xf numFmtId="0" fontId="0" fillId="0" borderId="9" xfId="0" applyBorder="1" applyAlignment="1">
      <alignment horizontal="center"/>
    </xf>
    <xf numFmtId="2" fontId="0" fillId="0" borderId="9" xfId="0" applyNumberFormat="1" applyBorder="1"/>
    <xf numFmtId="0" fontId="0" fillId="0" borderId="46" xfId="0" applyBorder="1" applyAlignment="1">
      <alignment horizontal="center"/>
    </xf>
    <xf numFmtId="2" fontId="0" fillId="0" borderId="46" xfId="0" applyNumberFormat="1" applyBorder="1"/>
    <xf numFmtId="0" fontId="0" fillId="4" borderId="47" xfId="0" applyFill="1" applyBorder="1"/>
    <xf numFmtId="0" fontId="0" fillId="4" borderId="48" xfId="0" applyFill="1" applyBorder="1" applyAlignment="1">
      <alignment horizontal="center"/>
    </xf>
    <xf numFmtId="2" fontId="4" fillId="0" borderId="62" xfId="0" applyNumberFormat="1" applyFont="1" applyBorder="1"/>
    <xf numFmtId="0" fontId="0" fillId="4" borderId="0" xfId="0" applyFill="1" applyAlignment="1">
      <alignment horizontal="center"/>
    </xf>
    <xf numFmtId="0" fontId="0" fillId="0" borderId="0" xfId="0" applyAlignment="1">
      <alignment horizontal="center"/>
    </xf>
    <xf numFmtId="2" fontId="0" fillId="0" borderId="0" xfId="0" applyNumberFormat="1"/>
    <xf numFmtId="2" fontId="0" fillId="0" borderId="9" xfId="0" applyNumberFormat="1" applyBorder="1" applyAlignment="1">
      <alignment horizontal="center"/>
    </xf>
    <xf numFmtId="0" fontId="0" fillId="0" borderId="48" xfId="0" applyBorder="1"/>
    <xf numFmtId="2" fontId="4" fillId="0" borderId="9" xfId="0" applyNumberFormat="1" applyFont="1" applyBorder="1"/>
    <xf numFmtId="0" fontId="5" fillId="0" borderId="48" xfId="0" applyFont="1" applyBorder="1"/>
    <xf numFmtId="0" fontId="0" fillId="0" borderId="37" xfId="0" applyBorder="1"/>
    <xf numFmtId="2" fontId="4" fillId="0" borderId="45" xfId="0" applyNumberFormat="1" applyFont="1" applyBorder="1"/>
    <xf numFmtId="2" fontId="0" fillId="0" borderId="46" xfId="0" applyNumberFormat="1" applyBorder="1" applyAlignment="1">
      <alignment horizontal="center"/>
    </xf>
    <xf numFmtId="0" fontId="44" fillId="0" borderId="0" xfId="0" applyFont="1"/>
    <xf numFmtId="0" fontId="4" fillId="0" borderId="62" xfId="0" applyFont="1" applyBorder="1"/>
    <xf numFmtId="0" fontId="4" fillId="4" borderId="62" xfId="0" applyFont="1" applyFill="1" applyBorder="1"/>
    <xf numFmtId="0" fontId="42" fillId="14" borderId="9" xfId="0" applyFont="1" applyFill="1" applyBorder="1"/>
    <xf numFmtId="2" fontId="42" fillId="14" borderId="9" xfId="0" applyNumberFormat="1" applyFont="1" applyFill="1" applyBorder="1"/>
    <xf numFmtId="0" fontId="46" fillId="0" borderId="9" xfId="13" applyFont="1" applyBorder="1" applyAlignment="1">
      <alignment horizontal="center"/>
    </xf>
    <xf numFmtId="0" fontId="46" fillId="0" borderId="46" xfId="13" applyFont="1" applyBorder="1" applyAlignment="1">
      <alignment horizontal="center"/>
    </xf>
    <xf numFmtId="0" fontId="47" fillId="14" borderId="9" xfId="13" applyFont="1" applyFill="1" applyBorder="1"/>
    <xf numFmtId="0" fontId="5" fillId="8" borderId="75" xfId="0" applyFont="1" applyFill="1" applyBorder="1"/>
    <xf numFmtId="175" fontId="20" fillId="3" borderId="30" xfId="0" applyNumberFormat="1" applyFont="1" applyFill="1" applyBorder="1" applyAlignment="1">
      <alignment vertical="center" wrapText="1"/>
    </xf>
    <xf numFmtId="175" fontId="20" fillId="3" borderId="33" xfId="0" applyNumberFormat="1" applyFont="1" applyFill="1" applyBorder="1" applyAlignment="1">
      <alignment vertical="center" wrapText="1"/>
    </xf>
    <xf numFmtId="0" fontId="1" fillId="3" borderId="8" xfId="0" applyFont="1" applyFill="1" applyBorder="1" applyAlignment="1">
      <alignment vertical="center" wrapText="1"/>
    </xf>
    <xf numFmtId="0" fontId="1" fillId="3" borderId="5" xfId="0" applyFont="1" applyFill="1" applyBorder="1" applyAlignment="1">
      <alignment vertical="center" wrapText="1"/>
    </xf>
    <xf numFmtId="0" fontId="0" fillId="0" borderId="57" xfId="0" applyBorder="1"/>
    <xf numFmtId="0" fontId="1" fillId="3" borderId="4" xfId="0" applyFont="1" applyFill="1" applyBorder="1" applyAlignment="1">
      <alignment vertical="center" wrapText="1"/>
    </xf>
    <xf numFmtId="0" fontId="1" fillId="3" borderId="4" xfId="0" applyFont="1" applyFill="1" applyBorder="1" applyAlignment="1">
      <alignment vertical="center"/>
    </xf>
    <xf numFmtId="0" fontId="1" fillId="3" borderId="8" xfId="0" applyFont="1" applyFill="1" applyBorder="1" applyAlignment="1">
      <alignment vertical="center"/>
    </xf>
    <xf numFmtId="0" fontId="1" fillId="3" borderId="5" xfId="0" applyFont="1" applyFill="1" applyBorder="1" applyAlignment="1">
      <alignment vertical="center"/>
    </xf>
    <xf numFmtId="0" fontId="2" fillId="5" borderId="1" xfId="0" applyFont="1" applyFill="1" applyBorder="1" applyAlignment="1">
      <alignment vertical="center"/>
    </xf>
    <xf numFmtId="0" fontId="1" fillId="3" borderId="63" xfId="0" quotePrefix="1" applyFont="1" applyFill="1" applyBorder="1" applyAlignment="1">
      <alignment vertical="center" wrapText="1"/>
    </xf>
    <xf numFmtId="166" fontId="2" fillId="3" borderId="5" xfId="0" applyNumberFormat="1" applyFont="1" applyFill="1" applyBorder="1" applyAlignment="1">
      <alignment horizontal="right" vertical="center" wrapText="1"/>
    </xf>
    <xf numFmtId="0" fontId="1" fillId="3" borderId="63" xfId="0" quotePrefix="1" applyFont="1" applyFill="1" applyBorder="1" applyAlignment="1">
      <alignment vertical="center"/>
    </xf>
    <xf numFmtId="166" fontId="20" fillId="0" borderId="12" xfId="0" applyNumberFormat="1" applyFont="1" applyBorder="1" applyAlignment="1">
      <alignment horizontal="right"/>
    </xf>
    <xf numFmtId="166" fontId="48" fillId="0" borderId="12" xfId="0" applyNumberFormat="1" applyFont="1" applyBorder="1" applyAlignment="1">
      <alignment horizontal="right"/>
    </xf>
    <xf numFmtId="166" fontId="21" fillId="0" borderId="12" xfId="0" applyNumberFormat="1" applyFont="1" applyBorder="1"/>
    <xf numFmtId="166" fontId="20" fillId="0" borderId="21" xfId="0" applyNumberFormat="1" applyFont="1" applyBorder="1" applyAlignment="1">
      <alignment horizontal="right"/>
    </xf>
    <xf numFmtId="166" fontId="20" fillId="0" borderId="21" xfId="0" applyNumberFormat="1" applyFont="1" applyBorder="1"/>
    <xf numFmtId="176" fontId="4" fillId="4" borderId="0" xfId="0" applyNumberFormat="1" applyFont="1" applyFill="1"/>
    <xf numFmtId="0" fontId="0" fillId="15" borderId="0" xfId="0" applyFill="1"/>
    <xf numFmtId="0" fontId="42" fillId="15" borderId="52" xfId="0" applyFont="1" applyFill="1" applyBorder="1" applyAlignment="1">
      <alignment horizontal="center"/>
    </xf>
    <xf numFmtId="0" fontId="42" fillId="15" borderId="79" xfId="0" applyFont="1" applyFill="1" applyBorder="1" applyAlignment="1">
      <alignment horizontal="right"/>
    </xf>
    <xf numFmtId="0" fontId="0" fillId="4" borderId="81" xfId="0" applyFill="1" applyBorder="1"/>
    <xf numFmtId="0" fontId="44" fillId="4" borderId="76" xfId="0" applyFont="1" applyFill="1" applyBorder="1"/>
    <xf numFmtId="0" fontId="44" fillId="4" borderId="47" xfId="0" applyFont="1" applyFill="1" applyBorder="1"/>
    <xf numFmtId="0" fontId="45" fillId="4" borderId="74" xfId="0" applyFont="1" applyFill="1" applyBorder="1" applyAlignment="1">
      <alignment horizontal="right"/>
    </xf>
    <xf numFmtId="0" fontId="44" fillId="4" borderId="62" xfId="0" applyFont="1" applyFill="1" applyBorder="1"/>
    <xf numFmtId="0" fontId="44" fillId="4" borderId="9" xfId="0" applyFont="1" applyFill="1" applyBorder="1"/>
    <xf numFmtId="0" fontId="33" fillId="4" borderId="0" xfId="0" applyFont="1" applyFill="1"/>
    <xf numFmtId="0" fontId="44" fillId="4" borderId="0" xfId="0" applyFont="1" applyFill="1"/>
    <xf numFmtId="170" fontId="44" fillId="4" borderId="78" xfId="11" applyNumberFormat="1" applyFont="1" applyFill="1" applyBorder="1"/>
    <xf numFmtId="170" fontId="44" fillId="4" borderId="47" xfId="11" applyNumberFormat="1" applyFont="1" applyFill="1" applyBorder="1"/>
    <xf numFmtId="0" fontId="42" fillId="15" borderId="84" xfId="0" applyFont="1" applyFill="1" applyBorder="1" applyAlignment="1">
      <alignment horizontal="center"/>
    </xf>
    <xf numFmtId="0" fontId="57" fillId="4" borderId="0" xfId="0" applyFont="1" applyFill="1" applyAlignment="1">
      <alignment vertical="center" wrapText="1"/>
    </xf>
    <xf numFmtId="0" fontId="33" fillId="4" borderId="0" xfId="0" applyFont="1" applyFill="1" applyAlignment="1">
      <alignment vertical="center"/>
    </xf>
    <xf numFmtId="0" fontId="42" fillId="15" borderId="79" xfId="0" applyFont="1" applyFill="1" applyBorder="1" applyAlignment="1">
      <alignment horizontal="right" wrapText="1"/>
    </xf>
    <xf numFmtId="0" fontId="5" fillId="8" borderId="86" xfId="0" applyFont="1" applyFill="1" applyBorder="1"/>
    <xf numFmtId="0" fontId="58" fillId="4" borderId="64" xfId="0" applyFont="1" applyFill="1" applyBorder="1" applyAlignment="1">
      <alignment wrapText="1"/>
    </xf>
    <xf numFmtId="0" fontId="58" fillId="4" borderId="0" xfId="0" applyFont="1" applyFill="1" applyAlignment="1">
      <alignment wrapText="1"/>
    </xf>
    <xf numFmtId="0" fontId="59" fillId="0" borderId="0" xfId="0" applyFont="1" applyAlignment="1">
      <alignment horizontal="right"/>
    </xf>
    <xf numFmtId="1" fontId="60" fillId="0" borderId="40" xfId="0" applyNumberFormat="1" applyFont="1" applyBorder="1"/>
    <xf numFmtId="1" fontId="60" fillId="0" borderId="56" xfId="0" applyNumberFormat="1" applyFont="1" applyBorder="1"/>
    <xf numFmtId="172" fontId="60" fillId="0" borderId="64" xfId="0" applyNumberFormat="1" applyFont="1" applyBorder="1"/>
    <xf numFmtId="0" fontId="0" fillId="0" borderId="48" xfId="0" applyBorder="1" applyAlignment="1">
      <alignment horizontal="center"/>
    </xf>
    <xf numFmtId="0" fontId="42" fillId="15" borderId="76" xfId="0" applyFont="1" applyFill="1" applyBorder="1" applyAlignment="1">
      <alignment horizontal="right"/>
    </xf>
    <xf numFmtId="0" fontId="42" fillId="15" borderId="47" xfId="0" applyFont="1" applyFill="1" applyBorder="1" applyAlignment="1">
      <alignment horizontal="right"/>
    </xf>
    <xf numFmtId="172" fontId="60" fillId="0" borderId="40" xfId="0" applyNumberFormat="1" applyFont="1" applyBorder="1"/>
    <xf numFmtId="0" fontId="59" fillId="0" borderId="55" xfId="0" applyFont="1" applyBorder="1" applyAlignment="1">
      <alignment horizontal="right"/>
    </xf>
    <xf numFmtId="0" fontId="5" fillId="0" borderId="53" xfId="0" applyFont="1" applyBorder="1" applyAlignment="1">
      <alignment horizontal="right"/>
    </xf>
    <xf numFmtId="9" fontId="60" fillId="0" borderId="40" xfId="0" applyNumberFormat="1" applyFont="1" applyBorder="1"/>
    <xf numFmtId="166" fontId="20" fillId="0" borderId="23" xfId="0" applyNumberFormat="1" applyFont="1" applyBorder="1"/>
    <xf numFmtId="2" fontId="4" fillId="4" borderId="0" xfId="0" applyNumberFormat="1" applyFont="1" applyFill="1"/>
    <xf numFmtId="170" fontId="28" fillId="0" borderId="46" xfId="13" applyNumberFormat="1" applyFont="1" applyBorder="1" applyAlignment="1">
      <alignment horizontal="center" wrapText="1"/>
    </xf>
    <xf numFmtId="172" fontId="0" fillId="0" borderId="53" xfId="0" applyNumberFormat="1" applyBorder="1"/>
    <xf numFmtId="172" fontId="0" fillId="0" borderId="53" xfId="0" applyNumberFormat="1" applyBorder="1" applyAlignment="1">
      <alignment horizontal="right"/>
    </xf>
    <xf numFmtId="172" fontId="0" fillId="0" borderId="64" xfId="0" applyNumberFormat="1" applyBorder="1" applyAlignment="1">
      <alignment horizontal="right"/>
    </xf>
    <xf numFmtId="166" fontId="0" fillId="0" borderId="0" xfId="0" applyNumberFormat="1"/>
    <xf numFmtId="0" fontId="53" fillId="4" borderId="0" xfId="0" applyFont="1" applyFill="1" applyAlignment="1">
      <alignment vertical="center" wrapText="1"/>
    </xf>
    <xf numFmtId="0" fontId="0" fillId="4" borderId="53" xfId="0" applyFill="1" applyBorder="1"/>
    <xf numFmtId="172" fontId="33" fillId="0" borderId="53" xfId="0" applyNumberFormat="1" applyFont="1" applyBorder="1" applyAlignment="1">
      <alignment horizontal="right"/>
    </xf>
    <xf numFmtId="172" fontId="19" fillId="0" borderId="20" xfId="0" applyNumberFormat="1" applyFont="1" applyBorder="1"/>
    <xf numFmtId="172" fontId="19" fillId="0" borderId="12" xfId="0" applyNumberFormat="1" applyFont="1" applyBorder="1"/>
    <xf numFmtId="9" fontId="18" fillId="0" borderId="9" xfId="11" applyFont="1" applyFill="1" applyBorder="1"/>
    <xf numFmtId="172" fontId="1" fillId="0" borderId="0" xfId="0" applyNumberFormat="1" applyFont="1"/>
    <xf numFmtId="166" fontId="1" fillId="13" borderId="12" xfId="11" applyNumberFormat="1" applyFont="1" applyFill="1" applyBorder="1"/>
    <xf numFmtId="166" fontId="1" fillId="12" borderId="12" xfId="12" applyNumberFormat="1" applyFont="1" applyFill="1" applyBorder="1"/>
    <xf numFmtId="9" fontId="39" fillId="0" borderId="9" xfId="11" applyFont="1" applyFill="1" applyBorder="1" applyAlignment="1">
      <alignment horizontal="right"/>
    </xf>
    <xf numFmtId="0" fontId="55" fillId="4" borderId="0" xfId="0" applyFont="1" applyFill="1" applyAlignment="1">
      <alignment vertical="top" wrapText="1"/>
    </xf>
    <xf numFmtId="0" fontId="5" fillId="0" borderId="0" xfId="0" applyFont="1" applyAlignment="1">
      <alignment horizontal="right" vertical="center"/>
    </xf>
    <xf numFmtId="0" fontId="0" fillId="0" borderId="0" xfId="0" applyAlignment="1">
      <alignment vertical="center"/>
    </xf>
    <xf numFmtId="4" fontId="0" fillId="0" borderId="0" xfId="0" applyNumberFormat="1" applyAlignment="1">
      <alignment horizontal="center"/>
    </xf>
    <xf numFmtId="0" fontId="58" fillId="4" borderId="0" xfId="0" applyFont="1" applyFill="1" applyAlignment="1">
      <alignment vertical="top" wrapText="1"/>
    </xf>
    <xf numFmtId="2" fontId="41" fillId="0" borderId="12" xfId="0" applyNumberFormat="1" applyFont="1" applyBorder="1" applyProtection="1">
      <protection locked="0"/>
    </xf>
    <xf numFmtId="0" fontId="63" fillId="0" borderId="0" xfId="0" applyFont="1"/>
    <xf numFmtId="0" fontId="0" fillId="8" borderId="52" xfId="0" applyFill="1" applyBorder="1" applyAlignment="1">
      <alignment horizontal="left" vertical="center"/>
    </xf>
    <xf numFmtId="0" fontId="0" fillId="0" borderId="89" xfId="0" applyBorder="1" applyAlignment="1">
      <alignment horizontal="right"/>
    </xf>
    <xf numFmtId="2" fontId="0" fillId="0" borderId="89" xfId="0" applyNumberFormat="1" applyBorder="1"/>
    <xf numFmtId="0" fontId="45" fillId="0" borderId="0" xfId="0" applyFont="1" applyAlignment="1">
      <alignment horizontal="right"/>
    </xf>
    <xf numFmtId="2" fontId="44" fillId="0" borderId="0" xfId="0" applyNumberFormat="1" applyFont="1"/>
    <xf numFmtId="0" fontId="0" fillId="0" borderId="69" xfId="0" applyBorder="1" applyAlignment="1">
      <alignment vertical="center"/>
    </xf>
    <xf numFmtId="2" fontId="4" fillId="0" borderId="89" xfId="0" applyNumberFormat="1" applyFont="1" applyBorder="1"/>
    <xf numFmtId="0" fontId="33" fillId="8" borderId="52" xfId="0" applyFont="1" applyFill="1" applyBorder="1"/>
    <xf numFmtId="166" fontId="60" fillId="0" borderId="53" xfId="0" applyNumberFormat="1" applyFont="1" applyBorder="1"/>
    <xf numFmtId="166" fontId="60" fillId="0" borderId="0" xfId="0" applyNumberFormat="1" applyFont="1"/>
    <xf numFmtId="164" fontId="18" fillId="0" borderId="0" xfId="12" applyNumberFormat="1" applyFont="1" applyBorder="1"/>
    <xf numFmtId="167" fontId="20" fillId="0" borderId="9" xfId="11" applyNumberFormat="1" applyFont="1" applyFill="1" applyBorder="1"/>
    <xf numFmtId="42" fontId="60" fillId="0" borderId="9" xfId="0" applyNumberFormat="1" applyFont="1" applyBorder="1"/>
    <xf numFmtId="42" fontId="60" fillId="0" borderId="0" xfId="0" applyNumberFormat="1" applyFont="1"/>
    <xf numFmtId="170" fontId="4" fillId="4" borderId="0" xfId="0" applyNumberFormat="1" applyFont="1" applyFill="1"/>
    <xf numFmtId="0" fontId="4" fillId="4" borderId="81" xfId="0" applyFont="1" applyFill="1" applyBorder="1" applyAlignment="1">
      <alignment horizontal="left" vertical="center" wrapText="1"/>
    </xf>
    <xf numFmtId="0" fontId="42" fillId="15" borderId="82" xfId="0" applyFont="1" applyFill="1" applyBorder="1" applyAlignment="1">
      <alignment horizontal="right" vertical="center" wrapText="1"/>
    </xf>
    <xf numFmtId="0" fontId="50" fillId="15" borderId="80" xfId="0" applyFont="1" applyFill="1" applyBorder="1" applyAlignment="1">
      <alignment horizontal="center" vertical="center" wrapText="1"/>
    </xf>
    <xf numFmtId="0" fontId="0" fillId="4" borderId="0" xfId="0" applyFill="1" applyAlignment="1">
      <alignment horizontal="center" vertical="center" wrapText="1"/>
    </xf>
    <xf numFmtId="0" fontId="33" fillId="4" borderId="0" xfId="0" applyFont="1" applyFill="1" applyAlignment="1">
      <alignment horizontal="right" vertical="center" wrapText="1"/>
    </xf>
    <xf numFmtId="0" fontId="42" fillId="4" borderId="0" xfId="0" applyFont="1" applyFill="1" applyAlignment="1">
      <alignment horizontal="right" vertical="center" wrapText="1"/>
    </xf>
    <xf numFmtId="0" fontId="57" fillId="4" borderId="0" xfId="0" applyFont="1" applyFill="1" applyAlignment="1">
      <alignment horizontal="center" vertical="center" wrapText="1"/>
    </xf>
    <xf numFmtId="0" fontId="1" fillId="4" borderId="62" xfId="0" applyFont="1" applyFill="1" applyBorder="1" applyAlignment="1">
      <alignment wrapText="1"/>
    </xf>
    <xf numFmtId="0" fontId="1" fillId="4" borderId="62" xfId="0" applyFont="1" applyFill="1" applyBorder="1"/>
    <xf numFmtId="0" fontId="5" fillId="0" borderId="54" xfId="0" applyFont="1" applyBorder="1" applyAlignment="1">
      <alignment horizontal="right"/>
    </xf>
    <xf numFmtId="175" fontId="20" fillId="0" borderId="33" xfId="0" applyNumberFormat="1" applyFont="1" applyBorder="1" applyAlignment="1">
      <alignment vertical="center"/>
    </xf>
    <xf numFmtId="170" fontId="44" fillId="4" borderId="46" xfId="11" applyNumberFormat="1" applyFont="1" applyFill="1" applyBorder="1"/>
    <xf numFmtId="166" fontId="1" fillId="4" borderId="23" xfId="0" applyNumberFormat="1" applyFont="1" applyFill="1" applyBorder="1"/>
    <xf numFmtId="166" fontId="2" fillId="4" borderId="23" xfId="0" applyNumberFormat="1" applyFont="1" applyFill="1" applyBorder="1"/>
    <xf numFmtId="166" fontId="21" fillId="4" borderId="12" xfId="0" applyNumberFormat="1" applyFont="1" applyFill="1" applyBorder="1"/>
    <xf numFmtId="166" fontId="20" fillId="4" borderId="12" xfId="0" applyNumberFormat="1" applyFont="1" applyFill="1" applyBorder="1"/>
    <xf numFmtId="166" fontId="48" fillId="0" borderId="9" xfId="0" applyNumberFormat="1" applyFont="1" applyBorder="1" applyAlignment="1">
      <alignment horizontal="right"/>
    </xf>
    <xf numFmtId="9" fontId="20" fillId="0" borderId="9" xfId="11" applyFont="1" applyBorder="1" applyAlignment="1" applyProtection="1">
      <alignment horizontal="center"/>
      <protection locked="0"/>
    </xf>
    <xf numFmtId="0" fontId="4" fillId="8" borderId="89" xfId="0" applyFont="1" applyFill="1" applyBorder="1" applyAlignment="1">
      <alignment vertical="center"/>
    </xf>
    <xf numFmtId="0" fontId="4" fillId="8" borderId="11" xfId="0" applyFont="1" applyFill="1" applyBorder="1" applyAlignment="1">
      <alignment vertical="center"/>
    </xf>
    <xf numFmtId="0" fontId="4" fillId="4" borderId="89" xfId="0" applyFont="1" applyFill="1" applyBorder="1"/>
    <xf numFmtId="0" fontId="4" fillId="4" borderId="11" xfId="0" applyFont="1" applyFill="1" applyBorder="1"/>
    <xf numFmtId="0" fontId="4" fillId="4" borderId="10" xfId="0" applyFont="1" applyFill="1" applyBorder="1"/>
    <xf numFmtId="175" fontId="20" fillId="3" borderId="33" xfId="0" applyNumberFormat="1" applyFont="1" applyFill="1" applyBorder="1" applyAlignment="1">
      <alignment vertical="center"/>
    </xf>
    <xf numFmtId="0" fontId="20" fillId="0" borderId="0" xfId="0" applyFont="1"/>
    <xf numFmtId="171" fontId="20" fillId="0" borderId="0" xfId="0" applyNumberFormat="1" applyFont="1"/>
    <xf numFmtId="172" fontId="20" fillId="0" borderId="20" xfId="0" applyNumberFormat="1" applyFont="1" applyBorder="1"/>
    <xf numFmtId="172" fontId="20" fillId="0" borderId="12" xfId="0" applyNumberFormat="1" applyFont="1" applyBorder="1"/>
    <xf numFmtId="0" fontId="65" fillId="0" borderId="0" xfId="0" applyFont="1"/>
    <xf numFmtId="1" fontId="20" fillId="0" borderId="20" xfId="0" applyNumberFormat="1" applyFont="1" applyBorder="1"/>
    <xf numFmtId="0" fontId="21" fillId="0" borderId="12" xfId="0" applyFont="1" applyBorder="1"/>
    <xf numFmtId="0" fontId="21" fillId="0" borderId="0" xfId="0" applyFont="1"/>
    <xf numFmtId="0" fontId="1" fillId="0" borderId="96" xfId="0" applyFont="1" applyBorder="1"/>
    <xf numFmtId="166" fontId="19" fillId="4" borderId="12" xfId="0" applyNumberFormat="1" applyFont="1" applyFill="1" applyBorder="1"/>
    <xf numFmtId="166" fontId="19" fillId="0" borderId="8" xfId="0" applyNumberFormat="1" applyFont="1" applyBorder="1" applyAlignment="1">
      <alignment vertical="center" wrapText="1"/>
    </xf>
    <xf numFmtId="9" fontId="0" fillId="0" borderId="0" xfId="0" applyNumberFormat="1"/>
    <xf numFmtId="44" fontId="1" fillId="0" borderId="3" xfId="0" applyNumberFormat="1" applyFont="1" applyBorder="1" applyAlignment="1">
      <alignment vertical="center" wrapText="1"/>
    </xf>
    <xf numFmtId="166" fontId="2" fillId="0" borderId="5" xfId="0" applyNumberFormat="1" applyFont="1" applyBorder="1" applyAlignment="1">
      <alignment horizontal="right" vertical="center"/>
    </xf>
    <xf numFmtId="44" fontId="1" fillId="0" borderId="3" xfId="0" applyNumberFormat="1" applyFont="1" applyBorder="1" applyAlignment="1">
      <alignment vertical="center"/>
    </xf>
    <xf numFmtId="166" fontId="2" fillId="4" borderId="12" xfId="0" applyNumberFormat="1" applyFont="1" applyFill="1" applyBorder="1"/>
    <xf numFmtId="166" fontId="2" fillId="0" borderId="0" xfId="0" applyNumberFormat="1" applyFont="1" applyAlignment="1">
      <alignment horizontal="right" vertical="center" wrapText="1"/>
    </xf>
    <xf numFmtId="166" fontId="2" fillId="0" borderId="0" xfId="0" applyNumberFormat="1" applyFont="1" applyAlignment="1">
      <alignment horizontal="right" vertical="center"/>
    </xf>
    <xf numFmtId="166" fontId="2" fillId="0" borderId="12" xfId="0" applyNumberFormat="1" applyFont="1" applyBorder="1"/>
    <xf numFmtId="9" fontId="60" fillId="0" borderId="55" xfId="11" applyFont="1" applyFill="1" applyBorder="1"/>
    <xf numFmtId="166" fontId="16" fillId="0" borderId="9" xfId="0" applyNumberFormat="1" applyFont="1" applyBorder="1"/>
    <xf numFmtId="9" fontId="66" fillId="0" borderId="0" xfId="11" applyFont="1"/>
    <xf numFmtId="166" fontId="2" fillId="0" borderId="12" xfId="0" applyNumberFormat="1" applyFont="1" applyBorder="1" applyAlignment="1">
      <alignment horizontal="right" vertical="center" wrapText="1"/>
    </xf>
    <xf numFmtId="0" fontId="14" fillId="0" borderId="9" xfId="0" applyFont="1" applyBorder="1"/>
    <xf numFmtId="2" fontId="0" fillId="0" borderId="53" xfId="0" applyNumberFormat="1" applyBorder="1"/>
    <xf numFmtId="2" fontId="0" fillId="0" borderId="64" xfId="0" applyNumberFormat="1" applyBorder="1"/>
    <xf numFmtId="172" fontId="60" fillId="4" borderId="57" xfId="0" applyNumberFormat="1" applyFont="1" applyFill="1" applyBorder="1"/>
    <xf numFmtId="2" fontId="19" fillId="0" borderId="12" xfId="0" applyNumberFormat="1" applyFont="1" applyBorder="1"/>
    <xf numFmtId="2" fontId="37" fillId="0" borderId="12" xfId="0" applyNumberFormat="1" applyFont="1" applyBorder="1"/>
    <xf numFmtId="0" fontId="66" fillId="0" borderId="0" xfId="0" applyFont="1"/>
    <xf numFmtId="0" fontId="67" fillId="4" borderId="53" xfId="0" applyFont="1" applyFill="1" applyBorder="1"/>
    <xf numFmtId="0" fontId="2" fillId="0" borderId="12" xfId="0" applyFont="1" applyBorder="1" applyAlignment="1">
      <alignment vertical="center" wrapText="1"/>
    </xf>
    <xf numFmtId="0" fontId="2" fillId="0" borderId="12" xfId="0" applyFont="1" applyBorder="1" applyAlignment="1">
      <alignment vertical="center"/>
    </xf>
    <xf numFmtId="0" fontId="42" fillId="15" borderId="0" xfId="0" applyFont="1" applyFill="1" applyAlignment="1">
      <alignment horizontal="center"/>
    </xf>
    <xf numFmtId="170" fontId="44" fillId="4" borderId="9" xfId="11" applyNumberFormat="1" applyFont="1" applyFill="1" applyBorder="1"/>
    <xf numFmtId="0" fontId="29" fillId="0" borderId="9" xfId="13" applyFont="1" applyBorder="1" applyAlignment="1">
      <alignment horizontal="right"/>
    </xf>
    <xf numFmtId="170" fontId="0" fillId="0" borderId="9" xfId="0" applyNumberFormat="1" applyBorder="1"/>
    <xf numFmtId="0" fontId="0" fillId="0" borderId="9" xfId="0" quotePrefix="1" applyBorder="1" applyAlignment="1">
      <alignment horizontal="center"/>
    </xf>
    <xf numFmtId="0" fontId="32" fillId="0" borderId="46" xfId="0" applyFont="1" applyBorder="1" applyAlignment="1">
      <alignment horizontal="right" vertical="top" wrapText="1"/>
    </xf>
    <xf numFmtId="170" fontId="0" fillId="0" borderId="46" xfId="0" applyNumberFormat="1" applyBorder="1"/>
    <xf numFmtId="2" fontId="44" fillId="0" borderId="64" xfId="0" applyNumberFormat="1" applyFont="1" applyBorder="1" applyAlignment="1">
      <alignment horizontal="right"/>
    </xf>
    <xf numFmtId="0" fontId="2" fillId="5" borderId="14" xfId="0" applyFont="1" applyFill="1" applyBorder="1" applyAlignment="1">
      <alignment vertical="center" wrapText="1"/>
    </xf>
    <xf numFmtId="0" fontId="44" fillId="4" borderId="9" xfId="0" applyFont="1" applyFill="1" applyBorder="1" applyAlignment="1">
      <alignment horizontal="center"/>
    </xf>
    <xf numFmtId="0" fontId="42" fillId="4" borderId="9" xfId="0" applyFont="1" applyFill="1" applyBorder="1"/>
    <xf numFmtId="2" fontId="42" fillId="4" borderId="9" xfId="0" applyNumberFormat="1" applyFont="1" applyFill="1" applyBorder="1"/>
    <xf numFmtId="2" fontId="0" fillId="4" borderId="9" xfId="0" applyNumberFormat="1" applyFill="1" applyBorder="1"/>
    <xf numFmtId="0" fontId="0" fillId="4" borderId="46" xfId="0" applyFill="1" applyBorder="1"/>
    <xf numFmtId="2" fontId="4" fillId="4" borderId="62" xfId="0" applyNumberFormat="1" applyFont="1" applyFill="1" applyBorder="1"/>
    <xf numFmtId="0" fontId="4" fillId="4" borderId="64" xfId="0" applyFont="1" applyFill="1" applyBorder="1"/>
    <xf numFmtId="0" fontId="5" fillId="4" borderId="9" xfId="0" applyFont="1" applyFill="1" applyBorder="1" applyAlignment="1">
      <alignment horizontal="right"/>
    </xf>
    <xf numFmtId="0" fontId="60" fillId="4" borderId="9" xfId="0" applyFont="1" applyFill="1" applyBorder="1"/>
    <xf numFmtId="0" fontId="1" fillId="4" borderId="9" xfId="0" applyFont="1" applyFill="1" applyBorder="1"/>
    <xf numFmtId="0" fontId="0" fillId="4" borderId="45" xfId="0" applyFill="1" applyBorder="1" applyAlignment="1">
      <alignment horizontal="right"/>
    </xf>
    <xf numFmtId="2" fontId="0" fillId="4" borderId="9" xfId="0" applyNumberFormat="1" applyFill="1" applyBorder="1" applyAlignment="1">
      <alignment horizontal="right"/>
    </xf>
    <xf numFmtId="0" fontId="0" fillId="4" borderId="9" xfId="0" applyFill="1" applyBorder="1" applyAlignment="1">
      <alignment horizontal="left"/>
    </xf>
    <xf numFmtId="0" fontId="1" fillId="3" borderId="97" xfId="0" applyFont="1" applyFill="1" applyBorder="1"/>
    <xf numFmtId="9" fontId="1" fillId="3" borderId="98" xfId="0" applyNumberFormat="1" applyFont="1" applyFill="1" applyBorder="1"/>
    <xf numFmtId="166" fontId="1" fillId="3" borderId="26" xfId="0" applyNumberFormat="1" applyFont="1" applyFill="1" applyBorder="1" applyAlignment="1">
      <alignment horizontal="right" vertical="center" wrapText="1"/>
    </xf>
    <xf numFmtId="0" fontId="1" fillId="3" borderId="99" xfId="0" applyFont="1" applyFill="1" applyBorder="1" applyAlignment="1">
      <alignment vertical="center" wrapText="1"/>
    </xf>
    <xf numFmtId="166" fontId="1" fillId="3" borderId="101" xfId="0" applyNumberFormat="1" applyFont="1" applyFill="1" applyBorder="1" applyAlignment="1">
      <alignment horizontal="right" vertical="center" wrapText="1"/>
    </xf>
    <xf numFmtId="0" fontId="0" fillId="8" borderId="40" xfId="0" applyFill="1" applyBorder="1"/>
    <xf numFmtId="0" fontId="0" fillId="8" borderId="60" xfId="0" applyFill="1" applyBorder="1"/>
    <xf numFmtId="0" fontId="4" fillId="4" borderId="44" xfId="0" applyFont="1" applyFill="1" applyBorder="1" applyAlignment="1">
      <alignment horizontal="center"/>
    </xf>
    <xf numFmtId="0" fontId="44" fillId="4" borderId="46" xfId="0" applyFont="1" applyFill="1" applyBorder="1" applyAlignment="1">
      <alignment horizontal="center"/>
    </xf>
    <xf numFmtId="0" fontId="4" fillId="4" borderId="48" xfId="0" applyFont="1" applyFill="1" applyBorder="1" applyAlignment="1">
      <alignment horizontal="right"/>
    </xf>
    <xf numFmtId="9" fontId="60" fillId="0" borderId="40" xfId="11" applyFont="1" applyFill="1" applyBorder="1"/>
    <xf numFmtId="0" fontId="68" fillId="14" borderId="0" xfId="0" applyFont="1" applyFill="1"/>
    <xf numFmtId="0" fontId="38" fillId="14" borderId="0" xfId="0" applyFont="1" applyFill="1"/>
    <xf numFmtId="0" fontId="0" fillId="14" borderId="0" xfId="0" applyFill="1"/>
    <xf numFmtId="0" fontId="0" fillId="4" borderId="44" xfId="0" applyFill="1" applyBorder="1" applyAlignment="1">
      <alignment horizontal="center"/>
    </xf>
    <xf numFmtId="0" fontId="0" fillId="4" borderId="44" xfId="0" applyFill="1" applyBorder="1"/>
    <xf numFmtId="0" fontId="4" fillId="4" borderId="9" xfId="0" applyFont="1" applyFill="1" applyBorder="1"/>
    <xf numFmtId="0" fontId="42" fillId="14" borderId="45" xfId="0" applyFont="1" applyFill="1" applyBorder="1"/>
    <xf numFmtId="172" fontId="33" fillId="0" borderId="58" xfId="0" applyNumberFormat="1" applyFont="1" applyBorder="1" applyAlignment="1">
      <alignment horizontal="right"/>
    </xf>
    <xf numFmtId="171" fontId="33" fillId="0" borderId="52" xfId="0" applyNumberFormat="1" applyFont="1" applyBorder="1"/>
    <xf numFmtId="171" fontId="4" fillId="0" borderId="52" xfId="0" applyNumberFormat="1" applyFont="1" applyBorder="1"/>
    <xf numFmtId="0" fontId="0" fillId="4" borderId="69" xfId="0" applyFill="1" applyBorder="1"/>
    <xf numFmtId="0" fontId="0" fillId="8" borderId="75" xfId="0" applyFill="1" applyBorder="1"/>
    <xf numFmtId="165" fontId="0" fillId="0" borderId="0" xfId="0" applyNumberFormat="1"/>
    <xf numFmtId="177" fontId="1" fillId="0" borderId="5" xfId="0" applyNumberFormat="1" applyFont="1" applyBorder="1" applyAlignment="1">
      <alignment vertical="center" wrapText="1"/>
    </xf>
    <xf numFmtId="0" fontId="42" fillId="4" borderId="89" xfId="0" applyFont="1" applyFill="1" applyBorder="1"/>
    <xf numFmtId="9" fontId="44" fillId="4" borderId="62" xfId="11" applyFont="1" applyFill="1" applyBorder="1"/>
    <xf numFmtId="9" fontId="45" fillId="4" borderId="74" xfId="0" applyNumberFormat="1" applyFont="1" applyFill="1" applyBorder="1" applyAlignment="1">
      <alignment horizontal="right"/>
    </xf>
    <xf numFmtId="0" fontId="69" fillId="0" borderId="9" xfId="13" applyFont="1" applyBorder="1" applyAlignment="1">
      <alignment horizontal="left"/>
    </xf>
    <xf numFmtId="0" fontId="70" fillId="0" borderId="9" xfId="13" applyFont="1" applyBorder="1" applyAlignment="1">
      <alignment horizontal="center"/>
    </xf>
    <xf numFmtId="0" fontId="29" fillId="0" borderId="45" xfId="13" applyFont="1" applyBorder="1" applyAlignment="1">
      <alignment horizontal="right"/>
    </xf>
    <xf numFmtId="0" fontId="46" fillId="0" borderId="45" xfId="13" applyFont="1" applyBorder="1" applyAlignment="1">
      <alignment horizontal="center"/>
    </xf>
    <xf numFmtId="0" fontId="70" fillId="0" borderId="45" xfId="13" applyFont="1" applyBorder="1" applyAlignment="1">
      <alignment horizontal="center"/>
    </xf>
    <xf numFmtId="170" fontId="28" fillId="0" borderId="45" xfId="13" applyNumberFormat="1" applyFont="1" applyBorder="1" applyAlignment="1">
      <alignment wrapText="1"/>
    </xf>
    <xf numFmtId="0" fontId="29" fillId="0" borderId="46" xfId="13" applyFont="1" applyBorder="1" applyAlignment="1">
      <alignment horizontal="right"/>
    </xf>
    <xf numFmtId="0" fontId="70" fillId="0" borderId="46" xfId="13" applyFont="1" applyBorder="1" applyAlignment="1">
      <alignment horizontal="center"/>
    </xf>
    <xf numFmtId="0" fontId="47" fillId="0" borderId="9" xfId="13" applyFont="1" applyBorder="1"/>
    <xf numFmtId="0" fontId="71" fillId="0" borderId="9" xfId="13" applyFont="1" applyBorder="1" applyAlignment="1">
      <alignment horizontal="center"/>
    </xf>
    <xf numFmtId="2" fontId="72" fillId="0" borderId="9" xfId="13" applyNumberFormat="1" applyFont="1" applyBorder="1"/>
    <xf numFmtId="2" fontId="0" fillId="0" borderId="45" xfId="0" applyNumberFormat="1" applyBorder="1"/>
    <xf numFmtId="2" fontId="47" fillId="0" borderId="9" xfId="13" applyNumberFormat="1" applyFont="1" applyBorder="1"/>
    <xf numFmtId="0" fontId="4" fillId="4" borderId="0" xfId="0" applyFont="1" applyFill="1" applyAlignment="1">
      <alignment wrapText="1"/>
    </xf>
    <xf numFmtId="0" fontId="47" fillId="14" borderId="9" xfId="13" applyFont="1" applyFill="1" applyBorder="1" applyAlignment="1">
      <alignment wrapText="1"/>
    </xf>
    <xf numFmtId="0" fontId="42" fillId="14" borderId="9" xfId="0" applyFont="1" applyFill="1" applyBorder="1" applyAlignment="1">
      <alignment wrapText="1"/>
    </xf>
    <xf numFmtId="0" fontId="4" fillId="0" borderId="0" xfId="0" applyFont="1" applyAlignment="1">
      <alignment wrapText="1"/>
    </xf>
    <xf numFmtId="167" fontId="20" fillId="0" borderId="0" xfId="11" applyNumberFormat="1" applyFont="1" applyBorder="1"/>
    <xf numFmtId="173" fontId="0" fillId="0" borderId="54" xfId="11" applyNumberFormat="1" applyFont="1" applyFill="1" applyBorder="1" applyAlignment="1">
      <alignment horizontal="right"/>
    </xf>
    <xf numFmtId="166" fontId="48" fillId="0" borderId="96" xfId="0" applyNumberFormat="1" applyFont="1" applyBorder="1" applyAlignment="1">
      <alignment horizontal="right"/>
    </xf>
    <xf numFmtId="166" fontId="21" fillId="0" borderId="21" xfId="0" applyNumberFormat="1" applyFont="1" applyBorder="1"/>
    <xf numFmtId="173" fontId="0" fillId="0" borderId="0" xfId="11" applyNumberFormat="1" applyFont="1" applyFill="1" applyBorder="1" applyAlignment="1">
      <alignment horizontal="right"/>
    </xf>
    <xf numFmtId="172" fontId="0" fillId="0" borderId="40" xfId="0" applyNumberFormat="1" applyBorder="1"/>
    <xf numFmtId="166" fontId="0" fillId="0" borderId="0" xfId="12" applyNumberFormat="1" applyFont="1" applyFill="1"/>
    <xf numFmtId="172" fontId="44" fillId="4" borderId="57" xfId="0" applyNumberFormat="1" applyFont="1" applyFill="1" applyBorder="1"/>
    <xf numFmtId="171" fontId="73" fillId="0" borderId="0" xfId="0" applyNumberFormat="1" applyFont="1"/>
    <xf numFmtId="0" fontId="5" fillId="0" borderId="53" xfId="0" applyFont="1" applyBorder="1"/>
    <xf numFmtId="0" fontId="60" fillId="0" borderId="0" xfId="0" applyFont="1"/>
    <xf numFmtId="0" fontId="74" fillId="0" borderId="0" xfId="0" applyFont="1"/>
    <xf numFmtId="0" fontId="4" fillId="15" borderId="0" xfId="0" applyFont="1" applyFill="1"/>
    <xf numFmtId="0" fontId="4" fillId="8" borderId="9" xfId="0" applyFont="1" applyFill="1" applyBorder="1"/>
    <xf numFmtId="2" fontId="0" fillId="0" borderId="0" xfId="11" applyNumberFormat="1" applyFont="1" applyFill="1"/>
    <xf numFmtId="9" fontId="0" fillId="0" borderId="0" xfId="11" applyFont="1" applyFill="1"/>
    <xf numFmtId="2" fontId="60" fillId="0" borderId="0" xfId="0" applyNumberFormat="1" applyFont="1"/>
    <xf numFmtId="166" fontId="1" fillId="0" borderId="70" xfId="0" applyNumberFormat="1" applyFont="1" applyBorder="1"/>
    <xf numFmtId="166" fontId="2" fillId="0" borderId="23" xfId="0" applyNumberFormat="1" applyFont="1" applyBorder="1"/>
    <xf numFmtId="166" fontId="0" fillId="0" borderId="9" xfId="0" applyNumberFormat="1" applyBorder="1"/>
    <xf numFmtId="166" fontId="2" fillId="0" borderId="18" xfId="0" applyNumberFormat="1" applyFont="1" applyBorder="1" applyAlignment="1">
      <alignment horizontal="right" vertical="center"/>
    </xf>
    <xf numFmtId="9" fontId="1" fillId="0" borderId="13" xfId="0" applyNumberFormat="1" applyFont="1" applyBorder="1" applyAlignment="1">
      <alignment vertical="center"/>
    </xf>
    <xf numFmtId="0" fontId="1" fillId="0" borderId="29" xfId="0" applyFont="1" applyBorder="1" applyAlignment="1">
      <alignment vertical="center"/>
    </xf>
    <xf numFmtId="166" fontId="1" fillId="0" borderId="29" xfId="0" applyNumberFormat="1" applyFont="1" applyBorder="1" applyAlignment="1">
      <alignment vertical="center"/>
    </xf>
    <xf numFmtId="166" fontId="19" fillId="0" borderId="12" xfId="0" applyNumberFormat="1" applyFont="1" applyBorder="1"/>
    <xf numFmtId="166" fontId="19" fillId="0" borderId="12" xfId="0" applyNumberFormat="1" applyFont="1" applyBorder="1" applyAlignment="1">
      <alignment horizontal="right" vertical="center"/>
    </xf>
    <xf numFmtId="0" fontId="1" fillId="0" borderId="72" xfId="0" applyFont="1" applyBorder="1" applyProtection="1">
      <protection locked="0"/>
    </xf>
    <xf numFmtId="9" fontId="39" fillId="0" borderId="0" xfId="11" applyFont="1" applyFill="1" applyBorder="1" applyAlignment="1">
      <alignment horizontal="right"/>
    </xf>
    <xf numFmtId="0" fontId="4" fillId="0" borderId="9" xfId="0" applyFont="1" applyBorder="1"/>
    <xf numFmtId="0" fontId="21" fillId="0" borderId="9" xfId="0" applyFont="1" applyBorder="1"/>
    <xf numFmtId="178" fontId="0" fillId="0" borderId="9" xfId="0" applyNumberFormat="1" applyBorder="1"/>
    <xf numFmtId="166" fontId="19" fillId="17" borderId="12" xfId="0" applyNumberFormat="1" applyFont="1" applyFill="1" applyBorder="1"/>
    <xf numFmtId="166" fontId="20" fillId="17" borderId="12" xfId="0" applyNumberFormat="1" applyFont="1" applyFill="1" applyBorder="1"/>
    <xf numFmtId="0" fontId="0" fillId="17" borderId="0" xfId="0" applyFill="1"/>
    <xf numFmtId="166" fontId="1" fillId="17" borderId="70" xfId="0" applyNumberFormat="1" applyFont="1" applyFill="1" applyBorder="1"/>
    <xf numFmtId="9" fontId="20" fillId="17" borderId="12" xfId="0" applyNumberFormat="1" applyFont="1" applyFill="1" applyBorder="1"/>
    <xf numFmtId="166" fontId="1" fillId="17" borderId="12" xfId="0" applyNumberFormat="1" applyFont="1" applyFill="1" applyBorder="1"/>
    <xf numFmtId="0" fontId="5" fillId="0" borderId="55" xfId="0" applyFont="1" applyBorder="1" applyAlignment="1">
      <alignment horizontal="right"/>
    </xf>
    <xf numFmtId="1" fontId="60" fillId="0" borderId="64" xfId="0" applyNumberFormat="1" applyFont="1" applyBorder="1"/>
    <xf numFmtId="166" fontId="48" fillId="0" borderId="19" xfId="0" applyNumberFormat="1" applyFont="1" applyBorder="1" applyAlignment="1">
      <alignment horizontal="right"/>
    </xf>
    <xf numFmtId="166" fontId="0" fillId="4" borderId="9" xfId="0" applyNumberFormat="1" applyFill="1" applyBorder="1"/>
    <xf numFmtId="166" fontId="48" fillId="0" borderId="104" xfId="0" applyNumberFormat="1" applyFont="1" applyBorder="1" applyAlignment="1">
      <alignment horizontal="right"/>
    </xf>
    <xf numFmtId="164" fontId="18" fillId="0" borderId="0" xfId="11" applyNumberFormat="1" applyFont="1" applyFill="1" applyBorder="1"/>
    <xf numFmtId="166" fontId="18" fillId="0" borderId="0" xfId="11" applyNumberFormat="1" applyFont="1" applyFill="1" applyBorder="1"/>
    <xf numFmtId="172" fontId="1" fillId="0" borderId="12" xfId="0" applyNumberFormat="1" applyFont="1" applyBorder="1"/>
    <xf numFmtId="167" fontId="20" fillId="18" borderId="9" xfId="11" applyNumberFormat="1" applyFont="1" applyFill="1" applyBorder="1"/>
    <xf numFmtId="0" fontId="54" fillId="4" borderId="0" xfId="0" applyFont="1" applyFill="1" applyAlignment="1">
      <alignment horizontal="center"/>
    </xf>
    <xf numFmtId="0" fontId="76" fillId="0" borderId="0" xfId="0" applyFont="1"/>
    <xf numFmtId="9" fontId="20" fillId="0" borderId="0" xfId="11" applyFont="1" applyFill="1" applyBorder="1"/>
    <xf numFmtId="9" fontId="1" fillId="0" borderId="0" xfId="11" applyFont="1" applyFill="1" applyBorder="1"/>
    <xf numFmtId="0" fontId="20" fillId="0" borderId="0" xfId="0" applyFont="1" applyAlignment="1">
      <alignment horizontal="center"/>
    </xf>
    <xf numFmtId="10" fontId="20" fillId="0" borderId="0" xfId="0" applyNumberFormat="1" applyFont="1"/>
    <xf numFmtId="0" fontId="17" fillId="0" borderId="0" xfId="0" quotePrefix="1" applyFont="1" applyAlignment="1">
      <alignment horizontal="right"/>
    </xf>
    <xf numFmtId="0" fontId="39" fillId="0" borderId="0" xfId="0" quotePrefix="1" applyFont="1" applyAlignment="1">
      <alignment horizontal="right"/>
    </xf>
    <xf numFmtId="9" fontId="20" fillId="0" borderId="0" xfId="0" applyNumberFormat="1" applyFont="1"/>
    <xf numFmtId="9" fontId="20" fillId="0" borderId="0" xfId="11" applyFont="1" applyBorder="1" applyAlignment="1" applyProtection="1">
      <alignment horizontal="center"/>
      <protection locked="0"/>
    </xf>
    <xf numFmtId="42" fontId="20" fillId="0" borderId="71" xfId="0" applyNumberFormat="1" applyFont="1" applyBorder="1" applyAlignment="1">
      <alignment horizontal="left"/>
    </xf>
    <xf numFmtId="0" fontId="20" fillId="0" borderId="71" xfId="0" applyFont="1" applyBorder="1" applyAlignment="1" applyProtection="1">
      <alignment horizontal="left"/>
      <protection locked="0"/>
    </xf>
    <xf numFmtId="0" fontId="20" fillId="0" borderId="71" xfId="0" applyFont="1" applyBorder="1" applyAlignment="1">
      <alignment horizontal="left"/>
    </xf>
    <xf numFmtId="0" fontId="20" fillId="0" borderId="12" xfId="0" applyFont="1" applyBorder="1" applyAlignment="1">
      <alignment horizontal="left" vertical="center" wrapText="1"/>
    </xf>
    <xf numFmtId="0" fontId="20" fillId="4" borderId="71" xfId="0" applyFont="1" applyFill="1" applyBorder="1" applyAlignment="1">
      <alignment horizontal="left"/>
    </xf>
    <xf numFmtId="0" fontId="20" fillId="4" borderId="71" xfId="0" applyFont="1" applyFill="1" applyBorder="1" applyAlignment="1" applyProtection="1">
      <alignment horizontal="left"/>
      <protection locked="0"/>
    </xf>
    <xf numFmtId="0" fontId="1" fillId="4" borderId="71" xfId="0" applyFont="1" applyFill="1" applyBorder="1" applyAlignment="1">
      <alignment horizontal="left"/>
    </xf>
    <xf numFmtId="0" fontId="68" fillId="0" borderId="0" xfId="0" applyFont="1" applyAlignment="1">
      <alignment horizontal="center" vertical="center"/>
    </xf>
    <xf numFmtId="0" fontId="1" fillId="0" borderId="96" xfId="0" applyFont="1" applyBorder="1" applyAlignment="1">
      <alignment vertical="center" wrapText="1"/>
    </xf>
    <xf numFmtId="166" fontId="1" fillId="0" borderId="96" xfId="0" applyNumberFormat="1" applyFont="1" applyBorder="1"/>
    <xf numFmtId="9" fontId="1" fillId="0" borderId="96" xfId="0" applyNumberFormat="1" applyFont="1" applyBorder="1"/>
    <xf numFmtId="9" fontId="1" fillId="0" borderId="96" xfId="11" applyFont="1" applyFill="1" applyBorder="1"/>
    <xf numFmtId="9" fontId="20" fillId="0" borderId="96" xfId="11" applyFont="1" applyFill="1" applyBorder="1"/>
    <xf numFmtId="0" fontId="41" fillId="0" borderId="96" xfId="0" applyFont="1" applyBorder="1"/>
    <xf numFmtId="10" fontId="20" fillId="0" borderId="96" xfId="0" applyNumberFormat="1" applyFont="1" applyBorder="1"/>
    <xf numFmtId="0" fontId="17" fillId="0" borderId="40" xfId="0" quotePrefix="1" applyFont="1" applyBorder="1" applyAlignment="1">
      <alignment horizontal="right"/>
    </xf>
    <xf numFmtId="0" fontId="39" fillId="0" borderId="40" xfId="0" quotePrefix="1" applyFont="1" applyBorder="1" applyAlignment="1">
      <alignment horizontal="right"/>
    </xf>
    <xf numFmtId="9" fontId="39" fillId="0" borderId="40" xfId="11" applyFont="1" applyFill="1" applyBorder="1" applyAlignment="1">
      <alignment horizontal="right"/>
    </xf>
    <xf numFmtId="0" fontId="39" fillId="0" borderId="40" xfId="0" applyFont="1" applyBorder="1" applyAlignment="1">
      <alignment horizontal="right"/>
    </xf>
    <xf numFmtId="9" fontId="20" fillId="0" borderId="96" xfId="0" applyNumberFormat="1" applyFont="1" applyBorder="1"/>
    <xf numFmtId="9" fontId="20" fillId="13" borderId="12" xfId="11" applyFont="1" applyFill="1" applyBorder="1"/>
    <xf numFmtId="42" fontId="65" fillId="0" borderId="71" xfId="0" quotePrefix="1" applyNumberFormat="1" applyFont="1" applyBorder="1" applyAlignment="1">
      <alignment horizontal="left"/>
    </xf>
    <xf numFmtId="0" fontId="0" fillId="0" borderId="0" xfId="0" applyAlignment="1">
      <alignment vertical="top" wrapText="1"/>
    </xf>
    <xf numFmtId="0" fontId="68" fillId="0" borderId="44" xfId="0" applyFont="1" applyBorder="1" applyAlignment="1">
      <alignment horizontal="center" vertical="center"/>
    </xf>
    <xf numFmtId="0" fontId="77" fillId="13" borderId="73" xfId="0" applyFont="1" applyFill="1" applyBorder="1" applyProtection="1">
      <protection locked="0"/>
    </xf>
    <xf numFmtId="0" fontId="80" fillId="0" borderId="72" xfId="0" applyFont="1" applyBorder="1" applyProtection="1">
      <protection locked="0"/>
    </xf>
    <xf numFmtId="0" fontId="1" fillId="0" borderId="0" xfId="0" applyFont="1" applyProtection="1">
      <protection locked="0"/>
    </xf>
    <xf numFmtId="166" fontId="19" fillId="13" borderId="12" xfId="0" applyNumberFormat="1" applyFont="1" applyFill="1" applyBorder="1"/>
    <xf numFmtId="166" fontId="19" fillId="13" borderId="12" xfId="11" applyNumberFormat="1" applyFont="1" applyFill="1" applyBorder="1"/>
    <xf numFmtId="166" fontId="19" fillId="13" borderId="12" xfId="12" applyNumberFormat="1" applyFont="1" applyFill="1" applyBorder="1"/>
    <xf numFmtId="0" fontId="19" fillId="0" borderId="0" xfId="0" applyFont="1"/>
    <xf numFmtId="166" fontId="19" fillId="12" borderId="12" xfId="12" applyNumberFormat="1" applyFont="1" applyFill="1" applyBorder="1"/>
    <xf numFmtId="0" fontId="65" fillId="0" borderId="12" xfId="0" quotePrefix="1" applyFont="1" applyBorder="1" applyAlignment="1">
      <alignment horizontal="left" vertical="center" wrapText="1"/>
    </xf>
    <xf numFmtId="0" fontId="0" fillId="13" borderId="0" xfId="0" applyFill="1"/>
    <xf numFmtId="166" fontId="20" fillId="12" borderId="12" xfId="0" applyNumberFormat="1" applyFont="1" applyFill="1" applyBorder="1"/>
    <xf numFmtId="166" fontId="20" fillId="12" borderId="12" xfId="12" applyNumberFormat="1" applyFont="1" applyFill="1" applyBorder="1"/>
    <xf numFmtId="0" fontId="78" fillId="0" borderId="72" xfId="0" applyFont="1" applyBorder="1" applyProtection="1">
      <protection locked="0"/>
    </xf>
    <xf numFmtId="0" fontId="79" fillId="0" borderId="72" xfId="0" applyFont="1" applyBorder="1" applyProtection="1">
      <protection locked="0"/>
    </xf>
    <xf numFmtId="0" fontId="78" fillId="0" borderId="107" xfId="0" applyFont="1" applyBorder="1" applyProtection="1">
      <protection locked="0"/>
    </xf>
    <xf numFmtId="0" fontId="78" fillId="0" borderId="108" xfId="0" applyFont="1" applyBorder="1" applyProtection="1">
      <protection locked="0"/>
    </xf>
    <xf numFmtId="0" fontId="79" fillId="0" borderId="108" xfId="0" applyFont="1" applyBorder="1" applyProtection="1">
      <protection locked="0"/>
    </xf>
    <xf numFmtId="178" fontId="0" fillId="0" borderId="0" xfId="0" applyNumberFormat="1"/>
    <xf numFmtId="7" fontId="23" fillId="0" borderId="0" xfId="0" applyNumberFormat="1" applyFont="1" applyAlignment="1">
      <alignment horizontal="right"/>
    </xf>
    <xf numFmtId="7" fontId="40" fillId="0" borderId="0" xfId="0" applyNumberFormat="1" applyFont="1" applyAlignment="1">
      <alignment horizontal="right"/>
    </xf>
    <xf numFmtId="0" fontId="0" fillId="0" borderId="9" xfId="0" applyBorder="1" applyAlignment="1">
      <alignment wrapText="1"/>
    </xf>
    <xf numFmtId="0" fontId="0" fillId="0" borderId="0" xfId="0" applyAlignment="1">
      <alignment wrapText="1"/>
    </xf>
    <xf numFmtId="166" fontId="20" fillId="17" borderId="23" xfId="0" applyNumberFormat="1" applyFont="1" applyFill="1" applyBorder="1"/>
    <xf numFmtId="0" fontId="82" fillId="0" borderId="0" xfId="0" applyFont="1" applyAlignment="1">
      <alignment vertical="center" wrapText="1"/>
    </xf>
    <xf numFmtId="2" fontId="4" fillId="0" borderId="0" xfId="0" applyNumberFormat="1" applyFont="1"/>
    <xf numFmtId="0" fontId="45" fillId="0" borderId="0" xfId="0" applyFont="1" applyAlignment="1">
      <alignment horizontal="left"/>
    </xf>
    <xf numFmtId="164" fontId="14" fillId="0" borderId="0" xfId="0" applyNumberFormat="1" applyFont="1"/>
    <xf numFmtId="166" fontId="18" fillId="0" borderId="0" xfId="12" applyNumberFormat="1" applyFont="1" applyBorder="1"/>
    <xf numFmtId="9" fontId="20" fillId="12" borderId="12" xfId="0" applyNumberFormat="1" applyFont="1" applyFill="1" applyBorder="1"/>
    <xf numFmtId="9" fontId="1" fillId="0" borderId="13" xfId="0" applyNumberFormat="1" applyFont="1" applyBorder="1" applyAlignment="1">
      <alignment vertical="center" wrapText="1"/>
    </xf>
    <xf numFmtId="166" fontId="1" fillId="0" borderId="8" xfId="0" applyNumberFormat="1" applyFont="1" applyBorder="1" applyAlignment="1">
      <alignment horizontal="right" vertical="center" wrapText="1"/>
    </xf>
    <xf numFmtId="0" fontId="10" fillId="0" borderId="15" xfId="0" applyFont="1" applyBorder="1" applyAlignment="1">
      <alignment horizontal="left" vertical="center" wrapText="1"/>
    </xf>
    <xf numFmtId="0" fontId="77" fillId="13" borderId="109" xfId="0" applyFont="1" applyFill="1" applyBorder="1" applyProtection="1">
      <protection locked="0"/>
    </xf>
    <xf numFmtId="0" fontId="60" fillId="0" borderId="105" xfId="0" applyFont="1" applyBorder="1" applyAlignment="1" applyProtection="1">
      <alignment horizontal="right"/>
      <protection locked="0"/>
    </xf>
    <xf numFmtId="0" fontId="4" fillId="0" borderId="110" xfId="0" applyFont="1" applyBorder="1" applyProtection="1">
      <protection locked="0"/>
    </xf>
    <xf numFmtId="0" fontId="33" fillId="0" borderId="111" xfId="0" applyFont="1" applyBorder="1" applyAlignment="1" applyProtection="1">
      <alignment horizontal="right"/>
      <protection locked="0"/>
    </xf>
    <xf numFmtId="0" fontId="77" fillId="13" borderId="105" xfId="0" applyFont="1" applyFill="1" applyBorder="1" applyProtection="1">
      <protection locked="0"/>
    </xf>
    <xf numFmtId="0" fontId="33" fillId="0" borderId="112" xfId="0" applyFont="1" applyBorder="1" applyAlignment="1" applyProtection="1">
      <alignment horizontal="right"/>
      <protection locked="0"/>
    </xf>
    <xf numFmtId="0" fontId="33" fillId="0" borderId="111" xfId="0" applyFont="1" applyBorder="1" applyAlignment="1" applyProtection="1">
      <alignment horizontal="right" vertical="top"/>
      <protection locked="0"/>
    </xf>
    <xf numFmtId="9" fontId="17" fillId="0" borderId="45" xfId="0" applyNumberFormat="1" applyFont="1" applyBorder="1"/>
    <xf numFmtId="0" fontId="0" fillId="0" borderId="0" xfId="12" applyNumberFormat="1" applyFont="1" applyFill="1"/>
    <xf numFmtId="179" fontId="60" fillId="0" borderId="0" xfId="0" applyNumberFormat="1" applyFont="1"/>
    <xf numFmtId="0" fontId="0" fillId="0" borderId="45" xfId="0" applyBorder="1" applyAlignment="1">
      <alignment horizontal="center"/>
    </xf>
    <xf numFmtId="0" fontId="0" fillId="0" borderId="9" xfId="0" applyBorder="1" applyAlignment="1">
      <alignment horizontal="right"/>
    </xf>
    <xf numFmtId="0" fontId="0" fillId="0" borderId="62" xfId="0" applyBorder="1" applyAlignment="1">
      <alignment horizontal="center"/>
    </xf>
    <xf numFmtId="0" fontId="0" fillId="0" borderId="62" xfId="0" applyBorder="1"/>
    <xf numFmtId="2" fontId="0" fillId="0" borderId="62" xfId="0" applyNumberFormat="1" applyBorder="1"/>
    <xf numFmtId="0" fontId="0" fillId="4" borderId="76" xfId="0" applyFill="1" applyBorder="1"/>
    <xf numFmtId="0" fontId="44" fillId="4" borderId="48" xfId="0" applyFont="1" applyFill="1" applyBorder="1" applyAlignment="1">
      <alignment horizontal="center"/>
    </xf>
    <xf numFmtId="2" fontId="4" fillId="0" borderId="74" xfId="0" applyNumberFormat="1" applyFont="1" applyBorder="1"/>
    <xf numFmtId="0" fontId="0" fillId="0" borderId="45" xfId="0" applyBorder="1" applyAlignment="1">
      <alignment horizontal="right"/>
    </xf>
    <xf numFmtId="0" fontId="44" fillId="4" borderId="45" xfId="0" applyFont="1" applyFill="1" applyBorder="1" applyAlignment="1">
      <alignment horizontal="center"/>
    </xf>
    <xf numFmtId="0" fontId="5" fillId="0" borderId="62" xfId="0" applyFont="1" applyBorder="1"/>
    <xf numFmtId="2" fontId="4" fillId="0" borderId="113" xfId="0" applyNumberFormat="1" applyFont="1" applyBorder="1"/>
    <xf numFmtId="0" fontId="44" fillId="4" borderId="62" xfId="0" applyFont="1" applyFill="1" applyBorder="1" applyAlignment="1">
      <alignment horizontal="center"/>
    </xf>
    <xf numFmtId="0" fontId="4" fillId="4" borderId="113" xfId="0" applyFont="1" applyFill="1" applyBorder="1"/>
    <xf numFmtId="0" fontId="0" fillId="4" borderId="62" xfId="0" applyFill="1" applyBorder="1"/>
    <xf numFmtId="0" fontId="33" fillId="4" borderId="9" xfId="0" applyFont="1" applyFill="1" applyBorder="1" applyAlignment="1">
      <alignment horizontal="right"/>
    </xf>
    <xf numFmtId="0" fontId="80" fillId="13" borderId="0" xfId="0" applyFont="1" applyFill="1" applyAlignment="1" applyProtection="1">
      <alignment horizontal="left"/>
      <protection locked="0"/>
    </xf>
    <xf numFmtId="0" fontId="77" fillId="0" borderId="0" xfId="0" applyFont="1" applyProtection="1">
      <protection locked="0"/>
    </xf>
    <xf numFmtId="0" fontId="80" fillId="0" borderId="0" xfId="0" applyFont="1" applyAlignment="1" applyProtection="1">
      <alignment horizontal="left"/>
      <protection locked="0"/>
    </xf>
    <xf numFmtId="0" fontId="20" fillId="19" borderId="71" xfId="0" applyFont="1" applyFill="1" applyBorder="1" applyAlignment="1">
      <alignment horizontal="left"/>
    </xf>
    <xf numFmtId="43" fontId="19" fillId="19" borderId="12" xfId="0" applyNumberFormat="1" applyFont="1" applyFill="1" applyBorder="1" applyProtection="1">
      <protection locked="0"/>
    </xf>
    <xf numFmtId="0" fontId="0" fillId="19" borderId="0" xfId="0" applyFill="1"/>
    <xf numFmtId="43" fontId="19" fillId="19" borderId="12" xfId="11" applyNumberFormat="1" applyFont="1" applyFill="1" applyBorder="1"/>
    <xf numFmtId="9" fontId="1" fillId="19" borderId="12" xfId="11" applyFont="1" applyFill="1" applyBorder="1"/>
    <xf numFmtId="0" fontId="20" fillId="19" borderId="71" xfId="0" applyFont="1" applyFill="1" applyBorder="1" applyAlignment="1" applyProtection="1">
      <alignment horizontal="left"/>
      <protection locked="0"/>
    </xf>
    <xf numFmtId="0" fontId="1" fillId="19" borderId="71" xfId="0" applyFont="1" applyFill="1" applyBorder="1" applyAlignment="1">
      <alignment horizontal="left"/>
    </xf>
    <xf numFmtId="0" fontId="65" fillId="19" borderId="12" xfId="0" quotePrefix="1" applyFont="1" applyFill="1" applyBorder="1" applyAlignment="1">
      <alignment horizontal="left" vertical="center" wrapText="1"/>
    </xf>
    <xf numFmtId="9" fontId="20" fillId="19" borderId="12" xfId="11" applyFont="1" applyFill="1" applyBorder="1"/>
    <xf numFmtId="0" fontId="20" fillId="19" borderId="12" xfId="0" applyFont="1" applyFill="1" applyBorder="1" applyAlignment="1">
      <alignment horizontal="left" vertical="center" wrapText="1"/>
    </xf>
    <xf numFmtId="42" fontId="20" fillId="19" borderId="71" xfId="0" applyNumberFormat="1" applyFont="1" applyFill="1" applyBorder="1" applyAlignment="1">
      <alignment horizontal="left"/>
    </xf>
    <xf numFmtId="42" fontId="65" fillId="19" borderId="71" xfId="0" quotePrefix="1" applyNumberFormat="1" applyFont="1" applyFill="1" applyBorder="1" applyAlignment="1">
      <alignment horizontal="left"/>
    </xf>
    <xf numFmtId="166" fontId="19" fillId="19" borderId="12" xfId="12" applyNumberFormat="1" applyFont="1" applyFill="1" applyBorder="1"/>
    <xf numFmtId="0" fontId="62" fillId="0" borderId="0" xfId="0" applyFont="1" applyProtection="1">
      <protection locked="0"/>
    </xf>
    <xf numFmtId="0" fontId="67" fillId="0" borderId="0" xfId="0" applyFont="1"/>
    <xf numFmtId="0" fontId="85" fillId="0" borderId="108" xfId="0" applyFont="1" applyBorder="1" applyProtection="1">
      <protection locked="0"/>
    </xf>
    <xf numFmtId="0" fontId="20" fillId="3" borderId="71" xfId="0" applyFont="1" applyFill="1" applyBorder="1" applyAlignment="1">
      <alignment horizontal="left"/>
    </xf>
    <xf numFmtId="43" fontId="19" fillId="3" borderId="12" xfId="0" applyNumberFormat="1" applyFont="1" applyFill="1" applyBorder="1" applyProtection="1">
      <protection locked="0"/>
    </xf>
    <xf numFmtId="0" fontId="0" fillId="3" borderId="0" xfId="0" applyFill="1"/>
    <xf numFmtId="43" fontId="19" fillId="3" borderId="12" xfId="11" applyNumberFormat="1" applyFont="1" applyFill="1" applyBorder="1"/>
    <xf numFmtId="9" fontId="1" fillId="3" borderId="12" xfId="11" applyFont="1" applyFill="1" applyBorder="1"/>
    <xf numFmtId="166" fontId="19" fillId="3" borderId="12" xfId="12" applyNumberFormat="1" applyFont="1" applyFill="1" applyBorder="1"/>
    <xf numFmtId="9" fontId="20" fillId="3" borderId="12" xfId="11" applyFont="1" applyFill="1" applyBorder="1"/>
    <xf numFmtId="0" fontId="20" fillId="3" borderId="71" xfId="0" applyFont="1" applyFill="1" applyBorder="1" applyAlignment="1" applyProtection="1">
      <alignment horizontal="left"/>
      <protection locked="0"/>
    </xf>
    <xf numFmtId="0" fontId="1" fillId="3" borderId="71" xfId="0" applyFont="1" applyFill="1" applyBorder="1" applyAlignment="1">
      <alignment horizontal="left"/>
    </xf>
    <xf numFmtId="0" fontId="65" fillId="3" borderId="12" xfId="0" quotePrefix="1" applyFont="1" applyFill="1" applyBorder="1" applyAlignment="1">
      <alignment horizontal="left" vertical="center" wrapText="1"/>
    </xf>
    <xf numFmtId="0" fontId="20" fillId="3" borderId="12" xfId="0" applyFont="1" applyFill="1" applyBorder="1" applyAlignment="1">
      <alignment horizontal="left" vertical="center" wrapText="1"/>
    </xf>
    <xf numFmtId="42" fontId="20" fillId="3" borderId="71" xfId="0" applyNumberFormat="1" applyFont="1" applyFill="1" applyBorder="1" applyAlignment="1">
      <alignment horizontal="left"/>
    </xf>
    <xf numFmtId="42" fontId="65" fillId="3" borderId="71" xfId="0" quotePrefix="1" applyNumberFormat="1" applyFont="1" applyFill="1" applyBorder="1" applyAlignment="1">
      <alignment horizontal="left"/>
    </xf>
    <xf numFmtId="43" fontId="41" fillId="3" borderId="12" xfId="0" applyNumberFormat="1" applyFont="1" applyFill="1" applyBorder="1" applyProtection="1">
      <protection locked="0"/>
    </xf>
    <xf numFmtId="43" fontId="1" fillId="3" borderId="12" xfId="11" applyNumberFormat="1" applyFont="1" applyFill="1" applyBorder="1"/>
    <xf numFmtId="43" fontId="19" fillId="3" borderId="19" xfId="0" applyNumberFormat="1" applyFont="1" applyFill="1" applyBorder="1" applyProtection="1">
      <protection locked="0"/>
    </xf>
    <xf numFmtId="166" fontId="19" fillId="13" borderId="19" xfId="0" applyNumberFormat="1" applyFont="1" applyFill="1" applyBorder="1"/>
    <xf numFmtId="166" fontId="1" fillId="0" borderId="114" xfId="0" applyNumberFormat="1" applyFont="1" applyBorder="1"/>
    <xf numFmtId="0" fontId="1" fillId="13" borderId="21" xfId="0" applyFont="1" applyFill="1" applyBorder="1" applyAlignment="1">
      <alignment vertical="center" wrapText="1"/>
    </xf>
    <xf numFmtId="9" fontId="1" fillId="13" borderId="23" xfId="11" applyFont="1" applyFill="1" applyBorder="1"/>
    <xf numFmtId="0" fontId="0" fillId="3" borderId="12" xfId="0" applyFill="1" applyBorder="1"/>
    <xf numFmtId="0" fontId="57" fillId="4" borderId="0" xfId="0" applyFont="1" applyFill="1" applyAlignment="1">
      <alignment horizontal="left" vertical="center" wrapText="1"/>
    </xf>
    <xf numFmtId="0" fontId="45" fillId="4" borderId="74" xfId="0" applyFont="1" applyFill="1" applyBorder="1" applyAlignment="1">
      <alignment horizontal="center" vertical="center" wrapText="1"/>
    </xf>
    <xf numFmtId="0" fontId="53" fillId="4" borderId="0" xfId="0" applyFont="1" applyFill="1" applyAlignment="1">
      <alignment horizontal="left" vertical="center" wrapText="1"/>
    </xf>
    <xf numFmtId="0" fontId="58" fillId="4" borderId="0" xfId="0" applyFont="1" applyFill="1" applyAlignment="1">
      <alignment horizontal="left" vertical="top" wrapText="1"/>
    </xf>
    <xf numFmtId="0" fontId="4" fillId="4" borderId="0" xfId="0" applyFont="1" applyFill="1" applyAlignment="1">
      <alignment horizontal="right"/>
    </xf>
    <xf numFmtId="0" fontId="4" fillId="4" borderId="44" xfId="0" applyFont="1" applyFill="1" applyBorder="1" applyAlignment="1">
      <alignment horizontal="right"/>
    </xf>
    <xf numFmtId="170" fontId="47" fillId="14" borderId="9" xfId="13" applyNumberFormat="1" applyFont="1" applyFill="1" applyBorder="1" applyAlignment="1">
      <alignment horizontal="center" wrapText="1"/>
    </xf>
    <xf numFmtId="0" fontId="4" fillId="0" borderId="0" xfId="0" applyFont="1" applyAlignment="1">
      <alignment horizontal="center"/>
    </xf>
    <xf numFmtId="0" fontId="16" fillId="0" borderId="0" xfId="0" applyFont="1"/>
    <xf numFmtId="165" fontId="0" fillId="0" borderId="0" xfId="12" applyFont="1" applyFill="1"/>
    <xf numFmtId="1" fontId="0" fillId="0" borderId="0" xfId="11" applyNumberFormat="1" applyFont="1" applyFill="1"/>
    <xf numFmtId="165" fontId="60" fillId="0" borderId="0" xfId="12" applyFont="1" applyFill="1"/>
    <xf numFmtId="3" fontId="0" fillId="0" borderId="0" xfId="0" applyNumberFormat="1"/>
    <xf numFmtId="1" fontId="0" fillId="0" borderId="0" xfId="0" applyNumberFormat="1"/>
    <xf numFmtId="2" fontId="0" fillId="0" borderId="0" xfId="12" applyNumberFormat="1" applyFont="1" applyFill="1"/>
    <xf numFmtId="1" fontId="0" fillId="0" borderId="0" xfId="12" applyNumberFormat="1" applyFont="1" applyFill="1"/>
    <xf numFmtId="164" fontId="60" fillId="0" borderId="0" xfId="12" applyNumberFormat="1" applyFont="1" applyFill="1"/>
    <xf numFmtId="179" fontId="0" fillId="0" borderId="0" xfId="0" applyNumberFormat="1"/>
    <xf numFmtId="9" fontId="1" fillId="0" borderId="29" xfId="11" applyFont="1" applyFill="1" applyBorder="1" applyAlignment="1">
      <alignment vertical="center"/>
    </xf>
    <xf numFmtId="9" fontId="1" fillId="4" borderId="29" xfId="11" applyFont="1" applyFill="1" applyBorder="1" applyAlignment="1">
      <alignment vertical="center"/>
    </xf>
    <xf numFmtId="0" fontId="77" fillId="0" borderId="0" xfId="0" applyFont="1" applyAlignment="1" applyProtection="1">
      <alignment horizontal="left"/>
      <protection locked="0"/>
    </xf>
    <xf numFmtId="0" fontId="81" fillId="0" borderId="0" xfId="0" applyFont="1" applyAlignment="1">
      <alignment wrapText="1"/>
    </xf>
    <xf numFmtId="0" fontId="4" fillId="0" borderId="45" xfId="0" applyFont="1" applyBorder="1"/>
    <xf numFmtId="0" fontId="81" fillId="4" borderId="116" xfId="0" applyFont="1" applyFill="1" applyBorder="1"/>
    <xf numFmtId="0" fontId="81" fillId="4" borderId="117" xfId="0" applyFont="1" applyFill="1" applyBorder="1"/>
    <xf numFmtId="0" fontId="4" fillId="4" borderId="118" xfId="0" applyFont="1" applyFill="1" applyBorder="1"/>
    <xf numFmtId="0" fontId="0" fillId="4" borderId="119" xfId="0" applyFill="1" applyBorder="1"/>
    <xf numFmtId="0" fontId="81" fillId="4" borderId="115" xfId="0" applyFont="1" applyFill="1" applyBorder="1"/>
    <xf numFmtId="0" fontId="0" fillId="0" borderId="121" xfId="0" applyBorder="1"/>
    <xf numFmtId="0" fontId="81" fillId="4" borderId="0" xfId="0" applyFont="1" applyFill="1" applyAlignment="1">
      <alignment wrapText="1"/>
    </xf>
    <xf numFmtId="0" fontId="81" fillId="4" borderId="121" xfId="0" applyFont="1" applyFill="1" applyBorder="1" applyAlignment="1">
      <alignment wrapText="1"/>
    </xf>
    <xf numFmtId="0" fontId="81" fillId="4" borderId="120" xfId="0" applyFont="1" applyFill="1" applyBorder="1" applyAlignment="1">
      <alignment wrapText="1"/>
    </xf>
    <xf numFmtId="0" fontId="4" fillId="0" borderId="121" xfId="0" applyFont="1" applyBorder="1"/>
    <xf numFmtId="0" fontId="4" fillId="4" borderId="125" xfId="0" applyFont="1" applyFill="1" applyBorder="1"/>
    <xf numFmtId="0" fontId="4" fillId="4" borderId="116" xfId="0" applyFont="1" applyFill="1" applyBorder="1"/>
    <xf numFmtId="172" fontId="60" fillId="20" borderId="55" xfId="0" applyNumberFormat="1" applyFont="1" applyFill="1" applyBorder="1"/>
    <xf numFmtId="0" fontId="45" fillId="20" borderId="74" xfId="0" applyFont="1" applyFill="1" applyBorder="1" applyAlignment="1">
      <alignment horizontal="right"/>
    </xf>
    <xf numFmtId="4" fontId="4" fillId="20" borderId="11" xfId="0" applyNumberFormat="1" applyFont="1" applyFill="1" applyBorder="1"/>
    <xf numFmtId="166" fontId="0" fillId="20" borderId="9" xfId="0" applyNumberFormat="1" applyFill="1" applyBorder="1"/>
    <xf numFmtId="2" fontId="4" fillId="20" borderId="89" xfId="0" applyNumberFormat="1" applyFont="1" applyFill="1" applyBorder="1"/>
    <xf numFmtId="166" fontId="20" fillId="20" borderId="23" xfId="0" applyNumberFormat="1" applyFont="1" applyFill="1" applyBorder="1"/>
    <xf numFmtId="172" fontId="0" fillId="20" borderId="53" xfId="0" applyNumberFormat="1" applyFill="1" applyBorder="1" applyAlignment="1">
      <alignment horizontal="right"/>
    </xf>
    <xf numFmtId="172" fontId="0" fillId="20" borderId="64" xfId="0" applyNumberFormat="1" applyFill="1" applyBorder="1" applyAlignment="1">
      <alignment horizontal="right"/>
    </xf>
    <xf numFmtId="166" fontId="21" fillId="20" borderId="12" xfId="0" applyNumberFormat="1" applyFont="1" applyFill="1" applyBorder="1"/>
    <xf numFmtId="166" fontId="21" fillId="20" borderId="23" xfId="0" applyNumberFormat="1" applyFont="1" applyFill="1" applyBorder="1"/>
    <xf numFmtId="9" fontId="1" fillId="20" borderId="12" xfId="0" applyNumberFormat="1" applyFont="1" applyFill="1" applyBorder="1"/>
    <xf numFmtId="166" fontId="20" fillId="20" borderId="21" xfId="0" applyNumberFormat="1" applyFont="1" applyFill="1" applyBorder="1"/>
    <xf numFmtId="172" fontId="0" fillId="20" borderId="60" xfId="0" applyNumberFormat="1" applyFill="1" applyBorder="1"/>
    <xf numFmtId="9" fontId="18" fillId="20" borderId="9" xfId="11" applyFont="1" applyFill="1" applyBorder="1"/>
    <xf numFmtId="172" fontId="60" fillId="20" borderId="40" xfId="0" applyNumberFormat="1" applyFont="1" applyFill="1" applyBorder="1"/>
    <xf numFmtId="166" fontId="20" fillId="20" borderId="12" xfId="0" applyNumberFormat="1" applyFont="1" applyFill="1" applyBorder="1"/>
    <xf numFmtId="172" fontId="19" fillId="20" borderId="12" xfId="0" applyNumberFormat="1" applyFont="1" applyFill="1" applyBorder="1"/>
    <xf numFmtId="0" fontId="0" fillId="20" borderId="9" xfId="0" applyFill="1" applyBorder="1"/>
    <xf numFmtId="172" fontId="0" fillId="20" borderId="0" xfId="0" applyNumberFormat="1" applyFill="1"/>
    <xf numFmtId="167" fontId="20" fillId="20" borderId="9" xfId="11" applyNumberFormat="1" applyFont="1" applyFill="1" applyBorder="1"/>
    <xf numFmtId="0" fontId="1" fillId="20" borderId="0" xfId="0" applyFont="1" applyFill="1"/>
    <xf numFmtId="166" fontId="1" fillId="20" borderId="0" xfId="0" applyNumberFormat="1" applyFont="1" applyFill="1"/>
    <xf numFmtId="0" fontId="0" fillId="20" borderId="0" xfId="0" applyFill="1"/>
    <xf numFmtId="164" fontId="18" fillId="20" borderId="0" xfId="11" applyNumberFormat="1" applyFont="1" applyFill="1" applyBorder="1"/>
    <xf numFmtId="172" fontId="20" fillId="20" borderId="12" xfId="0" applyNumberFormat="1" applyFont="1" applyFill="1" applyBorder="1"/>
    <xf numFmtId="167" fontId="20" fillId="20" borderId="9" xfId="0" applyNumberFormat="1" applyFont="1" applyFill="1" applyBorder="1"/>
    <xf numFmtId="166" fontId="0" fillId="20" borderId="0" xfId="0" applyNumberFormat="1" applyFill="1"/>
    <xf numFmtId="9" fontId="20" fillId="20" borderId="12" xfId="0" applyNumberFormat="1" applyFont="1" applyFill="1" applyBorder="1"/>
    <xf numFmtId="166" fontId="1" fillId="0" borderId="0" xfId="0" applyNumberFormat="1" applyFont="1" applyAlignment="1">
      <alignment horizontal="right" vertical="center"/>
    </xf>
    <xf numFmtId="164" fontId="0" fillId="0" borderId="0" xfId="0" applyNumberFormat="1"/>
    <xf numFmtId="0" fontId="50" fillId="15" borderId="61" xfId="0" applyFont="1" applyFill="1" applyBorder="1" applyAlignment="1">
      <alignment horizontal="center" vertical="center" wrapText="1"/>
    </xf>
    <xf numFmtId="170" fontId="64" fillId="4" borderId="0" xfId="0" applyNumberFormat="1" applyFont="1" applyFill="1" applyAlignment="1">
      <alignment horizontal="center" vertical="center" wrapText="1"/>
    </xf>
    <xf numFmtId="170" fontId="45" fillId="4" borderId="44" xfId="0" applyNumberFormat="1" applyFont="1" applyFill="1" applyBorder="1" applyAlignment="1">
      <alignment horizontal="center" vertical="center" wrapText="1"/>
    </xf>
    <xf numFmtId="170" fontId="45" fillId="4" borderId="0" xfId="0" applyNumberFormat="1" applyFont="1" applyFill="1" applyAlignment="1">
      <alignment horizontal="center" vertical="center" wrapText="1"/>
    </xf>
    <xf numFmtId="0" fontId="5" fillId="8" borderId="64" xfId="0" applyFont="1" applyFill="1" applyBorder="1"/>
    <xf numFmtId="172" fontId="60" fillId="0" borderId="56" xfId="0" applyNumberFormat="1" applyFont="1" applyBorder="1"/>
    <xf numFmtId="173" fontId="0" fillId="0" borderId="40" xfId="11" applyNumberFormat="1" applyFont="1" applyFill="1" applyBorder="1" applyAlignment="1">
      <alignment horizontal="right"/>
    </xf>
    <xf numFmtId="173" fontId="0" fillId="0" borderId="56" xfId="11" applyNumberFormat="1" applyFont="1" applyFill="1" applyBorder="1" applyAlignment="1">
      <alignment horizontal="right"/>
    </xf>
    <xf numFmtId="0" fontId="4" fillId="15" borderId="9" xfId="0" applyFont="1" applyFill="1" applyBorder="1" applyAlignment="1">
      <alignment horizontal="center"/>
    </xf>
    <xf numFmtId="0" fontId="67" fillId="4" borderId="0" xfId="0" applyFont="1" applyFill="1"/>
    <xf numFmtId="0" fontId="81" fillId="0" borderId="0" xfId="0" applyFont="1"/>
    <xf numFmtId="0" fontId="88" fillId="4" borderId="64" xfId="0" applyFont="1" applyFill="1" applyBorder="1" applyAlignment="1">
      <alignment wrapText="1"/>
    </xf>
    <xf numFmtId="0" fontId="88" fillId="4" borderId="0" xfId="0" applyFont="1" applyFill="1" applyAlignment="1">
      <alignment wrapText="1"/>
    </xf>
    <xf numFmtId="0" fontId="88" fillId="4" borderId="64" xfId="0" quotePrefix="1" applyFont="1" applyFill="1" applyBorder="1" applyAlignment="1">
      <alignment wrapText="1"/>
    </xf>
    <xf numFmtId="172" fontId="0" fillId="0" borderId="0" xfId="0" applyNumberFormat="1"/>
    <xf numFmtId="2" fontId="0" fillId="4" borderId="0" xfId="0" applyNumberFormat="1" applyFill="1"/>
    <xf numFmtId="0" fontId="89" fillId="0" borderId="0" xfId="0" applyFont="1"/>
    <xf numFmtId="1" fontId="44" fillId="4" borderId="62" xfId="0" applyNumberFormat="1" applyFont="1" applyFill="1" applyBorder="1"/>
    <xf numFmtId="0" fontId="2" fillId="0" borderId="0" xfId="0" applyFont="1" applyAlignment="1">
      <alignment vertical="center"/>
    </xf>
    <xf numFmtId="0" fontId="1" fillId="0" borderId="0" xfId="0" quotePrefix="1" applyFont="1" applyAlignment="1">
      <alignment vertical="center" wrapText="1"/>
    </xf>
    <xf numFmtId="175" fontId="20" fillId="0" borderId="0" xfId="0" applyNumberFormat="1" applyFont="1" applyAlignment="1">
      <alignment vertical="center" wrapText="1"/>
    </xf>
    <xf numFmtId="1" fontId="1" fillId="0" borderId="0" xfId="0" applyNumberFormat="1" applyFont="1" applyAlignment="1">
      <alignment vertical="center" wrapText="1"/>
    </xf>
    <xf numFmtId="49" fontId="1" fillId="0" borderId="0" xfId="0" applyNumberFormat="1" applyFont="1" applyAlignment="1">
      <alignment horizontal="right" vertical="center" wrapText="1"/>
    </xf>
    <xf numFmtId="44" fontId="1" fillId="0" borderId="0" xfId="0" applyNumberFormat="1" applyFont="1" applyAlignment="1">
      <alignment vertical="center" wrapText="1"/>
    </xf>
    <xf numFmtId="0" fontId="2" fillId="0" borderId="0" xfId="0" applyFont="1" applyAlignment="1">
      <alignment vertical="center" wrapText="1"/>
    </xf>
    <xf numFmtId="166" fontId="1" fillId="0" borderId="0" xfId="0" applyNumberFormat="1" applyFont="1" applyAlignment="1">
      <alignment horizontal="right" vertical="center" wrapText="1"/>
    </xf>
    <xf numFmtId="0" fontId="1" fillId="0" borderId="0" xfId="0" applyFont="1" applyAlignment="1">
      <alignment horizontal="center" vertical="center" wrapText="1"/>
    </xf>
    <xf numFmtId="9" fontId="20" fillId="0" borderId="0" xfId="0" applyNumberFormat="1" applyFont="1" applyAlignment="1">
      <alignment vertical="center" wrapText="1"/>
    </xf>
    <xf numFmtId="9" fontId="1" fillId="0" borderId="0" xfId="0" applyNumberFormat="1" applyFont="1" applyAlignment="1">
      <alignment horizontal="center" vertical="center" wrapText="1"/>
    </xf>
    <xf numFmtId="166" fontId="2" fillId="0" borderId="0" xfId="0" applyNumberFormat="1" applyFont="1"/>
    <xf numFmtId="49" fontId="1" fillId="0" borderId="0" xfId="0" applyNumberFormat="1" applyFont="1" applyAlignment="1">
      <alignment vertical="center" wrapText="1"/>
    </xf>
    <xf numFmtId="0" fontId="10" fillId="0" borderId="0" xfId="0" applyFont="1" applyAlignment="1">
      <alignment vertical="center" wrapText="1"/>
    </xf>
    <xf numFmtId="0" fontId="29" fillId="0" borderId="113" xfId="13" applyFont="1" applyBorder="1" applyAlignment="1">
      <alignment horizontal="right"/>
    </xf>
    <xf numFmtId="170" fontId="28" fillId="0" borderId="45" xfId="13" quotePrefix="1" applyNumberFormat="1" applyFont="1" applyBorder="1" applyAlignment="1">
      <alignment horizontal="center" wrapText="1"/>
    </xf>
    <xf numFmtId="180" fontId="46" fillId="0" borderId="46" xfId="13" applyNumberFormat="1" applyFont="1" applyBorder="1" applyAlignment="1">
      <alignment horizontal="center"/>
    </xf>
    <xf numFmtId="181" fontId="46" fillId="0" borderId="46" xfId="13" applyNumberFormat="1" applyFont="1" applyBorder="1" applyAlignment="1">
      <alignment horizontal="center"/>
    </xf>
    <xf numFmtId="0" fontId="67" fillId="0" borderId="58" xfId="0" applyFont="1" applyBorder="1"/>
    <xf numFmtId="0" fontId="42" fillId="21" borderId="128" xfId="0" applyFont="1" applyFill="1" applyBorder="1"/>
    <xf numFmtId="0" fontId="42" fillId="21" borderId="129" xfId="0" applyFont="1" applyFill="1" applyBorder="1"/>
    <xf numFmtId="0" fontId="0" fillId="22" borderId="127" xfId="0" applyFill="1" applyBorder="1"/>
    <xf numFmtId="0" fontId="0" fillId="22" borderId="128" xfId="12" applyNumberFormat="1" applyFont="1" applyFill="1" applyBorder="1"/>
    <xf numFmtId="166" fontId="0" fillId="22" borderId="128" xfId="12" applyNumberFormat="1" applyFont="1" applyFill="1" applyBorder="1"/>
    <xf numFmtId="166" fontId="0" fillId="22" borderId="129" xfId="12" applyNumberFormat="1" applyFont="1" applyFill="1" applyBorder="1"/>
    <xf numFmtId="0" fontId="0" fillId="0" borderId="127" xfId="0" applyBorder="1"/>
    <xf numFmtId="165" fontId="0" fillId="0" borderId="128" xfId="12" applyFont="1" applyBorder="1"/>
    <xf numFmtId="0" fontId="0" fillId="0" borderId="128" xfId="0" applyBorder="1"/>
    <xf numFmtId="0" fontId="60" fillId="0" borderId="128" xfId="0" applyFont="1" applyBorder="1"/>
    <xf numFmtId="0" fontId="0" fillId="0" borderId="129" xfId="0" applyBorder="1"/>
    <xf numFmtId="165" fontId="0" fillId="22" borderId="128" xfId="12" applyFont="1" applyFill="1" applyBorder="1"/>
    <xf numFmtId="0" fontId="0" fillId="22" borderId="128" xfId="0" applyFill="1" applyBorder="1"/>
    <xf numFmtId="0" fontId="3" fillId="22" borderId="128" xfId="0" applyFont="1" applyFill="1" applyBorder="1"/>
    <xf numFmtId="0" fontId="0" fillId="22" borderId="129" xfId="0" applyFill="1" applyBorder="1"/>
    <xf numFmtId="3" fontId="0" fillId="0" borderId="128" xfId="0" applyNumberFormat="1" applyBorder="1"/>
    <xf numFmtId="2" fontId="0" fillId="22" borderId="128" xfId="0" applyNumberFormat="1" applyFill="1" applyBorder="1"/>
    <xf numFmtId="2" fontId="0" fillId="0" borderId="128" xfId="0" applyNumberFormat="1" applyBorder="1"/>
    <xf numFmtId="9" fontId="0" fillId="0" borderId="128" xfId="11" applyFont="1" applyBorder="1"/>
    <xf numFmtId="2" fontId="0" fillId="22" borderId="128" xfId="11" applyNumberFormat="1" applyFont="1" applyFill="1" applyBorder="1"/>
    <xf numFmtId="2" fontId="0" fillId="0" borderId="128" xfId="11" applyNumberFormat="1" applyFont="1" applyBorder="1"/>
    <xf numFmtId="9" fontId="0" fillId="22" borderId="128" xfId="11" applyFont="1" applyFill="1" applyBorder="1"/>
    <xf numFmtId="2" fontId="0" fillId="22" borderId="128" xfId="12" applyNumberFormat="1" applyFont="1" applyFill="1" applyBorder="1"/>
    <xf numFmtId="2" fontId="0" fillId="0" borderId="128" xfId="12" applyNumberFormat="1" applyFont="1" applyBorder="1"/>
    <xf numFmtId="0" fontId="60" fillId="0" borderId="129" xfId="0" applyFont="1" applyBorder="1"/>
    <xf numFmtId="0" fontId="75" fillId="22" borderId="128" xfId="0" applyFont="1" applyFill="1" applyBorder="1"/>
    <xf numFmtId="0" fontId="75" fillId="22" borderId="129" xfId="0" applyFont="1" applyFill="1" applyBorder="1"/>
    <xf numFmtId="165" fontId="60" fillId="22" borderId="128" xfId="12" applyFont="1" applyFill="1" applyBorder="1"/>
    <xf numFmtId="165" fontId="60" fillId="0" borderId="128" xfId="12" applyFont="1" applyBorder="1"/>
    <xf numFmtId="0" fontId="60" fillId="0" borderId="127" xfId="0" applyFont="1" applyBorder="1"/>
    <xf numFmtId="2" fontId="60" fillId="22" borderId="128" xfId="0" applyNumberFormat="1" applyFont="1" applyFill="1" applyBorder="1"/>
    <xf numFmtId="0" fontId="60" fillId="22" borderId="128" xfId="0" applyFont="1" applyFill="1" applyBorder="1"/>
    <xf numFmtId="0" fontId="60" fillId="22" borderId="129" xfId="0" applyFont="1" applyFill="1" applyBorder="1"/>
    <xf numFmtId="179" fontId="60" fillId="0" borderId="128" xfId="0" applyNumberFormat="1" applyFont="1" applyBorder="1"/>
    <xf numFmtId="0" fontId="76" fillId="22" borderId="128" xfId="0" applyFont="1" applyFill="1" applyBorder="1"/>
    <xf numFmtId="0" fontId="76" fillId="22" borderId="129" xfId="0" applyFont="1" applyFill="1" applyBorder="1"/>
    <xf numFmtId="0" fontId="76" fillId="0" borderId="128" xfId="0" applyFont="1" applyBorder="1"/>
    <xf numFmtId="0" fontId="76" fillId="0" borderId="129" xfId="0" applyFont="1" applyBorder="1"/>
    <xf numFmtId="164" fontId="60" fillId="22" borderId="128" xfId="12" applyNumberFormat="1" applyFont="1" applyFill="1" applyBorder="1"/>
    <xf numFmtId="164" fontId="60" fillId="0" borderId="128" xfId="12" applyNumberFormat="1" applyFont="1" applyBorder="1"/>
    <xf numFmtId="179" fontId="0" fillId="0" borderId="128" xfId="0" applyNumberFormat="1" applyBorder="1"/>
    <xf numFmtId="0" fontId="75" fillId="0" borderId="129" xfId="0" applyFont="1" applyBorder="1"/>
    <xf numFmtId="0" fontId="60" fillId="22" borderId="128" xfId="0" applyFont="1" applyFill="1" applyBorder="1" applyAlignment="1">
      <alignment horizontal="left" vertical="top" wrapText="1"/>
    </xf>
    <xf numFmtId="0" fontId="60" fillId="0" borderId="128" xfId="0" applyFont="1" applyBorder="1" applyAlignment="1">
      <alignment horizontal="left" vertical="top" wrapText="1"/>
    </xf>
    <xf numFmtId="2" fontId="1" fillId="3" borderId="5" xfId="0" applyNumberFormat="1" applyFont="1" applyFill="1" applyBorder="1" applyAlignment="1">
      <alignment vertical="center" wrapText="1"/>
    </xf>
    <xf numFmtId="2" fontId="1" fillId="0" borderId="5" xfId="0" applyNumberFormat="1" applyFont="1" applyBorder="1" applyAlignment="1">
      <alignment vertical="center" wrapText="1"/>
    </xf>
    <xf numFmtId="2" fontId="1" fillId="0" borderId="8" xfId="0" applyNumberFormat="1" applyFont="1" applyBorder="1" applyAlignment="1">
      <alignment vertical="center"/>
    </xf>
    <xf numFmtId="2" fontId="1" fillId="3" borderId="8" xfId="0" applyNumberFormat="1" applyFont="1" applyFill="1" applyBorder="1" applyAlignment="1">
      <alignment vertical="center" wrapText="1"/>
    </xf>
    <xf numFmtId="166" fontId="1" fillId="3" borderId="0" xfId="0" applyNumberFormat="1" applyFont="1" applyFill="1" applyAlignment="1">
      <alignment vertical="center" wrapText="1"/>
    </xf>
    <xf numFmtId="2" fontId="1" fillId="3" borderId="30" xfId="0" applyNumberFormat="1" applyFont="1" applyFill="1" applyBorder="1" applyAlignment="1">
      <alignment vertical="center" wrapText="1"/>
    </xf>
    <xf numFmtId="2" fontId="1" fillId="3" borderId="34" xfId="0" applyNumberFormat="1" applyFont="1" applyFill="1" applyBorder="1" applyAlignment="1">
      <alignment vertical="center"/>
    </xf>
    <xf numFmtId="166" fontId="1" fillId="0" borderId="35" xfId="12" applyNumberFormat="1" applyFont="1" applyFill="1" applyBorder="1" applyAlignment="1">
      <alignment horizontal="right" vertical="center"/>
    </xf>
    <xf numFmtId="2" fontId="1" fillId="3" borderId="34" xfId="0" applyNumberFormat="1" applyFont="1" applyFill="1" applyBorder="1" applyAlignment="1">
      <alignment vertical="center" wrapText="1"/>
    </xf>
    <xf numFmtId="166" fontId="1" fillId="4" borderId="18" xfId="0" applyNumberFormat="1" applyFont="1" applyFill="1" applyBorder="1" applyAlignment="1">
      <alignment horizontal="right" vertical="center" wrapText="1"/>
    </xf>
    <xf numFmtId="9" fontId="17" fillId="0" borderId="9" xfId="11" applyFont="1" applyBorder="1"/>
    <xf numFmtId="0" fontId="65" fillId="3" borderId="12" xfId="0" quotePrefix="1" applyFont="1" applyFill="1" applyBorder="1" applyAlignment="1">
      <alignment horizontal="left" vertical="center" wrapText="1" indent="1"/>
    </xf>
    <xf numFmtId="0" fontId="10" fillId="0" borderId="12" xfId="0" quotePrefix="1" applyFont="1" applyBorder="1" applyAlignment="1">
      <alignment horizontal="left" indent="1"/>
    </xf>
    <xf numFmtId="0" fontId="1" fillId="0" borderId="0" xfId="0" quotePrefix="1" applyFont="1" applyAlignment="1">
      <alignment horizontal="left"/>
    </xf>
    <xf numFmtId="2" fontId="0" fillId="8" borderId="9" xfId="0" applyNumberFormat="1" applyFill="1" applyBorder="1"/>
    <xf numFmtId="0" fontId="4" fillId="0" borderId="130" xfId="0" applyFont="1" applyBorder="1"/>
    <xf numFmtId="0" fontId="0" fillId="0" borderId="131" xfId="0" applyBorder="1"/>
    <xf numFmtId="0" fontId="0" fillId="0" borderId="132" xfId="0" applyBorder="1"/>
    <xf numFmtId="0" fontId="0" fillId="0" borderId="52" xfId="0" applyBorder="1" applyAlignment="1">
      <alignment horizontal="left"/>
    </xf>
    <xf numFmtId="0" fontId="0" fillId="0" borderId="131" xfId="0" applyBorder="1" applyAlignment="1">
      <alignment horizontal="left"/>
    </xf>
    <xf numFmtId="0" fontId="0" fillId="0" borderId="132" xfId="0" applyBorder="1" applyAlignment="1">
      <alignment horizontal="left"/>
    </xf>
    <xf numFmtId="0" fontId="0" fillId="0" borderId="54" xfId="0" applyBorder="1" applyAlignment="1">
      <alignment horizontal="left"/>
    </xf>
    <xf numFmtId="0" fontId="0" fillId="0" borderId="59" xfId="0" applyBorder="1" applyAlignment="1">
      <alignment horizontal="left"/>
    </xf>
    <xf numFmtId="0" fontId="0" fillId="0" borderId="133" xfId="0" applyBorder="1" applyAlignment="1">
      <alignment horizontal="left"/>
    </xf>
    <xf numFmtId="0" fontId="32" fillId="0" borderId="134" xfId="0" applyFont="1" applyBorder="1" applyAlignment="1">
      <alignment vertical="top" wrapText="1"/>
    </xf>
    <xf numFmtId="0" fontId="32" fillId="0" borderId="134" xfId="0" applyFont="1" applyBorder="1" applyAlignment="1">
      <alignment horizontal="left" vertical="center" wrapText="1"/>
    </xf>
    <xf numFmtId="0" fontId="32" fillId="0" borderId="135" xfId="0" applyFont="1" applyBorder="1" applyAlignment="1">
      <alignment horizontal="left" vertical="center" wrapText="1"/>
    </xf>
    <xf numFmtId="0" fontId="32" fillId="0" borderId="134" xfId="0" applyFont="1" applyBorder="1" applyAlignment="1">
      <alignment horizontal="left" vertical="top" wrapText="1"/>
    </xf>
    <xf numFmtId="0" fontId="32" fillId="0" borderId="136" xfId="0" applyFont="1" applyBorder="1" applyAlignment="1">
      <alignment vertical="top" wrapText="1"/>
    </xf>
    <xf numFmtId="0" fontId="0" fillId="0" borderId="133" xfId="0" applyBorder="1"/>
    <xf numFmtId="0" fontId="30" fillId="8" borderId="134" xfId="0" applyFont="1" applyFill="1" applyBorder="1" applyAlignment="1">
      <alignment vertical="top" wrapText="1"/>
    </xf>
    <xf numFmtId="0" fontId="32" fillId="0" borderId="134" xfId="0" applyFont="1" applyBorder="1" applyAlignment="1">
      <alignment horizontal="right" vertical="top" wrapText="1"/>
    </xf>
    <xf numFmtId="0" fontId="0" fillId="0" borderId="130" xfId="0" applyBorder="1"/>
    <xf numFmtId="0" fontId="36" fillId="0" borderId="59" xfId="14" applyBorder="1"/>
    <xf numFmtId="166" fontId="0" fillId="0" borderId="128" xfId="0" applyNumberFormat="1" applyBorder="1"/>
    <xf numFmtId="0" fontId="20" fillId="3" borderId="30" xfId="0" applyFont="1" applyFill="1" applyBorder="1" applyAlignment="1">
      <alignment vertical="center" wrapText="1"/>
    </xf>
    <xf numFmtId="9" fontId="21" fillId="3" borderId="31" xfId="0" applyNumberFormat="1" applyFont="1" applyFill="1" applyBorder="1" applyAlignment="1">
      <alignment vertical="center" wrapText="1"/>
    </xf>
    <xf numFmtId="166" fontId="20" fillId="3" borderId="30" xfId="0" applyNumberFormat="1" applyFont="1" applyFill="1" applyBorder="1" applyAlignment="1">
      <alignment horizontal="right" vertical="center" wrapText="1"/>
    </xf>
    <xf numFmtId="9" fontId="21" fillId="3" borderId="18" xfId="0" applyNumberFormat="1" applyFont="1" applyFill="1" applyBorder="1" applyAlignment="1">
      <alignment vertical="center" wrapText="1"/>
    </xf>
    <xf numFmtId="0" fontId="20" fillId="3" borderId="18" xfId="0" applyFont="1" applyFill="1" applyBorder="1" applyAlignment="1">
      <alignment vertical="center" wrapText="1"/>
    </xf>
    <xf numFmtId="166" fontId="20" fillId="3" borderId="18" xfId="0" applyNumberFormat="1" applyFont="1" applyFill="1" applyBorder="1" applyAlignment="1">
      <alignment horizontal="right" vertical="center" wrapText="1"/>
    </xf>
    <xf numFmtId="9" fontId="20" fillId="3" borderId="98" xfId="0" applyNumberFormat="1" applyFont="1" applyFill="1" applyBorder="1"/>
    <xf numFmtId="9" fontId="20" fillId="3" borderId="23" xfId="0" applyNumberFormat="1" applyFont="1" applyFill="1" applyBorder="1" applyAlignment="1">
      <alignment vertical="center" wrapText="1"/>
    </xf>
    <xf numFmtId="166" fontId="20" fillId="3" borderId="23" xfId="0" applyNumberFormat="1" applyFont="1" applyFill="1" applyBorder="1"/>
    <xf numFmtId="0" fontId="20" fillId="0" borderId="8" xfId="0" applyFont="1" applyBorder="1" applyAlignment="1">
      <alignment horizontal="center" vertical="center" wrapText="1"/>
    </xf>
    <xf numFmtId="166" fontId="21" fillId="0" borderId="8" xfId="0" applyNumberFormat="1" applyFont="1" applyBorder="1" applyAlignment="1">
      <alignment horizontal="right" vertical="center" wrapText="1"/>
    </xf>
    <xf numFmtId="9" fontId="20" fillId="0" borderId="16" xfId="0" applyNumberFormat="1" applyFont="1" applyBorder="1" applyAlignment="1">
      <alignment vertical="center" wrapText="1"/>
    </xf>
    <xf numFmtId="166" fontId="21" fillId="0" borderId="17" xfId="0" applyNumberFormat="1" applyFont="1" applyBorder="1" applyAlignment="1">
      <alignment horizontal="right" vertical="center" wrapText="1"/>
    </xf>
    <xf numFmtId="0" fontId="20" fillId="0" borderId="15" xfId="0" applyFont="1" applyBorder="1" applyAlignment="1">
      <alignment vertical="center" wrapText="1"/>
    </xf>
    <xf numFmtId="0" fontId="20" fillId="0" borderId="18" xfId="0" applyFont="1" applyBorder="1" applyAlignment="1">
      <alignment vertical="center" wrapText="1"/>
    </xf>
    <xf numFmtId="166" fontId="21" fillId="7" borderId="18" xfId="0" applyNumberFormat="1" applyFont="1" applyFill="1" applyBorder="1" applyAlignment="1">
      <alignment horizontal="right" vertical="center" wrapText="1"/>
    </xf>
    <xf numFmtId="0" fontId="33" fillId="2" borderId="12" xfId="0" applyFont="1" applyFill="1" applyBorder="1"/>
    <xf numFmtId="0" fontId="21" fillId="2" borderId="12" xfId="0" applyFont="1" applyFill="1" applyBorder="1" applyAlignment="1">
      <alignment vertical="center" wrapText="1"/>
    </xf>
    <xf numFmtId="0" fontId="20" fillId="3" borderId="12" xfId="0" applyFont="1" applyFill="1" applyBorder="1"/>
    <xf numFmtId="9" fontId="20" fillId="3" borderId="12" xfId="0" applyNumberFormat="1" applyFont="1" applyFill="1" applyBorder="1" applyAlignment="1">
      <alignment vertical="center" wrapText="1"/>
    </xf>
    <xf numFmtId="9" fontId="20" fillId="3" borderId="31" xfId="0" applyNumberFormat="1" applyFont="1" applyFill="1" applyBorder="1" applyAlignment="1">
      <alignment vertical="center" wrapText="1"/>
    </xf>
    <xf numFmtId="9" fontId="21" fillId="3" borderId="98" xfId="0" applyNumberFormat="1" applyFont="1" applyFill="1" applyBorder="1"/>
    <xf numFmtId="0" fontId="60" fillId="0" borderId="12" xfId="0" applyFont="1" applyBorder="1"/>
    <xf numFmtId="9" fontId="20" fillId="0" borderId="12" xfId="0" applyNumberFormat="1" applyFont="1" applyBorder="1" applyAlignment="1">
      <alignment horizontal="center" vertical="center" wrapText="1"/>
    </xf>
    <xf numFmtId="9" fontId="0" fillId="20" borderId="0" xfId="11" applyFont="1" applyFill="1"/>
    <xf numFmtId="166" fontId="20" fillId="0" borderId="0" xfId="0" applyNumberFormat="1" applyFont="1"/>
    <xf numFmtId="9" fontId="20" fillId="10" borderId="0" xfId="0" applyNumberFormat="1" applyFont="1" applyFill="1"/>
    <xf numFmtId="166" fontId="20" fillId="17" borderId="0" xfId="0" applyNumberFormat="1" applyFont="1" applyFill="1"/>
    <xf numFmtId="9" fontId="20" fillId="17" borderId="0" xfId="0" applyNumberFormat="1" applyFont="1" applyFill="1"/>
    <xf numFmtId="9" fontId="20" fillId="20" borderId="0" xfId="0" applyNumberFormat="1" applyFont="1" applyFill="1"/>
    <xf numFmtId="0" fontId="5" fillId="0" borderId="46" xfId="0" applyFont="1" applyBorder="1" applyAlignment="1">
      <alignment horizontal="right"/>
    </xf>
    <xf numFmtId="182" fontId="4" fillId="4" borderId="0" xfId="0" applyNumberFormat="1" applyFont="1" applyFill="1"/>
    <xf numFmtId="183" fontId="4" fillId="4" borderId="0" xfId="0" applyNumberFormat="1" applyFont="1" applyFill="1"/>
    <xf numFmtId="0" fontId="33" fillId="21" borderId="127" xfId="0" applyFont="1" applyFill="1" applyBorder="1"/>
    <xf numFmtId="0" fontId="60" fillId="22" borderId="127" xfId="0" applyFont="1" applyFill="1" applyBorder="1"/>
    <xf numFmtId="9" fontId="0" fillId="0" borderId="128" xfId="12" applyNumberFormat="1" applyFont="1" applyBorder="1"/>
    <xf numFmtId="9" fontId="0" fillId="22" borderId="128" xfId="12" applyNumberFormat="1" applyFont="1" applyFill="1" applyBorder="1"/>
    <xf numFmtId="9" fontId="81" fillId="0" borderId="0" xfId="11" applyFont="1" applyFill="1" applyAlignment="1">
      <alignment wrapText="1"/>
    </xf>
    <xf numFmtId="0" fontId="2" fillId="9" borderId="0" xfId="0" applyFont="1" applyFill="1"/>
    <xf numFmtId="43" fontId="1" fillId="0" borderId="0" xfId="11" applyNumberFormat="1" applyFont="1" applyFill="1" applyBorder="1"/>
    <xf numFmtId="0" fontId="0" fillId="22" borderId="0" xfId="0" applyFill="1"/>
    <xf numFmtId="165" fontId="0" fillId="0" borderId="128" xfId="12" applyFont="1" applyFill="1" applyBorder="1"/>
    <xf numFmtId="0" fontId="10" fillId="0" borderId="0" xfId="0" applyFont="1" applyAlignment="1">
      <alignment horizontal="left"/>
    </xf>
    <xf numFmtId="166" fontId="1" fillId="3" borderId="5" xfId="0" applyNumberFormat="1" applyFont="1" applyFill="1" applyBorder="1" applyAlignment="1">
      <alignment horizontal="right" vertical="center" wrapText="1"/>
    </xf>
    <xf numFmtId="0" fontId="10" fillId="0" borderId="0" xfId="0" quotePrefix="1" applyFont="1" applyAlignment="1">
      <alignment horizontal="left" indent="1"/>
    </xf>
    <xf numFmtId="0" fontId="21" fillId="4" borderId="9" xfId="0" applyFont="1" applyFill="1" applyBorder="1"/>
    <xf numFmtId="166" fontId="0" fillId="4" borderId="0" xfId="0" applyNumberFormat="1" applyFill="1"/>
    <xf numFmtId="166" fontId="1" fillId="4" borderId="0" xfId="0" applyNumberFormat="1" applyFont="1" applyFill="1"/>
    <xf numFmtId="166" fontId="1" fillId="4" borderId="70" xfId="0" applyNumberFormat="1" applyFont="1" applyFill="1" applyBorder="1"/>
    <xf numFmtId="178" fontId="0" fillId="4" borderId="9" xfId="0" applyNumberFormat="1" applyFill="1" applyBorder="1"/>
    <xf numFmtId="7" fontId="23" fillId="4" borderId="9" xfId="0" applyNumberFormat="1" applyFont="1" applyFill="1" applyBorder="1" applyAlignment="1">
      <alignment horizontal="right"/>
    </xf>
    <xf numFmtId="7" fontId="40" fillId="4" borderId="9" xfId="0" applyNumberFormat="1" applyFont="1" applyFill="1" applyBorder="1" applyAlignment="1">
      <alignment horizontal="right"/>
    </xf>
    <xf numFmtId="9" fontId="39" fillId="4" borderId="9" xfId="11" applyFont="1" applyFill="1" applyBorder="1" applyAlignment="1">
      <alignment horizontal="right"/>
    </xf>
    <xf numFmtId="9" fontId="20" fillId="4" borderId="12" xfId="0" applyNumberFormat="1" applyFont="1" applyFill="1" applyBorder="1"/>
    <xf numFmtId="174" fontId="0" fillId="4" borderId="0" xfId="0" applyNumberFormat="1" applyFill="1"/>
    <xf numFmtId="43" fontId="0" fillId="4" borderId="0" xfId="0" applyNumberFormat="1" applyFill="1"/>
    <xf numFmtId="0" fontId="11" fillId="4" borderId="0" xfId="0" applyFont="1" applyFill="1"/>
    <xf numFmtId="0" fontId="24" fillId="4" borderId="0" xfId="0" applyFont="1" applyFill="1"/>
    <xf numFmtId="0" fontId="60" fillId="4" borderId="105" xfId="0" applyFont="1" applyFill="1" applyBorder="1" applyAlignment="1" applyProtection="1">
      <alignment horizontal="right"/>
      <protection locked="0"/>
    </xf>
    <xf numFmtId="0" fontId="78" fillId="4" borderId="107" xfId="0" applyFont="1" applyFill="1" applyBorder="1" applyProtection="1">
      <protection locked="0"/>
    </xf>
    <xf numFmtId="0" fontId="78" fillId="4" borderId="108" xfId="0" applyFont="1" applyFill="1" applyBorder="1" applyProtection="1">
      <protection locked="0"/>
    </xf>
    <xf numFmtId="0" fontId="79" fillId="4" borderId="108" xfId="0" applyFont="1" applyFill="1" applyBorder="1" applyProtection="1">
      <protection locked="0"/>
    </xf>
    <xf numFmtId="175" fontId="20" fillId="3" borderId="16" xfId="0" applyNumberFormat="1" applyFont="1" applyFill="1" applyBorder="1" applyAlignment="1">
      <alignment vertical="center" wrapText="1"/>
    </xf>
    <xf numFmtId="175" fontId="20" fillId="3" borderId="138" xfId="0" applyNumberFormat="1" applyFont="1" applyFill="1" applyBorder="1" applyAlignment="1">
      <alignment vertical="center" wrapText="1"/>
    </xf>
    <xf numFmtId="0" fontId="1" fillId="3" borderId="139" xfId="0" applyFont="1" applyFill="1" applyBorder="1" applyAlignment="1">
      <alignment vertical="center" wrapText="1"/>
    </xf>
    <xf numFmtId="0" fontId="1" fillId="3" borderId="63" xfId="0" applyFont="1" applyFill="1" applyBorder="1" applyAlignment="1">
      <alignment vertical="center" wrapText="1"/>
    </xf>
    <xf numFmtId="9" fontId="1" fillId="0" borderId="23" xfId="0" applyNumberFormat="1" applyFont="1" applyBorder="1" applyAlignment="1">
      <alignment horizontal="center" vertical="center" wrapText="1"/>
    </xf>
    <xf numFmtId="175" fontId="20" fillId="3" borderId="140" xfId="0" applyNumberFormat="1" applyFont="1" applyFill="1" applyBorder="1" applyAlignment="1">
      <alignment vertical="center" wrapText="1"/>
    </xf>
    <xf numFmtId="2" fontId="1" fillId="3" borderId="140" xfId="0" applyNumberFormat="1" applyFont="1" applyFill="1" applyBorder="1" applyAlignment="1">
      <alignment vertical="center" wrapText="1"/>
    </xf>
    <xf numFmtId="0" fontId="1" fillId="3" borderId="140" xfId="0" applyFont="1" applyFill="1" applyBorder="1" applyAlignment="1">
      <alignment vertical="center" wrapText="1"/>
    </xf>
    <xf numFmtId="166" fontId="1" fillId="3" borderId="140" xfId="0" applyNumberFormat="1" applyFont="1" applyFill="1" applyBorder="1" applyAlignment="1">
      <alignment horizontal="right" vertical="center" wrapText="1"/>
    </xf>
    <xf numFmtId="166" fontId="1" fillId="3" borderId="140" xfId="0" applyNumberFormat="1" applyFont="1" applyFill="1" applyBorder="1" applyAlignment="1">
      <alignment vertical="center" wrapText="1"/>
    </xf>
    <xf numFmtId="0" fontId="1" fillId="3" borderId="140" xfId="0" applyFont="1" applyFill="1" applyBorder="1"/>
    <xf numFmtId="9" fontId="1" fillId="3" borderId="140" xfId="0" applyNumberFormat="1" applyFont="1" applyFill="1" applyBorder="1"/>
    <xf numFmtId="166" fontId="1" fillId="3" borderId="140" xfId="0" applyNumberFormat="1" applyFont="1" applyFill="1" applyBorder="1"/>
    <xf numFmtId="0" fontId="2" fillId="5" borderId="141" xfId="0" applyFont="1" applyFill="1" applyBorder="1" applyAlignment="1">
      <alignment vertical="center"/>
    </xf>
    <xf numFmtId="0" fontId="1" fillId="5" borderId="142" xfId="0" applyFont="1" applyFill="1" applyBorder="1" applyAlignment="1">
      <alignment vertical="center" wrapText="1"/>
    </xf>
    <xf numFmtId="0" fontId="1" fillId="5" borderId="143" xfId="0" applyFont="1" applyFill="1" applyBorder="1" applyAlignment="1">
      <alignment vertical="center" wrapText="1"/>
    </xf>
    <xf numFmtId="175" fontId="20" fillId="3" borderId="9" xfId="0" applyNumberFormat="1" applyFont="1" applyFill="1" applyBorder="1" applyAlignment="1">
      <alignment vertical="center" wrapText="1"/>
    </xf>
    <xf numFmtId="2" fontId="1" fillId="3" borderId="9" xfId="0" applyNumberFormat="1" applyFont="1" applyFill="1" applyBorder="1" applyAlignment="1">
      <alignment vertical="center" wrapText="1"/>
    </xf>
    <xf numFmtId="166" fontId="1" fillId="3" borderId="9" xfId="0" applyNumberFormat="1" applyFont="1" applyFill="1" applyBorder="1" applyAlignment="1">
      <alignment horizontal="right" vertical="center" wrapText="1"/>
    </xf>
    <xf numFmtId="0" fontId="1" fillId="3" borderId="9" xfId="0" applyFont="1" applyFill="1" applyBorder="1"/>
    <xf numFmtId="9" fontId="1" fillId="3" borderId="9" xfId="0" applyNumberFormat="1" applyFont="1" applyFill="1" applyBorder="1"/>
    <xf numFmtId="9" fontId="1" fillId="0" borderId="9" xfId="0" applyNumberFormat="1" applyFont="1" applyBorder="1" applyAlignment="1">
      <alignment horizontal="center" vertical="center" wrapText="1"/>
    </xf>
    <xf numFmtId="0" fontId="1" fillId="0" borderId="9" xfId="0" applyFont="1" applyBorder="1" applyAlignment="1">
      <alignment horizontal="center" vertical="center"/>
    </xf>
    <xf numFmtId="166" fontId="2" fillId="8" borderId="9" xfId="0" applyNumberFormat="1" applyFont="1" applyFill="1" applyBorder="1"/>
    <xf numFmtId="0" fontId="1" fillId="3" borderId="12" xfId="0" applyFont="1" applyFill="1" applyBorder="1" applyAlignment="1">
      <alignment vertical="center" wrapText="1"/>
    </xf>
    <xf numFmtId="175" fontId="20" fillId="3" borderId="12" xfId="0" applyNumberFormat="1" applyFont="1" applyFill="1" applyBorder="1" applyAlignment="1">
      <alignment vertical="center" wrapText="1"/>
    </xf>
    <xf numFmtId="2" fontId="1" fillId="3" borderId="12" xfId="0" applyNumberFormat="1" applyFont="1" applyFill="1" applyBorder="1" applyAlignment="1">
      <alignment vertical="center" wrapText="1"/>
    </xf>
    <xf numFmtId="166" fontId="1" fillId="3" borderId="12" xfId="0" applyNumberFormat="1" applyFont="1" applyFill="1" applyBorder="1" applyAlignment="1">
      <alignment horizontal="right" vertical="center" wrapText="1"/>
    </xf>
    <xf numFmtId="9" fontId="1" fillId="3" borderId="12" xfId="0" applyNumberFormat="1" applyFont="1" applyFill="1" applyBorder="1"/>
    <xf numFmtId="0" fontId="1" fillId="0" borderId="12" xfId="0" applyFont="1" applyBorder="1" applyAlignment="1">
      <alignment horizontal="center"/>
    </xf>
    <xf numFmtId="166" fontId="2" fillId="8" borderId="12" xfId="0" applyNumberFormat="1" applyFont="1" applyFill="1" applyBorder="1"/>
    <xf numFmtId="0" fontId="1" fillId="0" borderId="12" xfId="0" applyFont="1" applyBorder="1" applyAlignment="1">
      <alignment horizontal="center" vertical="center"/>
    </xf>
    <xf numFmtId="9" fontId="0" fillId="0" borderId="0" xfId="11" applyFont="1" applyFill="1" applyBorder="1"/>
    <xf numFmtId="0" fontId="42" fillId="0" borderId="105" xfId="0" applyFont="1" applyBorder="1" applyAlignment="1" applyProtection="1">
      <alignment horizontal="right"/>
      <protection locked="0"/>
    </xf>
    <xf numFmtId="184" fontId="0" fillId="0" borderId="0" xfId="0" applyNumberFormat="1"/>
    <xf numFmtId="0" fontId="40" fillId="0" borderId="9" xfId="0" applyFont="1" applyBorder="1" applyAlignment="1">
      <alignment horizontal="right"/>
    </xf>
    <xf numFmtId="0" fontId="0" fillId="0" borderId="9" xfId="0" applyBorder="1" applyAlignment="1">
      <alignment horizontal="left"/>
    </xf>
    <xf numFmtId="0" fontId="0" fillId="0" borderId="45" xfId="0" applyBorder="1" applyAlignment="1">
      <alignment horizontal="left"/>
    </xf>
    <xf numFmtId="0" fontId="29" fillId="0" borderId="45" xfId="13" applyFont="1" applyBorder="1" applyAlignment="1">
      <alignment horizontal="left"/>
    </xf>
    <xf numFmtId="0" fontId="29" fillId="0" borderId="113" xfId="13" applyFont="1" applyBorder="1" applyAlignment="1">
      <alignment horizontal="left"/>
    </xf>
    <xf numFmtId="0" fontId="29" fillId="0" borderId="9" xfId="13" applyFont="1" applyBorder="1" applyAlignment="1">
      <alignment horizontal="left"/>
    </xf>
    <xf numFmtId="0" fontId="29" fillId="0" borderId="46" xfId="13" applyFont="1" applyBorder="1" applyAlignment="1">
      <alignment horizontal="left"/>
    </xf>
    <xf numFmtId="0" fontId="5" fillId="0" borderId="46" xfId="0" applyFont="1" applyBorder="1" applyAlignment="1">
      <alignment horizontal="left"/>
    </xf>
    <xf numFmtId="0" fontId="5" fillId="4" borderId="9" xfId="0" applyFont="1" applyFill="1" applyBorder="1" applyAlignment="1">
      <alignment horizontal="left"/>
    </xf>
    <xf numFmtId="0" fontId="32" fillId="0" borderId="9" xfId="0" applyFont="1" applyBorder="1" applyAlignment="1">
      <alignment horizontal="left" vertical="top" wrapText="1"/>
    </xf>
    <xf numFmtId="0" fontId="32" fillId="0" borderId="46" xfId="0" applyFont="1" applyBorder="1" applyAlignment="1">
      <alignment horizontal="left" vertical="top" wrapText="1"/>
    </xf>
    <xf numFmtId="0" fontId="0" fillId="0" borderId="37" xfId="0" applyBorder="1" applyAlignment="1">
      <alignment horizontal="center"/>
    </xf>
    <xf numFmtId="2" fontId="0" fillId="0" borderId="45" xfId="0" applyNumberFormat="1" applyBorder="1" applyAlignment="1">
      <alignment horizontal="center"/>
    </xf>
    <xf numFmtId="0" fontId="0" fillId="4" borderId="45" xfId="0" applyFill="1" applyBorder="1"/>
    <xf numFmtId="0" fontId="0" fillId="20" borderId="0" xfId="0" applyFill="1" applyAlignment="1">
      <alignment horizontal="right"/>
    </xf>
    <xf numFmtId="0" fontId="5" fillId="0" borderId="0" xfId="0" applyFont="1" applyAlignment="1">
      <alignment horizontal="left"/>
    </xf>
    <xf numFmtId="165" fontId="0" fillId="0" borderId="0" xfId="12" applyFont="1"/>
    <xf numFmtId="0" fontId="96" fillId="5" borderId="2" xfId="0" applyFont="1" applyFill="1" applyBorder="1" applyAlignment="1">
      <alignment vertical="center" wrapText="1"/>
    </xf>
    <xf numFmtId="0" fontId="60" fillId="0" borderId="53" xfId="0" applyFont="1" applyBorder="1" applyAlignment="1">
      <alignment horizontal="right"/>
    </xf>
    <xf numFmtId="166" fontId="2" fillId="0" borderId="3" xfId="0" applyNumberFormat="1" applyFont="1" applyBorder="1" applyAlignment="1">
      <alignment vertical="center" wrapText="1"/>
    </xf>
    <xf numFmtId="166" fontId="1" fillId="3" borderId="23" xfId="0" applyNumberFormat="1" applyFont="1" applyFill="1" applyBorder="1" applyAlignment="1">
      <alignment horizontal="right"/>
    </xf>
    <xf numFmtId="0" fontId="96" fillId="5" borderId="14" xfId="0" applyFont="1" applyFill="1" applyBorder="1" applyAlignment="1">
      <alignment vertical="center" wrapText="1"/>
    </xf>
    <xf numFmtId="0" fontId="47" fillId="14" borderId="47" xfId="13" applyFont="1" applyFill="1" applyBorder="1" applyAlignment="1">
      <alignment horizontal="center" wrapText="1"/>
    </xf>
    <xf numFmtId="0" fontId="47" fillId="14" borderId="48" xfId="13" applyFont="1" applyFill="1" applyBorder="1" applyAlignment="1">
      <alignment horizontal="center" wrapText="1"/>
    </xf>
    <xf numFmtId="0" fontId="47" fillId="14" borderId="68" xfId="13" applyFont="1" applyFill="1" applyBorder="1" applyAlignment="1">
      <alignment horizontal="center" wrapText="1"/>
    </xf>
    <xf numFmtId="0" fontId="46" fillId="0" borderId="93" xfId="13" applyFont="1" applyBorder="1" applyAlignment="1">
      <alignment horizontal="center"/>
    </xf>
    <xf numFmtId="0" fontId="46" fillId="0" borderId="137" xfId="13" applyFont="1" applyBorder="1" applyAlignment="1">
      <alignment horizontal="center"/>
    </xf>
    <xf numFmtId="0" fontId="46" fillId="0" borderId="94" xfId="13" applyFont="1" applyBorder="1" applyAlignment="1">
      <alignment horizontal="center"/>
    </xf>
    <xf numFmtId="0" fontId="4" fillId="4" borderId="64" xfId="0" applyFont="1" applyFill="1" applyBorder="1" applyAlignment="1">
      <alignment wrapText="1"/>
    </xf>
    <xf numFmtId="0" fontId="0" fillId="4" borderId="64" xfId="0" applyFill="1" applyBorder="1"/>
    <xf numFmtId="170" fontId="47" fillId="14" borderId="9" xfId="13" applyNumberFormat="1" applyFont="1" applyFill="1" applyBorder="1" applyAlignment="1">
      <alignment wrapText="1"/>
    </xf>
    <xf numFmtId="0" fontId="69" fillId="0" borderId="9" xfId="13" applyFont="1" applyBorder="1" applyAlignment="1">
      <alignment horizontal="right"/>
    </xf>
    <xf numFmtId="0" fontId="69" fillId="0" borderId="45" xfId="13" applyFont="1" applyBorder="1" applyAlignment="1">
      <alignment horizontal="right"/>
    </xf>
    <xf numFmtId="2" fontId="4" fillId="4" borderId="46" xfId="0" applyNumberFormat="1" applyFont="1" applyFill="1" applyBorder="1"/>
    <xf numFmtId="2" fontId="0" fillId="4" borderId="45" xfId="0" applyNumberFormat="1" applyFill="1" applyBorder="1"/>
    <xf numFmtId="2" fontId="4" fillId="4" borderId="9" xfId="0" applyNumberFormat="1" applyFont="1" applyFill="1" applyBorder="1"/>
    <xf numFmtId="2" fontId="72" fillId="0" borderId="45" xfId="13" applyNumberFormat="1" applyFont="1" applyBorder="1"/>
    <xf numFmtId="0" fontId="4" fillId="0" borderId="9" xfId="0" applyFont="1" applyBorder="1" applyAlignment="1">
      <alignment horizontal="right"/>
    </xf>
    <xf numFmtId="0" fontId="4" fillId="4" borderId="9" xfId="0" applyFont="1" applyFill="1" applyBorder="1" applyAlignment="1">
      <alignment horizontal="right"/>
    </xf>
    <xf numFmtId="0" fontId="0" fillId="4" borderId="40" xfId="0" applyFill="1" applyBorder="1"/>
    <xf numFmtId="2" fontId="0" fillId="0" borderId="37" xfId="0" applyNumberFormat="1" applyBorder="1" applyAlignment="1">
      <alignment horizontal="center"/>
    </xf>
    <xf numFmtId="2" fontId="0" fillId="0" borderId="83" xfId="0" applyNumberFormat="1" applyBorder="1"/>
    <xf numFmtId="0" fontId="44" fillId="4" borderId="44" xfId="0" applyFont="1" applyFill="1" applyBorder="1" applyAlignment="1">
      <alignment horizontal="center"/>
    </xf>
    <xf numFmtId="166" fontId="1" fillId="0" borderId="12" xfId="11" applyNumberFormat="1" applyFont="1" applyFill="1" applyBorder="1"/>
    <xf numFmtId="0" fontId="0" fillId="0" borderId="49" xfId="0" applyBorder="1"/>
    <xf numFmtId="0" fontId="1" fillId="0" borderId="49" xfId="0" applyFont="1" applyBorder="1" applyAlignment="1">
      <alignment wrapText="1"/>
    </xf>
    <xf numFmtId="166" fontId="20" fillId="0" borderId="148" xfId="0" applyNumberFormat="1" applyFont="1" applyBorder="1"/>
    <xf numFmtId="166" fontId="1" fillId="0" borderId="148" xfId="0" applyNumberFormat="1" applyFont="1" applyBorder="1"/>
    <xf numFmtId="179" fontId="0" fillId="0" borderId="0" xfId="0" applyNumberFormat="1" applyAlignment="1">
      <alignment horizontal="left" indent="1"/>
    </xf>
    <xf numFmtId="0" fontId="44" fillId="0" borderId="53" xfId="0" applyFont="1" applyBorder="1" applyAlignment="1">
      <alignment horizontal="right"/>
    </xf>
    <xf numFmtId="0" fontId="41" fillId="0" borderId="12" xfId="0" applyFont="1" applyBorder="1" applyProtection="1">
      <protection locked="0"/>
    </xf>
    <xf numFmtId="0" fontId="97" fillId="4" borderId="0" xfId="0" applyFont="1" applyFill="1"/>
    <xf numFmtId="0" fontId="97" fillId="4" borderId="0" xfId="0" applyFont="1" applyFill="1" applyAlignment="1">
      <alignment horizontal="left" vertical="center" wrapText="1"/>
    </xf>
    <xf numFmtId="0" fontId="97" fillId="0" borderId="0" xfId="0" applyFont="1" applyAlignment="1">
      <alignment horizontal="left" vertical="center" wrapText="1"/>
    </xf>
    <xf numFmtId="0" fontId="84" fillId="4" borderId="0" xfId="0" applyFont="1" applyFill="1" applyAlignment="1">
      <alignment horizontal="left" vertical="center" wrapText="1"/>
    </xf>
    <xf numFmtId="0" fontId="84" fillId="4" borderId="0" xfId="0" applyFont="1" applyFill="1" applyAlignment="1">
      <alignment vertical="center" wrapText="1"/>
    </xf>
    <xf numFmtId="0" fontId="81" fillId="4" borderId="0" xfId="0" applyFont="1" applyFill="1" applyAlignment="1">
      <alignment horizontal="left" vertical="center" wrapText="1"/>
    </xf>
    <xf numFmtId="0" fontId="81" fillId="4" borderId="0" xfId="0" applyFont="1" applyFill="1" applyAlignment="1">
      <alignment vertical="top" wrapText="1"/>
    </xf>
    <xf numFmtId="0" fontId="81" fillId="4" borderId="0" xfId="0" applyFont="1" applyFill="1" applyAlignment="1">
      <alignment vertical="center" wrapText="1"/>
    </xf>
    <xf numFmtId="0" fontId="5" fillId="0" borderId="0" xfId="0" applyFont="1" applyAlignment="1">
      <alignment horizontal="right" wrapText="1"/>
    </xf>
    <xf numFmtId="0" fontId="0" fillId="0" borderId="58" xfId="0" applyBorder="1" applyAlignment="1">
      <alignment horizontal="left"/>
    </xf>
    <xf numFmtId="166" fontId="60" fillId="0" borderId="58" xfId="0" applyNumberFormat="1" applyFont="1" applyBorder="1"/>
    <xf numFmtId="0" fontId="5" fillId="0" borderId="11" xfId="0" applyFont="1" applyBorder="1" applyAlignment="1">
      <alignment horizontal="right" wrapText="1"/>
    </xf>
    <xf numFmtId="0" fontId="4" fillId="0" borderId="89" xfId="0" applyFont="1" applyBorder="1"/>
    <xf numFmtId="165" fontId="67" fillId="0" borderId="10" xfId="12" applyFont="1" applyBorder="1"/>
    <xf numFmtId="9" fontId="67" fillId="0" borderId="10" xfId="11" applyFont="1" applyBorder="1"/>
    <xf numFmtId="0" fontId="0" fillId="20" borderId="70" xfId="0" applyFill="1" applyBorder="1"/>
    <xf numFmtId="0" fontId="0" fillId="4" borderId="70" xfId="0" applyFill="1" applyBorder="1"/>
    <xf numFmtId="166" fontId="2" fillId="0" borderId="149" xfId="0" applyNumberFormat="1" applyFont="1" applyBorder="1" applyAlignment="1">
      <alignment horizontal="right" vertical="center" wrapText="1"/>
    </xf>
    <xf numFmtId="0" fontId="100" fillId="0" borderId="0" xfId="0" applyFont="1"/>
    <xf numFmtId="0" fontId="4" fillId="0" borderId="9" xfId="0" applyFont="1" applyBorder="1" applyAlignment="1">
      <alignment horizontal="center"/>
    </xf>
    <xf numFmtId="166" fontId="14" fillId="0" borderId="0" xfId="0" applyNumberFormat="1" applyFont="1"/>
    <xf numFmtId="0" fontId="101" fillId="0" borderId="0" xfId="0" applyFont="1"/>
    <xf numFmtId="0" fontId="46" fillId="0" borderId="9" xfId="13" quotePrefix="1" applyFont="1" applyBorder="1" applyAlignment="1">
      <alignment horizontal="center"/>
    </xf>
    <xf numFmtId="170" fontId="28" fillId="0" borderId="9" xfId="13" quotePrefix="1" applyNumberFormat="1" applyFont="1" applyBorder="1" applyAlignment="1">
      <alignment horizontal="center" wrapText="1"/>
    </xf>
    <xf numFmtId="0" fontId="32" fillId="0" borderId="45" xfId="0" applyFont="1" applyBorder="1" applyAlignment="1">
      <alignment horizontal="right" vertical="center" wrapText="1"/>
    </xf>
    <xf numFmtId="2" fontId="0" fillId="0" borderId="64" xfId="0" applyNumberFormat="1" applyBorder="1" applyAlignment="1">
      <alignment horizontal="right"/>
    </xf>
    <xf numFmtId="179" fontId="1" fillId="3" borderId="5" xfId="0" applyNumberFormat="1" applyFont="1" applyFill="1" applyBorder="1" applyAlignment="1">
      <alignment vertical="center" wrapText="1"/>
    </xf>
    <xf numFmtId="179" fontId="1" fillId="3" borderId="140" xfId="0" applyNumberFormat="1" applyFont="1" applyFill="1" applyBorder="1" applyAlignment="1">
      <alignment vertical="center" wrapText="1"/>
    </xf>
    <xf numFmtId="0" fontId="0" fillId="8" borderId="52" xfId="0" applyFill="1" applyBorder="1" applyAlignment="1">
      <alignment horizontal="left" vertical="center" wrapText="1"/>
    </xf>
    <xf numFmtId="0" fontId="0" fillId="0" borderId="40" xfId="0" applyBorder="1"/>
    <xf numFmtId="0" fontId="57" fillId="4" borderId="90" xfId="0" applyFont="1" applyFill="1" applyBorder="1" applyAlignment="1">
      <alignment horizontal="left" vertical="center" wrapText="1"/>
    </xf>
    <xf numFmtId="0" fontId="57" fillId="4" borderId="91" xfId="0" applyFont="1" applyFill="1" applyBorder="1" applyAlignment="1">
      <alignment horizontal="left" vertical="center" wrapText="1"/>
    </xf>
    <xf numFmtId="0" fontId="57" fillId="4" borderId="92" xfId="0" applyFont="1" applyFill="1" applyBorder="1" applyAlignment="1">
      <alignment horizontal="left" vertical="center" wrapText="1"/>
    </xf>
    <xf numFmtId="0" fontId="44" fillId="20" borderId="10" xfId="0" applyFont="1" applyFill="1" applyBorder="1" applyAlignment="1">
      <alignment horizontal="center"/>
    </xf>
    <xf numFmtId="0" fontId="44" fillId="20" borderId="89" xfId="0" applyFont="1" applyFill="1" applyBorder="1" applyAlignment="1">
      <alignment horizontal="center"/>
    </xf>
    <xf numFmtId="0" fontId="44" fillId="20" borderId="126" xfId="0" applyFont="1" applyFill="1" applyBorder="1" applyAlignment="1">
      <alignment horizontal="center"/>
    </xf>
    <xf numFmtId="0" fontId="50" fillId="15" borderId="88" xfId="0" applyFont="1" applyFill="1" applyBorder="1" applyAlignment="1">
      <alignment horizontal="center"/>
    </xf>
    <xf numFmtId="0" fontId="50" fillId="15" borderId="87" xfId="0" applyFont="1" applyFill="1" applyBorder="1" applyAlignment="1">
      <alignment horizontal="center"/>
    </xf>
    <xf numFmtId="0" fontId="50" fillId="15" borderId="80" xfId="0" applyFont="1" applyFill="1" applyBorder="1" applyAlignment="1">
      <alignment horizontal="center"/>
    </xf>
    <xf numFmtId="0" fontId="90" fillId="4" borderId="9" xfId="0" applyFont="1" applyFill="1" applyBorder="1" applyAlignment="1">
      <alignment horizontal="left" vertical="center" wrapText="1"/>
    </xf>
    <xf numFmtId="0" fontId="57" fillId="4" borderId="95" xfId="0" applyFont="1" applyFill="1" applyBorder="1" applyAlignment="1">
      <alignment horizontal="left" vertical="center" wrapText="1"/>
    </xf>
    <xf numFmtId="0" fontId="4" fillId="4" borderId="85" xfId="0" applyFont="1" applyFill="1" applyBorder="1" applyAlignment="1">
      <alignment horizontal="center" vertical="center"/>
    </xf>
    <xf numFmtId="0" fontId="4" fillId="4" borderId="82" xfId="0" applyFont="1" applyFill="1" applyBorder="1" applyAlignment="1">
      <alignment horizontal="center" vertical="center"/>
    </xf>
    <xf numFmtId="0" fontId="58" fillId="4" borderId="64" xfId="0" applyFont="1" applyFill="1" applyBorder="1" applyAlignment="1">
      <alignment horizontal="left" wrapText="1"/>
    </xf>
    <xf numFmtId="0" fontId="58" fillId="4" borderId="0" xfId="0" applyFont="1" applyFill="1" applyAlignment="1">
      <alignment horizontal="left" wrapText="1"/>
    </xf>
    <xf numFmtId="0" fontId="57" fillId="4" borderId="0" xfId="0" applyFont="1" applyFill="1" applyAlignment="1">
      <alignment horizontal="left" vertical="center" wrapText="1"/>
    </xf>
    <xf numFmtId="0" fontId="50" fillId="15" borderId="77" xfId="0" applyFont="1" applyFill="1" applyBorder="1" applyAlignment="1">
      <alignment horizontal="center"/>
    </xf>
    <xf numFmtId="0" fontId="4" fillId="4" borderId="0" xfId="0" applyFont="1" applyFill="1" applyAlignment="1">
      <alignment horizontal="right"/>
    </xf>
    <xf numFmtId="0" fontId="4" fillId="8" borderId="103" xfId="0" applyFont="1" applyFill="1" applyBorder="1" applyAlignment="1">
      <alignment horizontal="center"/>
    </xf>
    <xf numFmtId="0" fontId="4" fillId="8" borderId="37" xfId="0" applyFont="1" applyFill="1" applyBorder="1" applyAlignment="1">
      <alignment horizontal="center"/>
    </xf>
    <xf numFmtId="0" fontId="51" fillId="8" borderId="0" xfId="0" applyFont="1" applyFill="1" applyAlignment="1">
      <alignment horizontal="left" vertical="center" wrapText="1"/>
    </xf>
    <xf numFmtId="0" fontId="4" fillId="4" borderId="85" xfId="0" applyFont="1" applyFill="1" applyBorder="1" applyAlignment="1">
      <alignment horizontal="center" vertical="center" wrapText="1"/>
    </xf>
    <xf numFmtId="0" fontId="4" fillId="4" borderId="82" xfId="0" applyFont="1" applyFill="1" applyBorder="1" applyAlignment="1">
      <alignment horizontal="center" vertical="center" wrapText="1"/>
    </xf>
    <xf numFmtId="0" fontId="52" fillId="4" borderId="0" xfId="0" applyFont="1" applyFill="1" applyAlignment="1">
      <alignment horizontal="left" vertical="center" wrapText="1"/>
    </xf>
    <xf numFmtId="0" fontId="45" fillId="4" borderId="76" xfId="0" applyFont="1" applyFill="1" applyBorder="1" applyAlignment="1">
      <alignment horizontal="center" vertical="center" wrapText="1"/>
    </xf>
    <xf numFmtId="0" fontId="45" fillId="4" borderId="74" xfId="0" applyFont="1" applyFill="1" applyBorder="1" applyAlignment="1">
      <alignment horizontal="center" vertical="center" wrapText="1"/>
    </xf>
    <xf numFmtId="0" fontId="56" fillId="16" borderId="0" xfId="0" applyFont="1" applyFill="1" applyAlignment="1">
      <alignment horizontal="left" vertical="center" wrapText="1"/>
    </xf>
    <xf numFmtId="0" fontId="50" fillId="15" borderId="61" xfId="0" applyFont="1" applyFill="1" applyBorder="1" applyAlignment="1">
      <alignment horizontal="center" vertical="center" wrapText="1"/>
    </xf>
    <xf numFmtId="170" fontId="45" fillId="4" borderId="76" xfId="0" applyNumberFormat="1" applyFont="1" applyFill="1" applyBorder="1" applyAlignment="1">
      <alignment horizontal="center" vertical="center" wrapText="1"/>
    </xf>
    <xf numFmtId="170" fontId="45" fillId="4" borderId="74" xfId="0" applyNumberFormat="1" applyFont="1" applyFill="1" applyBorder="1" applyAlignment="1">
      <alignment horizontal="center" vertical="center" wrapText="1"/>
    </xf>
    <xf numFmtId="0" fontId="45" fillId="4" borderId="44" xfId="0" applyFont="1" applyFill="1" applyBorder="1" applyAlignment="1">
      <alignment horizontal="center" vertical="center" wrapText="1"/>
    </xf>
    <xf numFmtId="0" fontId="45" fillId="4" borderId="145" xfId="0" applyFont="1" applyFill="1" applyBorder="1" applyAlignment="1">
      <alignment horizontal="center" vertical="center" wrapText="1"/>
    </xf>
    <xf numFmtId="0" fontId="45" fillId="4" borderId="146" xfId="0" applyFont="1" applyFill="1" applyBorder="1" applyAlignment="1">
      <alignment horizontal="center" vertical="center" wrapText="1"/>
    </xf>
    <xf numFmtId="0" fontId="84" fillId="4" borderId="0" xfId="0" applyFont="1" applyFill="1" applyAlignment="1">
      <alignment horizontal="left" vertical="center" wrapText="1"/>
    </xf>
    <xf numFmtId="170" fontId="45" fillId="4" borderId="47" xfId="0" applyNumberFormat="1" applyFont="1" applyFill="1" applyBorder="1" applyAlignment="1">
      <alignment horizontal="center" vertical="center" wrapText="1"/>
    </xf>
    <xf numFmtId="170" fontId="45" fillId="4" borderId="68" xfId="0" applyNumberFormat="1" applyFont="1" applyFill="1" applyBorder="1" applyAlignment="1">
      <alignment horizontal="center" vertical="center" wrapText="1"/>
    </xf>
    <xf numFmtId="0" fontId="98" fillId="0" borderId="0" xfId="0" applyFont="1" applyAlignment="1">
      <alignment horizontal="left" vertical="top" wrapText="1"/>
    </xf>
    <xf numFmtId="0" fontId="58" fillId="4" borderId="0" xfId="0" applyFont="1" applyFill="1" applyAlignment="1">
      <alignment horizontal="left" vertical="top" wrapText="1"/>
    </xf>
    <xf numFmtId="0" fontId="81" fillId="4" borderId="0" xfId="0" applyFont="1" applyFill="1" applyAlignment="1">
      <alignment horizontal="left" vertical="top" wrapText="1"/>
    </xf>
    <xf numFmtId="0" fontId="81" fillId="4" borderId="0" xfId="0" applyFont="1" applyFill="1" applyAlignment="1">
      <alignment horizontal="left" vertical="center" wrapText="1"/>
    </xf>
    <xf numFmtId="0" fontId="45" fillId="4" borderId="9" xfId="0" applyFont="1" applyFill="1" applyBorder="1" applyAlignment="1">
      <alignment horizontal="center" vertical="center" wrapText="1"/>
    </xf>
    <xf numFmtId="0" fontId="58" fillId="4" borderId="64" xfId="0" applyFont="1" applyFill="1" applyBorder="1" applyAlignment="1">
      <alignment horizontal="left" vertical="top" wrapText="1"/>
    </xf>
    <xf numFmtId="0" fontId="57" fillId="0" borderId="0" xfId="0" applyFont="1" applyAlignment="1">
      <alignment horizontal="left" wrapText="1"/>
    </xf>
    <xf numFmtId="170" fontId="64" fillId="0" borderId="0" xfId="0" applyNumberFormat="1" applyFont="1" applyAlignment="1">
      <alignment horizontal="center" vertical="center" wrapText="1"/>
    </xf>
    <xf numFmtId="170" fontId="45" fillId="4" borderId="93" xfId="0" applyNumberFormat="1" applyFont="1" applyFill="1" applyBorder="1" applyAlignment="1">
      <alignment horizontal="center" vertical="center" wrapText="1"/>
    </xf>
    <xf numFmtId="170" fontId="45" fillId="4" borderId="94" xfId="0" applyNumberFormat="1" applyFont="1" applyFill="1" applyBorder="1" applyAlignment="1">
      <alignment horizontal="center" vertical="center" wrapText="1"/>
    </xf>
    <xf numFmtId="0" fontId="53" fillId="4" borderId="0" xfId="0" applyFont="1" applyFill="1" applyAlignment="1">
      <alignment horizontal="left" vertical="center" wrapText="1"/>
    </xf>
    <xf numFmtId="0" fontId="4" fillId="8" borderId="83" xfId="0" applyFont="1" applyFill="1" applyBorder="1" applyAlignment="1">
      <alignment horizontal="center"/>
    </xf>
    <xf numFmtId="0" fontId="0" fillId="0" borderId="58" xfId="0" applyBorder="1" applyAlignment="1">
      <alignment horizontal="left"/>
    </xf>
    <xf numFmtId="0" fontId="0" fillId="0" borderId="52" xfId="0" applyBorder="1" applyAlignment="1">
      <alignment horizontal="left"/>
    </xf>
    <xf numFmtId="0" fontId="0" fillId="0" borderId="59" xfId="0" applyBorder="1" applyAlignment="1">
      <alignment horizontal="left"/>
    </xf>
    <xf numFmtId="0" fontId="61" fillId="0" borderId="54" xfId="0" applyFont="1" applyBorder="1" applyAlignment="1">
      <alignment horizontal="left" vertical="top" wrapText="1"/>
    </xf>
    <xf numFmtId="0" fontId="4" fillId="8" borderId="53" xfId="0" applyFont="1" applyFill="1" applyBorder="1" applyAlignment="1">
      <alignment horizontal="left"/>
    </xf>
    <xf numFmtId="0" fontId="4" fillId="8" borderId="0" xfId="0" applyFont="1" applyFill="1" applyAlignment="1">
      <alignment horizontal="left"/>
    </xf>
    <xf numFmtId="0" fontId="4" fillId="8" borderId="53" xfId="0" applyFont="1" applyFill="1" applyBorder="1" applyAlignment="1">
      <alignment horizontal="center"/>
    </xf>
    <xf numFmtId="0" fontId="4" fillId="8" borderId="0" xfId="0" applyFont="1" applyFill="1" applyAlignment="1">
      <alignment horizontal="center"/>
    </xf>
    <xf numFmtId="0" fontId="36" fillId="0" borderId="53" xfId="14" applyFill="1" applyBorder="1" applyAlignment="1">
      <alignment horizontal="left"/>
    </xf>
    <xf numFmtId="0" fontId="44" fillId="0" borderId="0" xfId="0" applyFont="1" applyAlignment="1">
      <alignment horizontal="left"/>
    </xf>
    <xf numFmtId="0" fontId="44" fillId="0" borderId="54" xfId="0" applyFont="1" applyBorder="1" applyAlignment="1">
      <alignment horizontal="left"/>
    </xf>
    <xf numFmtId="0" fontId="36" fillId="0" borderId="0" xfId="14" applyFill="1" applyBorder="1" applyAlignment="1">
      <alignment horizontal="left"/>
    </xf>
    <xf numFmtId="0" fontId="36" fillId="0" borderId="54" xfId="14" applyFill="1" applyBorder="1" applyAlignment="1">
      <alignment horizontal="left"/>
    </xf>
    <xf numFmtId="0" fontId="91" fillId="20" borderId="0" xfId="0" applyFont="1" applyFill="1" applyAlignment="1">
      <alignment horizontal="left" vertical="top" wrapText="1"/>
    </xf>
    <xf numFmtId="0" fontId="91" fillId="0" borderId="54" xfId="0" applyFont="1" applyBorder="1" applyAlignment="1">
      <alignment horizontal="left" vertical="top" wrapText="1"/>
    </xf>
    <xf numFmtId="0" fontId="61" fillId="0" borderId="0" xfId="0" applyFont="1" applyAlignment="1">
      <alignment horizontal="left" vertical="top" wrapText="1"/>
    </xf>
    <xf numFmtId="0" fontId="4" fillId="8" borderId="54" xfId="0" applyFont="1" applyFill="1" applyBorder="1" applyAlignment="1">
      <alignment horizontal="center"/>
    </xf>
    <xf numFmtId="0" fontId="60" fillId="0" borderId="53" xfId="0" applyFont="1" applyBorder="1" applyAlignment="1">
      <alignment horizontal="left"/>
    </xf>
    <xf numFmtId="0" fontId="60" fillId="0" borderId="0" xfId="0" applyFont="1" applyAlignment="1">
      <alignment horizontal="left"/>
    </xf>
    <xf numFmtId="0" fontId="60" fillId="0" borderId="54" xfId="0" applyFont="1" applyBorder="1" applyAlignment="1">
      <alignment horizontal="left"/>
    </xf>
    <xf numFmtId="0" fontId="5" fillId="0" borderId="0" xfId="0" applyFont="1" applyAlignment="1">
      <alignment horizontal="right" wrapText="1"/>
    </xf>
    <xf numFmtId="0" fontId="63" fillId="15" borderId="0" xfId="0" applyFont="1" applyFill="1" applyAlignment="1">
      <alignment horizontal="center"/>
    </xf>
    <xf numFmtId="0" fontId="63" fillId="15" borderId="0" xfId="0" applyFont="1" applyFill="1" applyAlignment="1">
      <alignment horizontal="center" wrapText="1"/>
    </xf>
    <xf numFmtId="0" fontId="5" fillId="0" borderId="0" xfId="0" applyFont="1" applyAlignment="1">
      <alignment horizontal="left" wrapText="1"/>
    </xf>
    <xf numFmtId="0" fontId="21" fillId="0" borderId="50" xfId="0" applyFont="1" applyBorder="1" applyAlignment="1">
      <alignment horizontal="left"/>
    </xf>
    <xf numFmtId="0" fontId="21" fillId="0" borderId="51" xfId="0" applyFont="1" applyBorder="1" applyAlignment="1">
      <alignment horizontal="left"/>
    </xf>
    <xf numFmtId="0" fontId="2" fillId="5" borderId="64" xfId="0" applyFont="1" applyFill="1" applyBorder="1" applyAlignment="1">
      <alignment horizontal="left"/>
    </xf>
    <xf numFmtId="0" fontId="2" fillId="5" borderId="0" xfId="0" applyFont="1" applyFill="1" applyAlignment="1">
      <alignment horizontal="left"/>
    </xf>
    <xf numFmtId="4" fontId="63" fillId="15" borderId="0" xfId="0" applyNumberFormat="1" applyFont="1" applyFill="1" applyAlignment="1">
      <alignment horizontal="left"/>
    </xf>
    <xf numFmtId="0" fontId="102" fillId="0" borderId="0" xfId="0" applyFont="1" applyAlignment="1">
      <alignment horizontal="center" wrapText="1"/>
    </xf>
    <xf numFmtId="0" fontId="43" fillId="0" borderId="48" xfId="0" applyFont="1" applyBorder="1" applyAlignment="1">
      <alignment horizontal="right"/>
    </xf>
    <xf numFmtId="0" fontId="43" fillId="0" borderId="68" xfId="0" applyFont="1" applyBorder="1" applyAlignment="1">
      <alignment horizontal="right"/>
    </xf>
    <xf numFmtId="0" fontId="4" fillId="0" borderId="47" xfId="0" applyFont="1" applyBorder="1" applyAlignment="1">
      <alignment horizontal="right"/>
    </xf>
    <xf numFmtId="0" fontId="4" fillId="0" borderId="48" xfId="0" applyFont="1" applyBorder="1" applyAlignment="1">
      <alignment horizontal="right"/>
    </xf>
    <xf numFmtId="0" fontId="4" fillId="0" borderId="68" xfId="0" applyFont="1" applyBorder="1" applyAlignment="1">
      <alignment horizontal="right"/>
    </xf>
    <xf numFmtId="0" fontId="4" fillId="4" borderId="44" xfId="0" applyFont="1" applyFill="1" applyBorder="1" applyAlignment="1">
      <alignment horizontal="right"/>
    </xf>
    <xf numFmtId="0" fontId="4" fillId="4" borderId="74" xfId="0" applyFont="1" applyFill="1" applyBorder="1" applyAlignment="1">
      <alignment horizontal="right"/>
    </xf>
    <xf numFmtId="0" fontId="5" fillId="0" borderId="47" xfId="0" applyFont="1" applyBorder="1" applyAlignment="1">
      <alignment horizontal="left"/>
    </xf>
    <xf numFmtId="0" fontId="5" fillId="0" borderId="48" xfId="0" applyFont="1" applyBorder="1" applyAlignment="1">
      <alignment horizontal="left"/>
    </xf>
    <xf numFmtId="0" fontId="5" fillId="0" borderId="68" xfId="0" applyFont="1" applyBorder="1" applyAlignment="1">
      <alignment horizontal="left"/>
    </xf>
    <xf numFmtId="0" fontId="5" fillId="0" borderId="76" xfId="0" applyFont="1" applyBorder="1" applyAlignment="1">
      <alignment horizontal="left"/>
    </xf>
    <xf numFmtId="0" fontId="5" fillId="0" borderId="44" xfId="0" applyFont="1" applyBorder="1" applyAlignment="1">
      <alignment horizontal="left"/>
    </xf>
    <xf numFmtId="170" fontId="47" fillId="14" borderId="9" xfId="13" applyNumberFormat="1" applyFont="1" applyFill="1" applyBorder="1" applyAlignment="1">
      <alignment horizontal="center" wrapText="1"/>
    </xf>
    <xf numFmtId="0" fontId="47" fillId="14" borderId="47" xfId="13" applyFont="1" applyFill="1" applyBorder="1" applyAlignment="1">
      <alignment horizontal="center"/>
    </xf>
    <xf numFmtId="0" fontId="47" fillId="14" borderId="68" xfId="13" applyFont="1" applyFill="1" applyBorder="1" applyAlignment="1">
      <alignment horizontal="center"/>
    </xf>
    <xf numFmtId="0" fontId="46" fillId="0" borderId="47" xfId="13" applyFont="1" applyBorder="1" applyAlignment="1">
      <alignment horizontal="center"/>
    </xf>
    <xf numFmtId="0" fontId="46" fillId="0" borderId="68" xfId="13" applyFont="1" applyBorder="1" applyAlignment="1">
      <alignment horizontal="center"/>
    </xf>
    <xf numFmtId="2" fontId="4" fillId="4" borderId="102" xfId="0" applyNumberFormat="1" applyFont="1" applyFill="1" applyBorder="1" applyAlignment="1">
      <alignment horizontal="center"/>
    </xf>
    <xf numFmtId="170" fontId="47" fillId="14" borderId="47" xfId="13" applyNumberFormat="1" applyFont="1" applyFill="1" applyBorder="1" applyAlignment="1">
      <alignment horizontal="center" wrapText="1"/>
    </xf>
    <xf numFmtId="170" fontId="47" fillId="14" borderId="48" xfId="13" applyNumberFormat="1" applyFont="1" applyFill="1" applyBorder="1" applyAlignment="1">
      <alignment horizontal="center" wrapText="1"/>
    </xf>
    <xf numFmtId="170" fontId="47" fillId="14" borderId="68" xfId="13" applyNumberFormat="1" applyFont="1" applyFill="1" applyBorder="1" applyAlignment="1">
      <alignment horizontal="center" wrapText="1"/>
    </xf>
    <xf numFmtId="170" fontId="28" fillId="0" borderId="47" xfId="13" applyNumberFormat="1" applyFont="1" applyBorder="1" applyAlignment="1">
      <alignment horizontal="center" wrapText="1"/>
    </xf>
    <xf numFmtId="170" fontId="28" fillId="0" borderId="48" xfId="13" applyNumberFormat="1" applyFont="1" applyBorder="1" applyAlignment="1">
      <alignment horizontal="center" wrapText="1"/>
    </xf>
    <xf numFmtId="170" fontId="28" fillId="0" borderId="68" xfId="13" applyNumberFormat="1" applyFont="1" applyBorder="1" applyAlignment="1">
      <alignment horizontal="center" wrapText="1"/>
    </xf>
    <xf numFmtId="0" fontId="4" fillId="4" borderId="102" xfId="0" applyFont="1" applyFill="1" applyBorder="1" applyAlignment="1">
      <alignment horizontal="right"/>
    </xf>
    <xf numFmtId="0" fontId="10" fillId="0" borderId="19" xfId="0" applyFont="1" applyBorder="1" applyAlignment="1">
      <alignment horizontal="left"/>
    </xf>
    <xf numFmtId="0" fontId="10" fillId="0" borderId="20" xfId="0" applyFont="1" applyBorder="1" applyAlignment="1">
      <alignment horizontal="left"/>
    </xf>
    <xf numFmtId="0" fontId="4" fillId="0" borderId="65" xfId="0" applyFont="1" applyBorder="1" applyAlignment="1">
      <alignment horizontal="left"/>
    </xf>
    <xf numFmtId="0" fontId="62" fillId="15" borderId="0" xfId="0" applyFont="1" applyFill="1" applyAlignment="1">
      <alignment horizontal="left"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1" xfId="0" applyFont="1" applyBorder="1" applyAlignment="1">
      <alignment horizontal="left" vertical="center"/>
    </xf>
    <xf numFmtId="0" fontId="1" fillId="0" borderId="2" xfId="0" applyFont="1" applyBorder="1" applyAlignment="1">
      <alignment horizontal="left" vertical="center"/>
    </xf>
    <xf numFmtId="0" fontId="2" fillId="2" borderId="19" xfId="0" applyFont="1" applyFill="1" applyBorder="1" applyAlignment="1">
      <alignment horizontal="left" vertical="top" wrapText="1"/>
    </xf>
    <xf numFmtId="0" fontId="2" fillId="2" borderId="147" xfId="0" applyFont="1" applyFill="1" applyBorder="1" applyAlignment="1">
      <alignment horizontal="left" vertical="top" wrapText="1"/>
    </xf>
    <xf numFmtId="0" fontId="2" fillId="2" borderId="20" xfId="0" applyFont="1" applyFill="1" applyBorder="1" applyAlignment="1">
      <alignment horizontal="left" vertical="top" wrapText="1"/>
    </xf>
    <xf numFmtId="0" fontId="2" fillId="0" borderId="66" xfId="0" applyFont="1" applyBorder="1" applyAlignment="1">
      <alignment horizontal="left"/>
    </xf>
    <xf numFmtId="0" fontId="2" fillId="2" borderId="19"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10" fillId="0" borderId="12" xfId="0" applyFont="1" applyBorder="1" applyAlignment="1">
      <alignment horizontal="left"/>
    </xf>
    <xf numFmtId="0" fontId="2" fillId="2" borderId="13"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10" fillId="0" borderId="9" xfId="0" applyFont="1" applyBorder="1" applyAlignment="1">
      <alignment horizontal="left"/>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10" fillId="0" borderId="100" xfId="0" applyFont="1" applyBorder="1" applyAlignment="1">
      <alignment horizontal="left" vertical="center" wrapText="1"/>
    </xf>
    <xf numFmtId="0" fontId="10" fillId="0" borderId="98" xfId="0" applyFont="1" applyBorder="1" applyAlignment="1">
      <alignment horizontal="left"/>
    </xf>
    <xf numFmtId="0" fontId="25" fillId="4" borderId="13" xfId="0" applyFont="1" applyFill="1" applyBorder="1" applyAlignment="1">
      <alignment horizontal="left" vertical="center" wrapText="1"/>
    </xf>
    <xf numFmtId="0" fontId="25" fillId="4" borderId="15" xfId="0" applyFont="1" applyFill="1" applyBorder="1" applyAlignment="1">
      <alignment horizontal="left" vertical="center" wrapText="1"/>
    </xf>
    <xf numFmtId="0" fontId="25" fillId="0" borderId="13" xfId="0" applyFont="1" applyBorder="1" applyAlignment="1">
      <alignment horizontal="left" vertical="center" wrapText="1"/>
    </xf>
    <xf numFmtId="0" fontId="25" fillId="0" borderId="15" xfId="0" applyFont="1" applyBorder="1" applyAlignment="1">
      <alignment horizontal="left" vertical="center" wrapText="1"/>
    </xf>
    <xf numFmtId="0" fontId="10" fillId="0" borderId="97" xfId="0" applyFont="1" applyBorder="1" applyAlignment="1">
      <alignment horizontal="left"/>
    </xf>
    <xf numFmtId="0" fontId="1" fillId="4" borderId="144" xfId="0" applyFont="1" applyFill="1" applyBorder="1" applyAlignment="1">
      <alignment horizontal="left" vertical="center" wrapText="1"/>
    </xf>
    <xf numFmtId="0" fontId="1" fillId="4" borderId="28" xfId="0" applyFont="1" applyFill="1" applyBorder="1" applyAlignment="1">
      <alignment horizontal="left" vertical="center" wrapText="1"/>
    </xf>
    <xf numFmtId="0" fontId="10" fillId="4" borderId="13" xfId="0" applyFont="1" applyFill="1" applyBorder="1" applyAlignment="1">
      <alignment horizontal="left" vertical="center"/>
    </xf>
    <xf numFmtId="0" fontId="10" fillId="4" borderId="15" xfId="0" applyFont="1" applyFill="1" applyBorder="1" applyAlignment="1">
      <alignment horizontal="left" vertical="center"/>
    </xf>
    <xf numFmtId="0" fontId="10" fillId="0" borderId="13" xfId="0" applyFont="1" applyBorder="1" applyAlignment="1">
      <alignment horizontal="left" vertical="center"/>
    </xf>
    <xf numFmtId="0" fontId="10" fillId="0" borderId="15" xfId="0" applyFont="1" applyBorder="1" applyAlignment="1">
      <alignment horizontal="left" vertical="center"/>
    </xf>
    <xf numFmtId="0" fontId="1" fillId="0" borderId="47" xfId="0" quotePrefix="1" applyFont="1" applyBorder="1" applyAlignment="1">
      <alignment horizontal="left"/>
    </xf>
    <xf numFmtId="0" fontId="1" fillId="0" borderId="48" xfId="0" quotePrefix="1" applyFont="1" applyBorder="1" applyAlignment="1">
      <alignment horizontal="left"/>
    </xf>
    <xf numFmtId="0" fontId="1" fillId="0" borderId="68" xfId="0" quotePrefix="1" applyFont="1" applyBorder="1" applyAlignment="1">
      <alignment horizontal="left"/>
    </xf>
    <xf numFmtId="0" fontId="1" fillId="0" borderId="9" xfId="0" quotePrefix="1" applyFont="1" applyBorder="1" applyAlignment="1">
      <alignment horizontal="left"/>
    </xf>
    <xf numFmtId="0" fontId="68" fillId="13" borderId="44" xfId="0" applyFont="1" applyFill="1" applyBorder="1" applyAlignment="1">
      <alignment horizontal="center" vertical="center"/>
    </xf>
    <xf numFmtId="0" fontId="81" fillId="4" borderId="9" xfId="0" applyFont="1" applyFill="1" applyBorder="1" applyAlignment="1">
      <alignment horizontal="left" wrapText="1"/>
    </xf>
    <xf numFmtId="0" fontId="80" fillId="13" borderId="105" xfId="0" applyFont="1" applyFill="1" applyBorder="1" applyAlignment="1" applyProtection="1">
      <alignment horizontal="left"/>
      <protection locked="0"/>
    </xf>
    <xf numFmtId="0" fontId="80" fillId="13" borderId="106" xfId="0" applyFont="1" applyFill="1" applyBorder="1" applyAlignment="1" applyProtection="1">
      <alignment horizontal="left"/>
      <protection locked="0"/>
    </xf>
    <xf numFmtId="0" fontId="80" fillId="13" borderId="107" xfId="0" applyFont="1" applyFill="1" applyBorder="1" applyAlignment="1" applyProtection="1">
      <alignment horizontal="left"/>
      <protection locked="0"/>
    </xf>
    <xf numFmtId="0" fontId="80" fillId="13" borderId="108" xfId="0" applyFont="1" applyFill="1" applyBorder="1" applyAlignment="1" applyProtection="1">
      <alignment horizontal="left"/>
      <protection locked="0"/>
    </xf>
    <xf numFmtId="0" fontId="81" fillId="0" borderId="0" xfId="0" applyFont="1" applyAlignment="1">
      <alignment horizontal="left"/>
    </xf>
    <xf numFmtId="0" fontId="82" fillId="0" borderId="0" xfId="0" applyFont="1" applyAlignment="1">
      <alignment horizontal="left" vertical="center" wrapText="1"/>
    </xf>
    <xf numFmtId="0" fontId="81" fillId="4" borderId="120" xfId="0" applyFont="1" applyFill="1" applyBorder="1" applyAlignment="1">
      <alignment horizontal="left" wrapText="1"/>
    </xf>
    <xf numFmtId="0" fontId="81" fillId="4" borderId="0" xfId="0" applyFont="1" applyFill="1" applyAlignment="1">
      <alignment horizontal="left" wrapText="1"/>
    </xf>
    <xf numFmtId="0" fontId="81" fillId="4" borderId="121" xfId="0" applyFont="1" applyFill="1" applyBorder="1" applyAlignment="1">
      <alignment horizontal="left" wrapText="1"/>
    </xf>
    <xf numFmtId="0" fontId="87" fillId="4" borderId="120" xfId="0" applyFont="1" applyFill="1" applyBorder="1" applyAlignment="1" applyProtection="1">
      <alignment horizontal="left" wrapText="1"/>
      <protection locked="0"/>
    </xf>
    <xf numFmtId="0" fontId="87" fillId="4" borderId="0" xfId="0" applyFont="1" applyFill="1" applyAlignment="1" applyProtection="1">
      <alignment horizontal="left" wrapText="1"/>
      <protection locked="0"/>
    </xf>
    <xf numFmtId="0" fontId="87" fillId="4" borderId="121" xfId="0" applyFont="1" applyFill="1" applyBorder="1" applyAlignment="1" applyProtection="1">
      <alignment horizontal="left" wrapText="1"/>
      <protection locked="0"/>
    </xf>
    <xf numFmtId="0" fontId="87" fillId="4" borderId="122" xfId="0" applyFont="1" applyFill="1" applyBorder="1" applyAlignment="1" applyProtection="1">
      <alignment horizontal="left" wrapText="1"/>
      <protection locked="0"/>
    </xf>
    <xf numFmtId="0" fontId="87" fillId="4" borderId="123" xfId="0" applyFont="1" applyFill="1" applyBorder="1" applyAlignment="1" applyProtection="1">
      <alignment horizontal="left" wrapText="1"/>
      <protection locked="0"/>
    </xf>
    <xf numFmtId="0" fontId="87" fillId="4" borderId="124" xfId="0" applyFont="1" applyFill="1" applyBorder="1" applyAlignment="1" applyProtection="1">
      <alignment horizontal="left" wrapText="1"/>
      <protection locked="0"/>
    </xf>
    <xf numFmtId="0" fontId="1" fillId="0" borderId="47" xfId="0" quotePrefix="1" applyFont="1" applyBorder="1" applyAlignment="1">
      <alignment horizontal="right"/>
    </xf>
    <xf numFmtId="0" fontId="1" fillId="0" borderId="48" xfId="0" quotePrefix="1" applyFont="1" applyBorder="1" applyAlignment="1">
      <alignment horizontal="right"/>
    </xf>
    <xf numFmtId="0" fontId="1" fillId="0" borderId="68" xfId="0" quotePrefix="1" applyFont="1" applyBorder="1" applyAlignment="1">
      <alignment horizontal="right"/>
    </xf>
    <xf numFmtId="0" fontId="1" fillId="0" borderId="9" xfId="0" quotePrefix="1" applyFont="1" applyBorder="1" applyAlignment="1">
      <alignment horizontal="right"/>
    </xf>
    <xf numFmtId="0" fontId="81" fillId="4" borderId="47" xfId="0" applyFont="1" applyFill="1" applyBorder="1" applyAlignment="1">
      <alignment horizontal="left" wrapText="1"/>
    </xf>
    <xf numFmtId="0" fontId="81" fillId="4" borderId="48" xfId="0" applyFont="1" applyFill="1" applyBorder="1" applyAlignment="1">
      <alignment horizontal="left" wrapText="1"/>
    </xf>
    <xf numFmtId="0" fontId="81" fillId="4" borderId="68" xfId="0" applyFont="1" applyFill="1" applyBorder="1" applyAlignment="1">
      <alignment horizontal="left" wrapText="1"/>
    </xf>
    <xf numFmtId="0" fontId="4" fillId="15" borderId="9" xfId="0" applyFont="1" applyFill="1" applyBorder="1" applyAlignment="1">
      <alignment horizontal="center"/>
    </xf>
    <xf numFmtId="0" fontId="4" fillId="0" borderId="9" xfId="0" applyFont="1" applyBorder="1" applyAlignment="1">
      <alignment horizontal="center"/>
    </xf>
    <xf numFmtId="0" fontId="4" fillId="0" borderId="0" xfId="0" applyFont="1" applyAlignment="1">
      <alignment horizontal="center"/>
    </xf>
    <xf numFmtId="0" fontId="33" fillId="0" borderId="0" xfId="0" applyFont="1" applyAlignment="1">
      <alignment horizontal="center"/>
    </xf>
  </cellXfs>
  <cellStyles count="15">
    <cellStyle name="Hyperlink" xfId="14" builtinId="8"/>
    <cellStyle name="Normal 2 2" xfId="4" xr:uid="{00000000-0005-0000-0000-000000000000}"/>
    <cellStyle name="Ongedefinieerd" xfId="5" xr:uid="{00000000-0005-0000-0000-000001000000}"/>
    <cellStyle name="Ongedefinieerd 2" xfId="6" xr:uid="{00000000-0005-0000-0000-000002000000}"/>
    <cellStyle name="Procent" xfId="11" builtinId="5"/>
    <cellStyle name="Procent 2" xfId="3" xr:uid="{00000000-0005-0000-0000-000004000000}"/>
    <cellStyle name="Procent 2 2" xfId="7" xr:uid="{00000000-0005-0000-0000-000005000000}"/>
    <cellStyle name="Procent 3" xfId="8" xr:uid="{00000000-0005-0000-0000-000006000000}"/>
    <cellStyle name="Procent 4" xfId="9" xr:uid="{00000000-0005-0000-0000-000007000000}"/>
    <cellStyle name="Standaard" xfId="0" builtinId="0"/>
    <cellStyle name="Standaard 2" xfId="1" xr:uid="{00000000-0005-0000-0000-000009000000}"/>
    <cellStyle name="Standaard 2 2" xfId="2" xr:uid="{00000000-0005-0000-0000-00000A000000}"/>
    <cellStyle name="Standaard 3" xfId="10" xr:uid="{00000000-0005-0000-0000-00000B000000}"/>
    <cellStyle name="Standaard_Blad1" xfId="13" xr:uid="{2D85B8FB-2EC6-4159-A288-7C2995843DCA}"/>
    <cellStyle name="Valuta" xfId="12" builtinId="4"/>
  </cellStyles>
  <dxfs count="422">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general" vertical="bottom" textRotation="0" wrapText="0" indent="0" justifyLastLine="0" shrinkToFit="0" readingOrder="0"/>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general" vertical="bottom" textRotation="0" wrapText="0" indent="0" justifyLastLine="0" shrinkToFit="0" readingOrder="0"/>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general" vertical="bottom" textRotation="0" wrapText="1" indent="0" justifyLastLine="0" shrinkToFit="0" readingOrder="0"/>
    </dxf>
    <dxf>
      <border outline="0">
        <top style="thin">
          <color indexed="64"/>
        </top>
      </border>
    </dxf>
    <dxf>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border diagonalUp="0" diagonalDown="0" outline="0">
        <left style="thin">
          <color indexed="64"/>
        </left>
        <right style="thin">
          <color indexed="64"/>
        </right>
        <top/>
        <bottom/>
      </border>
    </dxf>
    <dxf>
      <numFmt numFmtId="0" formatCode="General"/>
    </dxf>
    <dxf>
      <numFmt numFmtId="0" formatCode="Genera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5" tint="-0.24994659260841701"/>
      </font>
    </dxf>
    <dxf>
      <font>
        <color theme="5" tint="-0.24994659260841701"/>
      </font>
    </dxf>
    <dxf>
      <font>
        <color theme="5" tint="-0.24994659260841701"/>
      </font>
    </dxf>
    <dxf>
      <font>
        <color theme="5" tint="-0.24994659260841701"/>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theme="5" tint="-0.24994659260841701"/>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theme="5" tint="-0.24994659260841701"/>
      </font>
    </dxf>
  </dxfs>
  <tableStyles count="0" defaultTableStyle="TableStyleMedium2" defaultPivotStyle="PivotStyleLight16"/>
  <colors>
    <mruColors>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microsoft.com/office/2017/10/relationships/person" Target="persons/person.xml"/><Relationship Id="rId50"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3"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52"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customXml" Target="../customXml/item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fmlaLink="E37" lockText="1" noThreeD="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fmlaLink="$C$39" lockText="1" noThreeD="1"/>
</file>

<file path=xl/ctrlProps/ctrlProp6.xml><?xml version="1.0" encoding="utf-8"?>
<formControlPr xmlns="http://schemas.microsoft.com/office/spreadsheetml/2009/9/main" objectType="CheckBox" fmlaLink="$C$22" lockText="1" noThreeD="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CheckBox" fmlaLink="$C$42" lockText="1" noThreeD="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CheckBox" fmlaLink="B2" lockText="1" noThreeD="1"/>
</file>

<file path=xl/ctrlProps/ctrlProp11.xml><?xml version="1.0" encoding="utf-8"?>
<formControlPr xmlns="http://schemas.microsoft.com/office/spreadsheetml/2009/9/main" objectType="CheckBox" checked="Checked" fmlaLink="C2" lockText="1" noThreeD="1"/>
</file>

<file path=xl/ctrlProps/ctrlProp12.xml><?xml version="1.0" encoding="utf-8"?>
<formControlPr xmlns="http://schemas.microsoft.com/office/spreadsheetml/2009/9/main" objectType="CheckBox" fmlaLink="H2" lockText="1" noThreeD="1"/>
</file>

<file path=xl/ctrlProps/ctrlProp13.xml><?xml version="1.0" encoding="utf-8"?>
<formControlPr xmlns="http://schemas.microsoft.com/office/spreadsheetml/2009/9/main" objectType="CheckBox" fmlaLink="I2" lockText="1" noThreeD="1"/>
</file>

<file path=xl/ctrlProps/ctrlProp14.xml><?xml version="1.0" encoding="utf-8"?>
<formControlPr xmlns="http://schemas.microsoft.com/office/spreadsheetml/2009/9/main" objectType="CheckBox" fmlaLink="O2" lockText="1" noThreeD="1"/>
</file>

<file path=xl/ctrlProps/ctrlProp15.xml><?xml version="1.0" encoding="utf-8"?>
<formControlPr xmlns="http://schemas.microsoft.com/office/spreadsheetml/2009/9/main" objectType="CheckBox" fmlaLink="N2" lockText="1" noThreeD="1"/>
</file>

<file path=xl/ctrlProps/ctrlProp16.xml><?xml version="1.0" encoding="utf-8"?>
<formControlPr xmlns="http://schemas.microsoft.com/office/spreadsheetml/2009/9/main" objectType="CheckBox" checked="Checked" fmlaLink="B2" lockText="1" noThreeD="1"/>
</file>

<file path=xl/ctrlProps/ctrlProp17.xml><?xml version="1.0" encoding="utf-8"?>
<formControlPr xmlns="http://schemas.microsoft.com/office/spreadsheetml/2009/9/main" objectType="CheckBox" fmlaLink="H2" lockText="1" noThreeD="1"/>
</file>

<file path=xl/ctrlProps/ctrlProp18.xml><?xml version="1.0" encoding="utf-8"?>
<formControlPr xmlns="http://schemas.microsoft.com/office/spreadsheetml/2009/9/main" objectType="CheckBox" fmlaLink="N2"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10</xdr:col>
      <xdr:colOff>133350</xdr:colOff>
      <xdr:row>0</xdr:row>
      <xdr:rowOff>91705</xdr:rowOff>
    </xdr:from>
    <xdr:to>
      <xdr:col>10</xdr:col>
      <xdr:colOff>1351733</xdr:colOff>
      <xdr:row>0</xdr:row>
      <xdr:rowOff>565520</xdr:rowOff>
    </xdr:to>
    <xdr:pic>
      <xdr:nvPicPr>
        <xdr:cNvPr id="2" name="Afbeelding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0896600" y="91705"/>
          <a:ext cx="1218383" cy="4738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1341120</xdr:colOff>
          <xdr:row>2</xdr:row>
          <xdr:rowOff>152400</xdr:rowOff>
        </xdr:from>
        <xdr:to>
          <xdr:col>13</xdr:col>
          <xdr:colOff>381000</xdr:colOff>
          <xdr:row>4</xdr:row>
          <xdr:rowOff>99060</xdr:rowOff>
        </xdr:to>
        <xdr:sp macro="" textlink="">
          <xdr:nvSpPr>
            <xdr:cNvPr id="1068" name="Button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nl-BE" sz="1100" b="0" i="0" u="none" strike="noStrike" baseline="0">
                  <a:solidFill>
                    <a:srgbClr val="000000"/>
                  </a:solidFill>
                  <a:latin typeface="Calibri"/>
                  <a:ea typeface="Calibri"/>
                  <a:cs typeface="Calibri"/>
                </a:rPr>
                <a:t>Openen als bouwtechnisch adviseur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137160</xdr:colOff>
      <xdr:row>0</xdr:row>
      <xdr:rowOff>60961</xdr:rowOff>
    </xdr:from>
    <xdr:to>
      <xdr:col>10</xdr:col>
      <xdr:colOff>1591763</xdr:colOff>
      <xdr:row>0</xdr:row>
      <xdr:rowOff>601980</xdr:rowOff>
    </xdr:to>
    <xdr:pic>
      <xdr:nvPicPr>
        <xdr:cNvPr id="2" name="Afbeelding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81060" y="60961"/>
          <a:ext cx="1210763" cy="541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1173480</xdr:colOff>
          <xdr:row>4</xdr:row>
          <xdr:rowOff>60960</xdr:rowOff>
        </xdr:from>
        <xdr:to>
          <xdr:col>15</xdr:col>
          <xdr:colOff>342900</xdr:colOff>
          <xdr:row>6</xdr:row>
          <xdr:rowOff>7620</xdr:rowOff>
        </xdr:to>
        <xdr:sp macro="" textlink="">
          <xdr:nvSpPr>
            <xdr:cNvPr id="192529" name="Button 17" hidden="1">
              <a:extLst>
                <a:ext uri="{63B3BB69-23CF-44E3-9099-C40C66FF867C}">
                  <a14:compatExt spid="_x0000_s192529"/>
                </a:ext>
                <a:ext uri="{FF2B5EF4-FFF2-40B4-BE49-F238E27FC236}">
                  <a16:creationId xmlns:a16="http://schemas.microsoft.com/office/drawing/2014/main" id="{00000000-0008-0000-0100-000011F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nl-BE" sz="1100" b="0" i="0" u="none" strike="noStrike" baseline="0">
                  <a:solidFill>
                    <a:srgbClr val="000000"/>
                  </a:solidFill>
                  <a:latin typeface="Calibri"/>
                  <a:ea typeface="Calibri"/>
                  <a:cs typeface="Calibri"/>
                </a:rPr>
                <a:t>Openen als bouwtechnisch adviseur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259080</xdr:colOff>
          <xdr:row>35</xdr:row>
          <xdr:rowOff>106680</xdr:rowOff>
        </xdr:from>
        <xdr:to>
          <xdr:col>5</xdr:col>
          <xdr:colOff>1219200</xdr:colOff>
          <xdr:row>37</xdr:row>
          <xdr:rowOff>106680</xdr:rowOff>
        </xdr:to>
        <xdr:sp macro="" textlink="">
          <xdr:nvSpPr>
            <xdr:cNvPr id="32866" name="Check Box 98" hidden="1">
              <a:extLst>
                <a:ext uri="{63B3BB69-23CF-44E3-9099-C40C66FF867C}">
                  <a14:compatExt spid="_x0000_s32866"/>
                </a:ext>
                <a:ext uri="{FF2B5EF4-FFF2-40B4-BE49-F238E27FC236}">
                  <a16:creationId xmlns:a16="http://schemas.microsoft.com/office/drawing/2014/main" id="{00000000-0008-0000-0200-00006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Gewijzigde raming is ingediend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45720</xdr:colOff>
          <xdr:row>0</xdr:row>
          <xdr:rowOff>83820</xdr:rowOff>
        </xdr:from>
        <xdr:to>
          <xdr:col>5</xdr:col>
          <xdr:colOff>1371600</xdr:colOff>
          <xdr:row>0</xdr:row>
          <xdr:rowOff>365760</xdr:rowOff>
        </xdr:to>
        <xdr:sp macro="" textlink="">
          <xdr:nvSpPr>
            <xdr:cNvPr id="32869" name="Button 101" hidden="1">
              <a:extLst>
                <a:ext uri="{63B3BB69-23CF-44E3-9099-C40C66FF867C}">
                  <a14:compatExt spid="_x0000_s32869"/>
                </a:ext>
                <a:ext uri="{FF2B5EF4-FFF2-40B4-BE49-F238E27FC236}">
                  <a16:creationId xmlns:a16="http://schemas.microsoft.com/office/drawing/2014/main" id="{00000000-0008-0000-0200-0000658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l-BE" sz="1400" b="1" i="1" u="sng" strike="noStrike" baseline="0">
                  <a:solidFill>
                    <a:srgbClr val="FF0000"/>
                  </a:solidFill>
                  <a:latin typeface="Calibri"/>
                  <a:ea typeface="Calibri"/>
                  <a:cs typeface="Calibri"/>
                </a:rPr>
                <a:t>Opnieuw vergrendelen voor voorziening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35</xdr:row>
          <xdr:rowOff>175260</xdr:rowOff>
        </xdr:from>
        <xdr:to>
          <xdr:col>2</xdr:col>
          <xdr:colOff>335280</xdr:colOff>
          <xdr:row>37</xdr:row>
          <xdr:rowOff>30480</xdr:rowOff>
        </xdr:to>
        <xdr:sp macro="" textlink="">
          <xdr:nvSpPr>
            <xdr:cNvPr id="32871" name="Check Box 103" hidden="1">
              <a:extLst>
                <a:ext uri="{63B3BB69-23CF-44E3-9099-C40C66FF867C}">
                  <a14:compatExt spid="_x0000_s32871"/>
                </a:ext>
                <a:ext uri="{FF2B5EF4-FFF2-40B4-BE49-F238E27FC236}">
                  <a16:creationId xmlns:a16="http://schemas.microsoft.com/office/drawing/2014/main" id="{00000000-0008-0000-0200-000067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19</xdr:row>
          <xdr:rowOff>22860</xdr:rowOff>
        </xdr:from>
        <xdr:to>
          <xdr:col>2</xdr:col>
          <xdr:colOff>388620</xdr:colOff>
          <xdr:row>22</xdr:row>
          <xdr:rowOff>76200</xdr:rowOff>
        </xdr:to>
        <xdr:sp macro="" textlink="">
          <xdr:nvSpPr>
            <xdr:cNvPr id="32872" name="Check Box 104" hidden="1">
              <a:extLst>
                <a:ext uri="{63B3BB69-23CF-44E3-9099-C40C66FF867C}">
                  <a14:compatExt spid="_x0000_s32872"/>
                </a:ext>
                <a:ext uri="{FF2B5EF4-FFF2-40B4-BE49-F238E27FC236}">
                  <a16:creationId xmlns:a16="http://schemas.microsoft.com/office/drawing/2014/main" id="{00000000-0008-0000-0200-000068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220980</xdr:colOff>
          <xdr:row>21</xdr:row>
          <xdr:rowOff>114300</xdr:rowOff>
        </xdr:from>
        <xdr:to>
          <xdr:col>4</xdr:col>
          <xdr:colOff>883920</xdr:colOff>
          <xdr:row>21</xdr:row>
          <xdr:rowOff>487680</xdr:rowOff>
        </xdr:to>
        <xdr:sp macro="" textlink="">
          <xdr:nvSpPr>
            <xdr:cNvPr id="32873" name="Button 105" hidden="1">
              <a:extLst>
                <a:ext uri="{63B3BB69-23CF-44E3-9099-C40C66FF867C}">
                  <a14:compatExt spid="_x0000_s32873"/>
                </a:ext>
                <a:ext uri="{FF2B5EF4-FFF2-40B4-BE49-F238E27FC236}">
                  <a16:creationId xmlns:a16="http://schemas.microsoft.com/office/drawing/2014/main" id="{00000000-0008-0000-0200-0000698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nl-BE" sz="1100" b="0" i="0" u="none" strike="noStrike" baseline="0">
                  <a:solidFill>
                    <a:srgbClr val="000000"/>
                  </a:solidFill>
                  <a:latin typeface="Calibri"/>
                  <a:ea typeface="Calibri"/>
                  <a:cs typeface="Calibri"/>
                </a:rPr>
                <a:t>Lijst centrumsteden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167640</xdr:colOff>
          <xdr:row>41</xdr:row>
          <xdr:rowOff>99060</xdr:rowOff>
        </xdr:from>
        <xdr:to>
          <xdr:col>3</xdr:col>
          <xdr:colOff>106680</xdr:colOff>
          <xdr:row>41</xdr:row>
          <xdr:rowOff>320040</xdr:rowOff>
        </xdr:to>
        <xdr:sp macro="" textlink="">
          <xdr:nvSpPr>
            <xdr:cNvPr id="32876" name="Check Box 108" hidden="1">
              <a:extLst>
                <a:ext uri="{63B3BB69-23CF-44E3-9099-C40C66FF867C}">
                  <a14:compatExt spid="_x0000_s32876"/>
                </a:ext>
                <a:ext uri="{FF2B5EF4-FFF2-40B4-BE49-F238E27FC236}">
                  <a16:creationId xmlns:a16="http://schemas.microsoft.com/office/drawing/2014/main" id="{00000000-0008-0000-0200-00006C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EVA 2 ingediend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0</xdr:row>
          <xdr:rowOff>60960</xdr:rowOff>
        </xdr:from>
        <xdr:to>
          <xdr:col>1</xdr:col>
          <xdr:colOff>1874520</xdr:colOff>
          <xdr:row>0</xdr:row>
          <xdr:rowOff>335280</xdr:rowOff>
        </xdr:to>
        <xdr:sp macro="" textlink="">
          <xdr:nvSpPr>
            <xdr:cNvPr id="32877" name="Button 109" hidden="1">
              <a:extLst>
                <a:ext uri="{63B3BB69-23CF-44E3-9099-C40C66FF867C}">
                  <a14:compatExt spid="_x0000_s32877"/>
                </a:ext>
                <a:ext uri="{FF2B5EF4-FFF2-40B4-BE49-F238E27FC236}">
                  <a16:creationId xmlns:a16="http://schemas.microsoft.com/office/drawing/2014/main" id="{00000000-0008-0000-0200-00006D8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nl-BE" sz="1100" b="1" i="0" u="none" strike="noStrike" baseline="0">
                  <a:solidFill>
                    <a:srgbClr val="000000"/>
                  </a:solidFill>
                  <a:latin typeface="Calibri"/>
                  <a:ea typeface="Calibri"/>
                  <a:cs typeface="Calibri"/>
                </a:rPr>
                <a:t>Kopieer data</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68580</xdr:colOff>
          <xdr:row>0</xdr:row>
          <xdr:rowOff>175260</xdr:rowOff>
        </xdr:from>
        <xdr:to>
          <xdr:col>2</xdr:col>
          <xdr:colOff>327660</xdr:colOff>
          <xdr:row>2</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11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Nieuwbouw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0</xdr:row>
          <xdr:rowOff>175260</xdr:rowOff>
        </xdr:from>
        <xdr:to>
          <xdr:col>3</xdr:col>
          <xdr:colOff>723900</xdr:colOff>
          <xdr:row>2</xdr:row>
          <xdr:rowOff>30480</xdr:rowOff>
        </xdr:to>
        <xdr:sp macro="" textlink="">
          <xdr:nvSpPr>
            <xdr:cNvPr id="330754" name="Check Box 2" hidden="1">
              <a:extLst>
                <a:ext uri="{63B3BB69-23CF-44E3-9099-C40C66FF867C}">
                  <a14:compatExt spid="_x0000_s330754"/>
                </a:ext>
                <a:ext uri="{FF2B5EF4-FFF2-40B4-BE49-F238E27FC236}">
                  <a16:creationId xmlns:a16="http://schemas.microsoft.com/office/drawing/2014/main" id="{00000000-0008-0000-1100-000002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Uitbreiding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0</xdr:row>
          <xdr:rowOff>175260</xdr:rowOff>
        </xdr:from>
        <xdr:to>
          <xdr:col>18</xdr:col>
          <xdr:colOff>121920</xdr:colOff>
          <xdr:row>2</xdr:row>
          <xdr:rowOff>30480</xdr:rowOff>
        </xdr:to>
        <xdr:sp macro="" textlink="">
          <xdr:nvSpPr>
            <xdr:cNvPr id="330755" name="Check Box 3" hidden="1">
              <a:extLst>
                <a:ext uri="{63B3BB69-23CF-44E3-9099-C40C66FF867C}">
                  <a14:compatExt spid="_x0000_s330755"/>
                </a:ext>
                <a:ext uri="{FF2B5EF4-FFF2-40B4-BE49-F238E27FC236}">
                  <a16:creationId xmlns:a16="http://schemas.microsoft.com/office/drawing/2014/main" id="{00000000-0008-0000-1100-000003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Nieuwbouw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0</xdr:row>
          <xdr:rowOff>160020</xdr:rowOff>
        </xdr:from>
        <xdr:to>
          <xdr:col>18</xdr:col>
          <xdr:colOff>0</xdr:colOff>
          <xdr:row>2</xdr:row>
          <xdr:rowOff>30480</xdr:rowOff>
        </xdr:to>
        <xdr:sp macro="" textlink="">
          <xdr:nvSpPr>
            <xdr:cNvPr id="330756" name="Check Box 4" hidden="1">
              <a:extLst>
                <a:ext uri="{63B3BB69-23CF-44E3-9099-C40C66FF867C}">
                  <a14:compatExt spid="_x0000_s330756"/>
                </a:ext>
                <a:ext uri="{FF2B5EF4-FFF2-40B4-BE49-F238E27FC236}">
                  <a16:creationId xmlns:a16="http://schemas.microsoft.com/office/drawing/2014/main" id="{00000000-0008-0000-1100-000004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Uitbreiding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99060</xdr:colOff>
          <xdr:row>0</xdr:row>
          <xdr:rowOff>160020</xdr:rowOff>
        </xdr:from>
        <xdr:to>
          <xdr:col>19</xdr:col>
          <xdr:colOff>22860</xdr:colOff>
          <xdr:row>2</xdr:row>
          <xdr:rowOff>38100</xdr:rowOff>
        </xdr:to>
        <xdr:sp macro="" textlink="">
          <xdr:nvSpPr>
            <xdr:cNvPr id="330757" name="Check Box 5" hidden="1">
              <a:extLst>
                <a:ext uri="{63B3BB69-23CF-44E3-9099-C40C66FF867C}">
                  <a14:compatExt spid="_x0000_s330757"/>
                </a:ext>
                <a:ext uri="{FF2B5EF4-FFF2-40B4-BE49-F238E27FC236}">
                  <a16:creationId xmlns:a16="http://schemas.microsoft.com/office/drawing/2014/main" id="{00000000-0008-0000-1100-000005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Uitbreiding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60960</xdr:colOff>
          <xdr:row>0</xdr:row>
          <xdr:rowOff>175260</xdr:rowOff>
        </xdr:from>
        <xdr:to>
          <xdr:col>19</xdr:col>
          <xdr:colOff>114300</xdr:colOff>
          <xdr:row>2</xdr:row>
          <xdr:rowOff>38100</xdr:rowOff>
        </xdr:to>
        <xdr:sp macro="" textlink="">
          <xdr:nvSpPr>
            <xdr:cNvPr id="330758" name="Check Box 6" hidden="1">
              <a:extLst>
                <a:ext uri="{63B3BB69-23CF-44E3-9099-C40C66FF867C}">
                  <a14:compatExt spid="_x0000_s330758"/>
                </a:ext>
                <a:ext uri="{FF2B5EF4-FFF2-40B4-BE49-F238E27FC236}">
                  <a16:creationId xmlns:a16="http://schemas.microsoft.com/office/drawing/2014/main" id="{00000000-0008-0000-1100-000006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Nieuwbouw</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220980</xdr:colOff>
          <xdr:row>0</xdr:row>
          <xdr:rowOff>160020</xdr:rowOff>
        </xdr:from>
        <xdr:to>
          <xdr:col>1</xdr:col>
          <xdr:colOff>746760</xdr:colOff>
          <xdr:row>2</xdr:row>
          <xdr:rowOff>30480</xdr:rowOff>
        </xdr:to>
        <xdr:sp macro="" textlink="">
          <xdr:nvSpPr>
            <xdr:cNvPr id="360449" name="Check Box 1" hidden="1">
              <a:extLst>
                <a:ext uri="{63B3BB69-23CF-44E3-9099-C40C66FF867C}">
                  <a14:compatExt spid="_x0000_s360449"/>
                </a:ext>
                <a:ext uri="{FF2B5EF4-FFF2-40B4-BE49-F238E27FC236}">
                  <a16:creationId xmlns:a16="http://schemas.microsoft.com/office/drawing/2014/main" id="{00000000-0008-0000-1600-0000018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IER?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342900</xdr:colOff>
          <xdr:row>0</xdr:row>
          <xdr:rowOff>160020</xdr:rowOff>
        </xdr:from>
        <xdr:to>
          <xdr:col>17</xdr:col>
          <xdr:colOff>220980</xdr:colOff>
          <xdr:row>2</xdr:row>
          <xdr:rowOff>30480</xdr:rowOff>
        </xdr:to>
        <xdr:sp macro="" textlink="">
          <xdr:nvSpPr>
            <xdr:cNvPr id="360450" name="Check Box 2" hidden="1">
              <a:extLst>
                <a:ext uri="{63B3BB69-23CF-44E3-9099-C40C66FF867C}">
                  <a14:compatExt spid="_x0000_s360450"/>
                </a:ext>
                <a:ext uri="{FF2B5EF4-FFF2-40B4-BE49-F238E27FC236}">
                  <a16:creationId xmlns:a16="http://schemas.microsoft.com/office/drawing/2014/main" id="{00000000-0008-0000-1600-0000028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IER?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198120</xdr:colOff>
          <xdr:row>0</xdr:row>
          <xdr:rowOff>152400</xdr:rowOff>
        </xdr:from>
        <xdr:to>
          <xdr:col>17</xdr:col>
          <xdr:colOff>518160</xdr:colOff>
          <xdr:row>2</xdr:row>
          <xdr:rowOff>22860</xdr:rowOff>
        </xdr:to>
        <xdr:sp macro="" textlink="">
          <xdr:nvSpPr>
            <xdr:cNvPr id="360451" name="Check Box 3" hidden="1">
              <a:extLst>
                <a:ext uri="{63B3BB69-23CF-44E3-9099-C40C66FF867C}">
                  <a14:compatExt spid="_x0000_s360451"/>
                </a:ext>
                <a:ext uri="{FF2B5EF4-FFF2-40B4-BE49-F238E27FC236}">
                  <a16:creationId xmlns:a16="http://schemas.microsoft.com/office/drawing/2014/main" id="{00000000-0008-0000-1600-0000038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IER?</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34</xdr:col>
      <xdr:colOff>119743</xdr:colOff>
      <xdr:row>23</xdr:row>
      <xdr:rowOff>97971</xdr:rowOff>
    </xdr:from>
    <xdr:to>
      <xdr:col>34</xdr:col>
      <xdr:colOff>477883</xdr:colOff>
      <xdr:row>23</xdr:row>
      <xdr:rowOff>97971</xdr:rowOff>
    </xdr:to>
    <xdr:cxnSp macro="">
      <xdr:nvCxnSpPr>
        <xdr:cNvPr id="12" name="Rechte verbindingslijn met pijl 11">
          <a:extLst>
            <a:ext uri="{FF2B5EF4-FFF2-40B4-BE49-F238E27FC236}">
              <a16:creationId xmlns:a16="http://schemas.microsoft.com/office/drawing/2014/main" id="{00000000-0008-0000-1B00-00000C000000}"/>
            </a:ext>
          </a:extLst>
        </xdr:cNvPr>
        <xdr:cNvCxnSpPr/>
      </xdr:nvCxnSpPr>
      <xdr:spPr>
        <a:xfrm flipH="1">
          <a:off x="28248429" y="4648200"/>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128451</xdr:rowOff>
    </xdr:from>
    <xdr:to>
      <xdr:col>34</xdr:col>
      <xdr:colOff>477883</xdr:colOff>
      <xdr:row>30</xdr:row>
      <xdr:rowOff>16691</xdr:rowOff>
    </xdr:to>
    <xdr:cxnSp macro="">
      <xdr:nvCxnSpPr>
        <xdr:cNvPr id="13" name="Rechte verbindingslijn met pijl 12">
          <a:extLst>
            <a:ext uri="{FF2B5EF4-FFF2-40B4-BE49-F238E27FC236}">
              <a16:creationId xmlns:a16="http://schemas.microsoft.com/office/drawing/2014/main" id="{00000000-0008-0000-1B00-00000D000000}"/>
            </a:ext>
          </a:extLst>
        </xdr:cNvPr>
        <xdr:cNvCxnSpPr/>
      </xdr:nvCxnSpPr>
      <xdr:spPr>
        <a:xfrm flipH="1">
          <a:off x="28271289" y="4678680"/>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120831</xdr:rowOff>
    </xdr:from>
    <xdr:to>
      <xdr:col>34</xdr:col>
      <xdr:colOff>477883</xdr:colOff>
      <xdr:row>37</xdr:row>
      <xdr:rowOff>158931</xdr:rowOff>
    </xdr:to>
    <xdr:cxnSp macro="">
      <xdr:nvCxnSpPr>
        <xdr:cNvPr id="14" name="Rechte verbindingslijn met pijl 13">
          <a:extLst>
            <a:ext uri="{FF2B5EF4-FFF2-40B4-BE49-F238E27FC236}">
              <a16:creationId xmlns:a16="http://schemas.microsoft.com/office/drawing/2014/main" id="{00000000-0008-0000-1B00-00000E000000}"/>
            </a:ext>
          </a:extLst>
        </xdr:cNvPr>
        <xdr:cNvCxnSpPr/>
      </xdr:nvCxnSpPr>
      <xdr:spPr>
        <a:xfrm flipH="1">
          <a:off x="28271289" y="4671060"/>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141514</xdr:colOff>
      <xdr:row>2</xdr:row>
      <xdr:rowOff>141515</xdr:rowOff>
    </xdr:from>
    <xdr:to>
      <xdr:col>5</xdr:col>
      <xdr:colOff>434884</xdr:colOff>
      <xdr:row>2</xdr:row>
      <xdr:rowOff>141515</xdr:rowOff>
    </xdr:to>
    <xdr:cxnSp macro="">
      <xdr:nvCxnSpPr>
        <xdr:cNvPr id="15" name="Rechte verbindingslijn met pijl 14">
          <a:extLst>
            <a:ext uri="{FF2B5EF4-FFF2-40B4-BE49-F238E27FC236}">
              <a16:creationId xmlns:a16="http://schemas.microsoft.com/office/drawing/2014/main" id="{00000000-0008-0000-1B00-00000F000000}"/>
            </a:ext>
          </a:extLst>
        </xdr:cNvPr>
        <xdr:cNvCxnSpPr/>
      </xdr:nvCxnSpPr>
      <xdr:spPr>
        <a:xfrm flipH="1">
          <a:off x="6150428" y="370115"/>
          <a:ext cx="29337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34</xdr:col>
      <xdr:colOff>119743</xdr:colOff>
      <xdr:row>23</xdr:row>
      <xdr:rowOff>87086</xdr:rowOff>
    </xdr:from>
    <xdr:to>
      <xdr:col>34</xdr:col>
      <xdr:colOff>477883</xdr:colOff>
      <xdr:row>23</xdr:row>
      <xdr:rowOff>87086</xdr:rowOff>
    </xdr:to>
    <xdr:cxnSp macro="">
      <xdr:nvCxnSpPr>
        <xdr:cNvPr id="10" name="Rechte verbindingslijn met pijl 9">
          <a:extLst>
            <a:ext uri="{FF2B5EF4-FFF2-40B4-BE49-F238E27FC236}">
              <a16:creationId xmlns:a16="http://schemas.microsoft.com/office/drawing/2014/main" id="{00000000-0008-0000-1C00-00000A000000}"/>
            </a:ext>
          </a:extLst>
        </xdr:cNvPr>
        <xdr:cNvCxnSpPr/>
      </xdr:nvCxnSpPr>
      <xdr:spPr>
        <a:xfrm flipH="1">
          <a:off x="28248429" y="4550229"/>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117566</xdr:rowOff>
    </xdr:from>
    <xdr:to>
      <xdr:col>34</xdr:col>
      <xdr:colOff>477883</xdr:colOff>
      <xdr:row>30</xdr:row>
      <xdr:rowOff>5806</xdr:rowOff>
    </xdr:to>
    <xdr:cxnSp macro="">
      <xdr:nvCxnSpPr>
        <xdr:cNvPr id="11" name="Rechte verbindingslijn met pijl 10">
          <a:extLst>
            <a:ext uri="{FF2B5EF4-FFF2-40B4-BE49-F238E27FC236}">
              <a16:creationId xmlns:a16="http://schemas.microsoft.com/office/drawing/2014/main" id="{00000000-0008-0000-1C00-00000B000000}"/>
            </a:ext>
          </a:extLst>
        </xdr:cNvPr>
        <xdr:cNvCxnSpPr/>
      </xdr:nvCxnSpPr>
      <xdr:spPr>
        <a:xfrm flipH="1">
          <a:off x="28271289" y="4580709"/>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109946</xdr:rowOff>
    </xdr:from>
    <xdr:to>
      <xdr:col>34</xdr:col>
      <xdr:colOff>477883</xdr:colOff>
      <xdr:row>37</xdr:row>
      <xdr:rowOff>148046</xdr:rowOff>
    </xdr:to>
    <xdr:cxnSp macro="">
      <xdr:nvCxnSpPr>
        <xdr:cNvPr id="12" name="Rechte verbindingslijn met pijl 11">
          <a:extLst>
            <a:ext uri="{FF2B5EF4-FFF2-40B4-BE49-F238E27FC236}">
              <a16:creationId xmlns:a16="http://schemas.microsoft.com/office/drawing/2014/main" id="{00000000-0008-0000-1C00-00000C000000}"/>
            </a:ext>
          </a:extLst>
        </xdr:cNvPr>
        <xdr:cNvCxnSpPr/>
      </xdr:nvCxnSpPr>
      <xdr:spPr>
        <a:xfrm flipH="1">
          <a:off x="28271289" y="4573089"/>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130628</xdr:colOff>
      <xdr:row>2</xdr:row>
      <xdr:rowOff>152400</xdr:rowOff>
    </xdr:from>
    <xdr:to>
      <xdr:col>5</xdr:col>
      <xdr:colOff>454478</xdr:colOff>
      <xdr:row>2</xdr:row>
      <xdr:rowOff>152400</xdr:rowOff>
    </xdr:to>
    <xdr:cxnSp macro="">
      <xdr:nvCxnSpPr>
        <xdr:cNvPr id="13" name="Rechte verbindingslijn met pijl 12">
          <a:extLst>
            <a:ext uri="{FF2B5EF4-FFF2-40B4-BE49-F238E27FC236}">
              <a16:creationId xmlns:a16="http://schemas.microsoft.com/office/drawing/2014/main" id="{00000000-0008-0000-1C00-00000D000000}"/>
            </a:ext>
          </a:extLst>
        </xdr:cNvPr>
        <xdr:cNvCxnSpPr/>
      </xdr:nvCxnSpPr>
      <xdr:spPr>
        <a:xfrm flipH="1">
          <a:off x="6259285" y="381000"/>
          <a:ext cx="32385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34</xdr:col>
      <xdr:colOff>130628</xdr:colOff>
      <xdr:row>24</xdr:row>
      <xdr:rowOff>119743</xdr:rowOff>
    </xdr:from>
    <xdr:to>
      <xdr:col>34</xdr:col>
      <xdr:colOff>488768</xdr:colOff>
      <xdr:row>24</xdr:row>
      <xdr:rowOff>119743</xdr:rowOff>
    </xdr:to>
    <xdr:cxnSp macro="">
      <xdr:nvCxnSpPr>
        <xdr:cNvPr id="9" name="Rechte verbindingslijn met pijl 8">
          <a:extLst>
            <a:ext uri="{FF2B5EF4-FFF2-40B4-BE49-F238E27FC236}">
              <a16:creationId xmlns:a16="http://schemas.microsoft.com/office/drawing/2014/main" id="{00000000-0008-0000-1D00-000009000000}"/>
            </a:ext>
          </a:extLst>
        </xdr:cNvPr>
        <xdr:cNvCxnSpPr/>
      </xdr:nvCxnSpPr>
      <xdr:spPr>
        <a:xfrm flipH="1">
          <a:off x="28259314" y="4702629"/>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24</xdr:row>
      <xdr:rowOff>150223</xdr:rowOff>
    </xdr:from>
    <xdr:to>
      <xdr:col>34</xdr:col>
      <xdr:colOff>488768</xdr:colOff>
      <xdr:row>31</xdr:row>
      <xdr:rowOff>38463</xdr:rowOff>
    </xdr:to>
    <xdr:cxnSp macro="">
      <xdr:nvCxnSpPr>
        <xdr:cNvPr id="10" name="Rechte verbindingslijn met pijl 9">
          <a:extLst>
            <a:ext uri="{FF2B5EF4-FFF2-40B4-BE49-F238E27FC236}">
              <a16:creationId xmlns:a16="http://schemas.microsoft.com/office/drawing/2014/main" id="{00000000-0008-0000-1D00-00000A000000}"/>
            </a:ext>
          </a:extLst>
        </xdr:cNvPr>
        <xdr:cNvCxnSpPr/>
      </xdr:nvCxnSpPr>
      <xdr:spPr>
        <a:xfrm flipH="1">
          <a:off x="28282174" y="4733109"/>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24</xdr:row>
      <xdr:rowOff>142603</xdr:rowOff>
    </xdr:from>
    <xdr:to>
      <xdr:col>34</xdr:col>
      <xdr:colOff>488768</xdr:colOff>
      <xdr:row>38</xdr:row>
      <xdr:rowOff>180703</xdr:rowOff>
    </xdr:to>
    <xdr:cxnSp macro="">
      <xdr:nvCxnSpPr>
        <xdr:cNvPr id="11" name="Rechte verbindingslijn met pijl 10">
          <a:extLst>
            <a:ext uri="{FF2B5EF4-FFF2-40B4-BE49-F238E27FC236}">
              <a16:creationId xmlns:a16="http://schemas.microsoft.com/office/drawing/2014/main" id="{00000000-0008-0000-1D00-00000B000000}"/>
            </a:ext>
          </a:extLst>
        </xdr:cNvPr>
        <xdr:cNvCxnSpPr/>
      </xdr:nvCxnSpPr>
      <xdr:spPr>
        <a:xfrm flipH="1">
          <a:off x="28282174" y="4725489"/>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34</xdr:col>
      <xdr:colOff>152400</xdr:colOff>
      <xdr:row>22</xdr:row>
      <xdr:rowOff>93980</xdr:rowOff>
    </xdr:from>
    <xdr:to>
      <xdr:col>34</xdr:col>
      <xdr:colOff>510540</xdr:colOff>
      <xdr:row>22</xdr:row>
      <xdr:rowOff>93980</xdr:rowOff>
    </xdr:to>
    <xdr:cxnSp macro="">
      <xdr:nvCxnSpPr>
        <xdr:cNvPr id="2" name="Rechte verbindingslijn met pijl 1">
          <a:extLst>
            <a:ext uri="{FF2B5EF4-FFF2-40B4-BE49-F238E27FC236}">
              <a16:creationId xmlns:a16="http://schemas.microsoft.com/office/drawing/2014/main" id="{00000000-0008-0000-1E00-000002000000}"/>
            </a:ext>
          </a:extLst>
        </xdr:cNvPr>
        <xdr:cNvCxnSpPr/>
      </xdr:nvCxnSpPr>
      <xdr:spPr>
        <a:xfrm flipH="1">
          <a:off x="28244800" y="4361180"/>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175260</xdr:colOff>
      <xdr:row>22</xdr:row>
      <xdr:rowOff>124460</xdr:rowOff>
    </xdr:from>
    <xdr:to>
      <xdr:col>34</xdr:col>
      <xdr:colOff>510540</xdr:colOff>
      <xdr:row>29</xdr:row>
      <xdr:rowOff>63500</xdr:rowOff>
    </xdr:to>
    <xdr:cxnSp macro="">
      <xdr:nvCxnSpPr>
        <xdr:cNvPr id="3" name="Rechte verbindingslijn met pijl 2">
          <a:extLst>
            <a:ext uri="{FF2B5EF4-FFF2-40B4-BE49-F238E27FC236}">
              <a16:creationId xmlns:a16="http://schemas.microsoft.com/office/drawing/2014/main" id="{00000000-0008-0000-1E00-000003000000}"/>
            </a:ext>
          </a:extLst>
        </xdr:cNvPr>
        <xdr:cNvCxnSpPr/>
      </xdr:nvCxnSpPr>
      <xdr:spPr>
        <a:xfrm flipH="1">
          <a:off x="28267660" y="4391660"/>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175260</xdr:colOff>
      <xdr:row>22</xdr:row>
      <xdr:rowOff>116840</xdr:rowOff>
    </xdr:from>
    <xdr:to>
      <xdr:col>34</xdr:col>
      <xdr:colOff>510540</xdr:colOff>
      <xdr:row>37</xdr:row>
      <xdr:rowOff>78740</xdr:rowOff>
    </xdr:to>
    <xdr:cxnSp macro="">
      <xdr:nvCxnSpPr>
        <xdr:cNvPr id="4" name="Rechte verbindingslijn met pijl 3">
          <a:extLst>
            <a:ext uri="{FF2B5EF4-FFF2-40B4-BE49-F238E27FC236}">
              <a16:creationId xmlns:a16="http://schemas.microsoft.com/office/drawing/2014/main" id="{00000000-0008-0000-1E00-000004000000}"/>
            </a:ext>
          </a:extLst>
        </xdr:cNvPr>
        <xdr:cNvCxnSpPr/>
      </xdr:nvCxnSpPr>
      <xdr:spPr>
        <a:xfrm flipH="1">
          <a:off x="28267660" y="4384040"/>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933450</xdr:colOff>
      <xdr:row>1</xdr:row>
      <xdr:rowOff>95250</xdr:rowOff>
    </xdr:from>
    <xdr:to>
      <xdr:col>3</xdr:col>
      <xdr:colOff>1253490</xdr:colOff>
      <xdr:row>1</xdr:row>
      <xdr:rowOff>95250</xdr:rowOff>
    </xdr:to>
    <xdr:cxnSp macro="">
      <xdr:nvCxnSpPr>
        <xdr:cNvPr id="6" name="Rechte verbindingslijn met pijl 5">
          <a:extLst>
            <a:ext uri="{FF2B5EF4-FFF2-40B4-BE49-F238E27FC236}">
              <a16:creationId xmlns:a16="http://schemas.microsoft.com/office/drawing/2014/main" id="{00000000-0008-0000-1E00-000006000000}"/>
            </a:ext>
          </a:extLst>
        </xdr:cNvPr>
        <xdr:cNvCxnSpPr/>
      </xdr:nvCxnSpPr>
      <xdr:spPr>
        <a:xfrm flipH="1">
          <a:off x="5372100" y="276225"/>
          <a:ext cx="3200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141514</xdr:colOff>
      <xdr:row>2</xdr:row>
      <xdr:rowOff>161109</xdr:rowOff>
    </xdr:from>
    <xdr:to>
      <xdr:col>5</xdr:col>
      <xdr:colOff>465364</xdr:colOff>
      <xdr:row>2</xdr:row>
      <xdr:rowOff>161109</xdr:rowOff>
    </xdr:to>
    <xdr:cxnSp macro="">
      <xdr:nvCxnSpPr>
        <xdr:cNvPr id="13" name="Rechte verbindingslijn met pijl 12">
          <a:extLst>
            <a:ext uri="{FF2B5EF4-FFF2-40B4-BE49-F238E27FC236}">
              <a16:creationId xmlns:a16="http://schemas.microsoft.com/office/drawing/2014/main" id="{00000000-0008-0000-1E00-00000D000000}"/>
            </a:ext>
          </a:extLst>
        </xdr:cNvPr>
        <xdr:cNvCxnSpPr/>
      </xdr:nvCxnSpPr>
      <xdr:spPr>
        <a:xfrm flipH="1">
          <a:off x="6298474" y="389709"/>
          <a:ext cx="32385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34</xdr:col>
      <xdr:colOff>129540</xdr:colOff>
      <xdr:row>23</xdr:row>
      <xdr:rowOff>91440</xdr:rowOff>
    </xdr:from>
    <xdr:to>
      <xdr:col>34</xdr:col>
      <xdr:colOff>487680</xdr:colOff>
      <xdr:row>23</xdr:row>
      <xdr:rowOff>91440</xdr:rowOff>
    </xdr:to>
    <xdr:cxnSp macro="">
      <xdr:nvCxnSpPr>
        <xdr:cNvPr id="8" name="Rechte verbindingslijn met pijl 7">
          <a:extLst>
            <a:ext uri="{FF2B5EF4-FFF2-40B4-BE49-F238E27FC236}">
              <a16:creationId xmlns:a16="http://schemas.microsoft.com/office/drawing/2014/main" id="{00000000-0008-0000-1F00-000008000000}"/>
            </a:ext>
          </a:extLst>
        </xdr:cNvPr>
        <xdr:cNvCxnSpPr/>
      </xdr:nvCxnSpPr>
      <xdr:spPr>
        <a:xfrm flipH="1">
          <a:off x="28232100" y="4450080"/>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152400</xdr:colOff>
      <xdr:row>23</xdr:row>
      <xdr:rowOff>121920</xdr:rowOff>
    </xdr:from>
    <xdr:to>
      <xdr:col>34</xdr:col>
      <xdr:colOff>487680</xdr:colOff>
      <xdr:row>30</xdr:row>
      <xdr:rowOff>25400</xdr:rowOff>
    </xdr:to>
    <xdr:cxnSp macro="">
      <xdr:nvCxnSpPr>
        <xdr:cNvPr id="9" name="Rechte verbindingslijn met pijl 8">
          <a:extLst>
            <a:ext uri="{FF2B5EF4-FFF2-40B4-BE49-F238E27FC236}">
              <a16:creationId xmlns:a16="http://schemas.microsoft.com/office/drawing/2014/main" id="{00000000-0008-0000-1F00-000009000000}"/>
            </a:ext>
          </a:extLst>
        </xdr:cNvPr>
        <xdr:cNvCxnSpPr/>
      </xdr:nvCxnSpPr>
      <xdr:spPr>
        <a:xfrm flipH="1">
          <a:off x="28254960" y="4480560"/>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23</xdr:row>
      <xdr:rowOff>142603</xdr:rowOff>
    </xdr:from>
    <xdr:to>
      <xdr:col>34</xdr:col>
      <xdr:colOff>488768</xdr:colOff>
      <xdr:row>37</xdr:row>
      <xdr:rowOff>180703</xdr:rowOff>
    </xdr:to>
    <xdr:cxnSp macro="">
      <xdr:nvCxnSpPr>
        <xdr:cNvPr id="15" name="Rechte verbindingslijn met pijl 14">
          <a:extLst>
            <a:ext uri="{FF2B5EF4-FFF2-40B4-BE49-F238E27FC236}">
              <a16:creationId xmlns:a16="http://schemas.microsoft.com/office/drawing/2014/main" id="{00000000-0008-0000-1F00-00000F000000}"/>
            </a:ext>
          </a:extLst>
        </xdr:cNvPr>
        <xdr:cNvCxnSpPr/>
      </xdr:nvCxnSpPr>
      <xdr:spPr>
        <a:xfrm flipH="1">
          <a:off x="28553228" y="4699363"/>
          <a:ext cx="335280" cy="259842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95332</xdr:colOff>
      <xdr:row>2</xdr:row>
      <xdr:rowOff>79829</xdr:rowOff>
    </xdr:from>
    <xdr:to>
      <xdr:col>5</xdr:col>
      <xdr:colOff>420721</xdr:colOff>
      <xdr:row>2</xdr:row>
      <xdr:rowOff>79829</xdr:rowOff>
    </xdr:to>
    <xdr:cxnSp macro="">
      <xdr:nvCxnSpPr>
        <xdr:cNvPr id="16" name="Rechte verbindingslijn met pijl 15">
          <a:extLst>
            <a:ext uri="{FF2B5EF4-FFF2-40B4-BE49-F238E27FC236}">
              <a16:creationId xmlns:a16="http://schemas.microsoft.com/office/drawing/2014/main" id="{00000000-0008-0000-1F00-000010000000}"/>
            </a:ext>
          </a:extLst>
        </xdr:cNvPr>
        <xdr:cNvCxnSpPr/>
      </xdr:nvCxnSpPr>
      <xdr:spPr>
        <a:xfrm flipH="1">
          <a:off x="6468423" y="259938"/>
          <a:ext cx="325389"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130628</xdr:colOff>
      <xdr:row>2</xdr:row>
      <xdr:rowOff>141515</xdr:rowOff>
    </xdr:from>
    <xdr:to>
      <xdr:col>5</xdr:col>
      <xdr:colOff>423998</xdr:colOff>
      <xdr:row>2</xdr:row>
      <xdr:rowOff>141515</xdr:rowOff>
    </xdr:to>
    <xdr:cxnSp macro="">
      <xdr:nvCxnSpPr>
        <xdr:cNvPr id="7" name="Rechte verbindingslijn met pijl 6">
          <a:extLst>
            <a:ext uri="{FF2B5EF4-FFF2-40B4-BE49-F238E27FC236}">
              <a16:creationId xmlns:a16="http://schemas.microsoft.com/office/drawing/2014/main" id="{00000000-0008-0000-2000-000007000000}"/>
            </a:ext>
          </a:extLst>
        </xdr:cNvPr>
        <xdr:cNvCxnSpPr/>
      </xdr:nvCxnSpPr>
      <xdr:spPr>
        <a:xfrm flipH="1">
          <a:off x="5704114" y="370115"/>
          <a:ext cx="29337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130628</xdr:colOff>
      <xdr:row>23</xdr:row>
      <xdr:rowOff>119743</xdr:rowOff>
    </xdr:from>
    <xdr:to>
      <xdr:col>34</xdr:col>
      <xdr:colOff>488768</xdr:colOff>
      <xdr:row>23</xdr:row>
      <xdr:rowOff>119743</xdr:rowOff>
    </xdr:to>
    <xdr:cxnSp macro="">
      <xdr:nvCxnSpPr>
        <xdr:cNvPr id="8" name="Rechte verbindingslijn met pijl 7">
          <a:extLst>
            <a:ext uri="{FF2B5EF4-FFF2-40B4-BE49-F238E27FC236}">
              <a16:creationId xmlns:a16="http://schemas.microsoft.com/office/drawing/2014/main" id="{00000000-0008-0000-2000-000008000000}"/>
            </a:ext>
          </a:extLst>
        </xdr:cNvPr>
        <xdr:cNvCxnSpPr/>
      </xdr:nvCxnSpPr>
      <xdr:spPr>
        <a:xfrm flipH="1">
          <a:off x="28530368" y="4676503"/>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23</xdr:row>
      <xdr:rowOff>150223</xdr:rowOff>
    </xdr:from>
    <xdr:to>
      <xdr:col>34</xdr:col>
      <xdr:colOff>488768</xdr:colOff>
      <xdr:row>30</xdr:row>
      <xdr:rowOff>38463</xdr:rowOff>
    </xdr:to>
    <xdr:cxnSp macro="">
      <xdr:nvCxnSpPr>
        <xdr:cNvPr id="9" name="Rechte verbindingslijn met pijl 8">
          <a:extLst>
            <a:ext uri="{FF2B5EF4-FFF2-40B4-BE49-F238E27FC236}">
              <a16:creationId xmlns:a16="http://schemas.microsoft.com/office/drawing/2014/main" id="{00000000-0008-0000-2000-000009000000}"/>
            </a:ext>
          </a:extLst>
        </xdr:cNvPr>
        <xdr:cNvCxnSpPr/>
      </xdr:nvCxnSpPr>
      <xdr:spPr>
        <a:xfrm flipH="1">
          <a:off x="28553228" y="4706983"/>
          <a:ext cx="335280" cy="11684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23</xdr:row>
      <xdr:rowOff>142603</xdr:rowOff>
    </xdr:from>
    <xdr:to>
      <xdr:col>34</xdr:col>
      <xdr:colOff>488768</xdr:colOff>
      <xdr:row>37</xdr:row>
      <xdr:rowOff>180703</xdr:rowOff>
    </xdr:to>
    <xdr:cxnSp macro="">
      <xdr:nvCxnSpPr>
        <xdr:cNvPr id="10" name="Rechte verbindingslijn met pijl 9">
          <a:extLst>
            <a:ext uri="{FF2B5EF4-FFF2-40B4-BE49-F238E27FC236}">
              <a16:creationId xmlns:a16="http://schemas.microsoft.com/office/drawing/2014/main" id="{00000000-0008-0000-2000-00000A000000}"/>
            </a:ext>
          </a:extLst>
        </xdr:cNvPr>
        <xdr:cNvCxnSpPr/>
      </xdr:nvCxnSpPr>
      <xdr:spPr>
        <a:xfrm flipH="1">
          <a:off x="28553228" y="4699363"/>
          <a:ext cx="335280" cy="259842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vervlojo\AppData\Local\Microsoft\Olk\Attachments\ooa-0e79f3ff-3a5b-4c3c-9227-365f935a195a\36c869f69bd95cb3180bd3ed4ea80b596a142c0863e94b00659f209c9b46b59d\12.Overzicht_project_NMSC.xlsm" TargetMode="External"/><Relationship Id="rId1" Type="http://schemas.openxmlformats.org/officeDocument/2006/relationships/externalLinkPath" Target="file:///C:\Users\vervlojo\AppData\Local\Microsoft\Olk\Attachments\ooa-0e79f3ff-3a5b-4c3c-9227-365f935a195a\36c869f69bd95cb3180bd3ed4ea80b596a142c0863e94b00659f209c9b46b59d\12.Overzicht_project_NMS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verzicht project"/>
      <sheetName val="Overzicht project_gewijzigd"/>
      <sheetName val="Overzicht BTA"/>
      <sheetName val="Oppervlakte - afdelingen"/>
      <sheetName val="Oppervlakte_afdelingen_gewijz"/>
      <sheetName val="Oppervlakte - Ond. dienst"/>
      <sheetName val="Oppervlakte_Ond. dienst_gewijz"/>
      <sheetName val="ZH - capaciteiten"/>
      <sheetName val="uitgebreide raming"/>
      <sheetName val="uitgebreide raming_gewijzigd"/>
      <sheetName val="kunst"/>
      <sheetName val="NB 21%"/>
      <sheetName val="NB 6-12-21%"/>
      <sheetName val="NB 21% light"/>
      <sheetName val="NB 6-12-21% light"/>
      <sheetName val="UITB"/>
      <sheetName val="VERB"/>
      <sheetName val="samen"/>
      <sheetName val="AKzondVERB"/>
      <sheetName val="AK+VERB"/>
      <sheetName val="analyse bij belofte"/>
      <sheetName val="analyse bij belofte 1"/>
      <sheetName val="analyse bij belofte 2"/>
      <sheetName val="analyse bij belofte 3"/>
      <sheetName val="Bouwkost UITB"/>
      <sheetName val="Bouwkost NB"/>
      <sheetName val="Bouwkost VERB"/>
      <sheetName val="Bouwkost IER"/>
      <sheetName val="Bouwkost VOLT"/>
      <sheetName val="Bouwkost AK+VERB"/>
      <sheetName val="Raming_ kost_zorg"/>
      <sheetName val="eindafrekening_ kost_zorg"/>
      <sheetName val="Centrumsteden"/>
      <sheetName val="Capaciteiten &amp; forfaits"/>
      <sheetName val="Bouwindex_ABEX"/>
      <sheetName val="Bron"/>
      <sheetName val="Upload AXI - CONF"/>
      <sheetName val="Upload AXI"/>
      <sheetName val="12.Overzicht_project_NMS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3">
          <cell r="T3">
            <v>1914</v>
          </cell>
        </row>
        <row r="4">
          <cell r="T4">
            <v>1915</v>
          </cell>
          <cell r="U4">
            <v>1</v>
          </cell>
        </row>
        <row r="5">
          <cell r="T5">
            <v>1916</v>
          </cell>
          <cell r="U5">
            <v>0</v>
          </cell>
        </row>
        <row r="6">
          <cell r="T6">
            <v>1917</v>
          </cell>
          <cell r="U6">
            <v>0</v>
          </cell>
        </row>
        <row r="7">
          <cell r="T7">
            <v>1918</v>
          </cell>
          <cell r="U7">
            <v>0</v>
          </cell>
        </row>
        <row r="8">
          <cell r="T8">
            <v>1919</v>
          </cell>
          <cell r="U8">
            <v>2</v>
          </cell>
        </row>
        <row r="9">
          <cell r="T9">
            <v>1920</v>
          </cell>
          <cell r="U9">
            <v>3</v>
          </cell>
        </row>
        <row r="10">
          <cell r="T10">
            <v>1921</v>
          </cell>
          <cell r="U10">
            <v>4</v>
          </cell>
        </row>
        <row r="11">
          <cell r="T11">
            <v>1922</v>
          </cell>
          <cell r="U11">
            <v>5</v>
          </cell>
        </row>
        <row r="12">
          <cell r="T12">
            <v>1923</v>
          </cell>
          <cell r="U12">
            <v>5</v>
          </cell>
        </row>
        <row r="13">
          <cell r="T13">
            <v>1924</v>
          </cell>
          <cell r="U13">
            <v>4</v>
          </cell>
        </row>
        <row r="14">
          <cell r="T14">
            <v>1925</v>
          </cell>
          <cell r="U14">
            <v>4</v>
          </cell>
        </row>
        <row r="15">
          <cell r="T15">
            <v>1926</v>
          </cell>
          <cell r="U15">
            <v>7</v>
          </cell>
        </row>
        <row r="16">
          <cell r="T16">
            <v>1927</v>
          </cell>
          <cell r="U16">
            <v>7</v>
          </cell>
        </row>
        <row r="17">
          <cell r="T17">
            <v>1928</v>
          </cell>
          <cell r="U17">
            <v>8</v>
          </cell>
        </row>
        <row r="18">
          <cell r="T18">
            <v>1929</v>
          </cell>
          <cell r="U18">
            <v>9</v>
          </cell>
        </row>
        <row r="19">
          <cell r="T19">
            <v>1930</v>
          </cell>
          <cell r="U19">
            <v>12</v>
          </cell>
        </row>
        <row r="20">
          <cell r="T20">
            <v>1931</v>
          </cell>
          <cell r="U20">
            <v>13</v>
          </cell>
        </row>
        <row r="21">
          <cell r="T21">
            <v>1932</v>
          </cell>
          <cell r="U21">
            <v>11</v>
          </cell>
        </row>
        <row r="22">
          <cell r="T22">
            <v>1933</v>
          </cell>
          <cell r="U22">
            <v>9</v>
          </cell>
        </row>
        <row r="23">
          <cell r="T23">
            <v>1934</v>
          </cell>
          <cell r="U23">
            <v>7</v>
          </cell>
        </row>
        <row r="24">
          <cell r="T24">
            <v>1935</v>
          </cell>
          <cell r="U24">
            <v>7</v>
          </cell>
        </row>
        <row r="25">
          <cell r="T25">
            <v>1936</v>
          </cell>
          <cell r="U25">
            <v>7</v>
          </cell>
        </row>
        <row r="26">
          <cell r="T26">
            <v>1937</v>
          </cell>
          <cell r="U26">
            <v>8</v>
          </cell>
        </row>
        <row r="27">
          <cell r="T27">
            <v>1938</v>
          </cell>
          <cell r="U27">
            <v>8</v>
          </cell>
        </row>
        <row r="28">
          <cell r="T28">
            <v>1939</v>
          </cell>
          <cell r="U28">
            <v>9</v>
          </cell>
        </row>
        <row r="29">
          <cell r="T29">
            <v>1940</v>
          </cell>
          <cell r="U29">
            <v>10</v>
          </cell>
        </row>
        <row r="30">
          <cell r="T30">
            <v>1941</v>
          </cell>
          <cell r="U30">
            <v>10</v>
          </cell>
        </row>
        <row r="31">
          <cell r="T31">
            <v>1942</v>
          </cell>
          <cell r="U31">
            <v>14</v>
          </cell>
        </row>
        <row r="32">
          <cell r="T32">
            <v>1943</v>
          </cell>
          <cell r="U32">
            <v>20</v>
          </cell>
        </row>
        <row r="33">
          <cell r="T33">
            <v>1944</v>
          </cell>
          <cell r="U33">
            <v>30</v>
          </cell>
        </row>
        <row r="34">
          <cell r="T34">
            <v>1945</v>
          </cell>
          <cell r="U34">
            <v>40</v>
          </cell>
        </row>
        <row r="35">
          <cell r="T35">
            <v>1946</v>
          </cell>
          <cell r="U35">
            <v>50</v>
          </cell>
        </row>
        <row r="36">
          <cell r="T36">
            <v>1947</v>
          </cell>
          <cell r="U36">
            <v>54</v>
          </cell>
        </row>
        <row r="37">
          <cell r="T37">
            <v>1948</v>
          </cell>
          <cell r="U37">
            <v>54</v>
          </cell>
        </row>
        <row r="38">
          <cell r="T38">
            <v>1949</v>
          </cell>
          <cell r="U38">
            <v>50</v>
          </cell>
        </row>
        <row r="39">
          <cell r="T39">
            <v>1950</v>
          </cell>
          <cell r="U39">
            <v>46</v>
          </cell>
        </row>
        <row r="40">
          <cell r="T40">
            <v>1951</v>
          </cell>
          <cell r="U40">
            <v>50</v>
          </cell>
        </row>
        <row r="41">
          <cell r="T41">
            <v>1952</v>
          </cell>
          <cell r="U41">
            <v>53</v>
          </cell>
        </row>
        <row r="42">
          <cell r="T42">
            <v>1953</v>
          </cell>
          <cell r="U42">
            <v>55</v>
          </cell>
        </row>
        <row r="43">
          <cell r="T43">
            <v>1954</v>
          </cell>
          <cell r="U43">
            <v>55</v>
          </cell>
        </row>
        <row r="44">
          <cell r="T44">
            <v>1955</v>
          </cell>
          <cell r="U44">
            <v>55</v>
          </cell>
        </row>
        <row r="45">
          <cell r="T45">
            <v>1956</v>
          </cell>
          <cell r="U45">
            <v>55</v>
          </cell>
        </row>
        <row r="46">
          <cell r="T46">
            <v>1957</v>
          </cell>
          <cell r="U46">
            <v>60</v>
          </cell>
        </row>
        <row r="47">
          <cell r="T47">
            <v>1958</v>
          </cell>
          <cell r="U47">
            <v>65</v>
          </cell>
        </row>
        <row r="48">
          <cell r="T48">
            <v>1959</v>
          </cell>
          <cell r="U48">
            <v>65</v>
          </cell>
        </row>
        <row r="49">
          <cell r="T49">
            <v>1960</v>
          </cell>
          <cell r="U49">
            <v>65</v>
          </cell>
        </row>
        <row r="50">
          <cell r="T50">
            <v>1961</v>
          </cell>
          <cell r="U50">
            <v>65</v>
          </cell>
        </row>
        <row r="51">
          <cell r="T51">
            <v>1962</v>
          </cell>
          <cell r="U51">
            <v>68</v>
          </cell>
        </row>
        <row r="52">
          <cell r="T52">
            <v>1963</v>
          </cell>
          <cell r="U52">
            <v>70</v>
          </cell>
        </row>
        <row r="53">
          <cell r="T53">
            <v>1964</v>
          </cell>
          <cell r="U53">
            <v>76</v>
          </cell>
        </row>
        <row r="54">
          <cell r="T54">
            <v>1965</v>
          </cell>
          <cell r="U54">
            <v>78</v>
          </cell>
        </row>
        <row r="55">
          <cell r="T55">
            <v>1966</v>
          </cell>
          <cell r="U55">
            <v>82</v>
          </cell>
        </row>
        <row r="56">
          <cell r="T56">
            <v>1967</v>
          </cell>
          <cell r="U56">
            <v>88</v>
          </cell>
        </row>
        <row r="57">
          <cell r="T57">
            <v>1968</v>
          </cell>
          <cell r="U57">
            <v>91</v>
          </cell>
        </row>
        <row r="58">
          <cell r="T58">
            <v>1969</v>
          </cell>
          <cell r="U58">
            <v>94</v>
          </cell>
        </row>
        <row r="59">
          <cell r="T59">
            <v>1970</v>
          </cell>
          <cell r="U59">
            <v>102</v>
          </cell>
        </row>
        <row r="60">
          <cell r="T60">
            <v>1971</v>
          </cell>
          <cell r="U60">
            <v>110</v>
          </cell>
        </row>
        <row r="61">
          <cell r="T61">
            <v>1972</v>
          </cell>
          <cell r="U61">
            <v>126</v>
          </cell>
        </row>
        <row r="62">
          <cell r="T62">
            <v>1973</v>
          </cell>
          <cell r="U62">
            <v>134</v>
          </cell>
        </row>
        <row r="63">
          <cell r="T63">
            <v>1974</v>
          </cell>
          <cell r="U63">
            <v>152</v>
          </cell>
        </row>
        <row r="64">
          <cell r="T64">
            <v>1975</v>
          </cell>
          <cell r="U64">
            <v>193</v>
          </cell>
        </row>
        <row r="65">
          <cell r="T65">
            <v>1976</v>
          </cell>
          <cell r="U65">
            <v>211</v>
          </cell>
        </row>
        <row r="66">
          <cell r="T66">
            <v>1977</v>
          </cell>
          <cell r="U66">
            <v>239</v>
          </cell>
        </row>
        <row r="67">
          <cell r="T67">
            <v>1978</v>
          </cell>
          <cell r="U67">
            <v>264</v>
          </cell>
        </row>
        <row r="68">
          <cell r="T68">
            <v>1979</v>
          </cell>
          <cell r="U68">
            <v>287</v>
          </cell>
        </row>
        <row r="69">
          <cell r="T69">
            <v>1980</v>
          </cell>
          <cell r="U69">
            <v>304</v>
          </cell>
        </row>
        <row r="70">
          <cell r="T70">
            <v>1981</v>
          </cell>
          <cell r="U70">
            <v>324</v>
          </cell>
        </row>
        <row r="71">
          <cell r="T71">
            <v>1982</v>
          </cell>
          <cell r="U71">
            <v>330</v>
          </cell>
        </row>
        <row r="72">
          <cell r="T72">
            <v>1983</v>
          </cell>
          <cell r="U72">
            <v>364</v>
          </cell>
        </row>
        <row r="73">
          <cell r="T73">
            <v>1984</v>
          </cell>
          <cell r="U73">
            <v>367</v>
          </cell>
        </row>
        <row r="74">
          <cell r="T74">
            <v>1985</v>
          </cell>
          <cell r="U74">
            <v>352</v>
          </cell>
        </row>
        <row r="75">
          <cell r="T75">
            <v>1986</v>
          </cell>
          <cell r="U75">
            <v>360</v>
          </cell>
        </row>
        <row r="76">
          <cell r="T76">
            <v>1987</v>
          </cell>
          <cell r="U76">
            <v>372</v>
          </cell>
        </row>
        <row r="77">
          <cell r="T77">
            <v>1988</v>
          </cell>
          <cell r="U77">
            <v>375</v>
          </cell>
        </row>
        <row r="78">
          <cell r="T78">
            <v>1989</v>
          </cell>
          <cell r="U78">
            <v>382</v>
          </cell>
        </row>
        <row r="79">
          <cell r="T79">
            <v>1990</v>
          </cell>
          <cell r="U79">
            <v>400</v>
          </cell>
        </row>
        <row r="80">
          <cell r="T80">
            <v>1991</v>
          </cell>
          <cell r="U80">
            <v>415</v>
          </cell>
        </row>
        <row r="81">
          <cell r="T81">
            <v>1992</v>
          </cell>
          <cell r="U81">
            <v>426</v>
          </cell>
        </row>
        <row r="82">
          <cell r="T82">
            <v>1993</v>
          </cell>
          <cell r="U82">
            <v>450</v>
          </cell>
        </row>
        <row r="83">
          <cell r="T83">
            <v>1994</v>
          </cell>
          <cell r="U83">
            <v>456</v>
          </cell>
        </row>
        <row r="84">
          <cell r="T84">
            <v>1995</v>
          </cell>
          <cell r="U84">
            <v>460</v>
          </cell>
        </row>
        <row r="85">
          <cell r="T85">
            <v>1996</v>
          </cell>
          <cell r="U85">
            <v>470</v>
          </cell>
        </row>
        <row r="86">
          <cell r="T86">
            <v>1997</v>
          </cell>
          <cell r="U86">
            <v>469</v>
          </cell>
        </row>
        <row r="87">
          <cell r="T87">
            <v>1998</v>
          </cell>
          <cell r="U87">
            <v>471</v>
          </cell>
        </row>
        <row r="88">
          <cell r="T88">
            <v>1999</v>
          </cell>
          <cell r="U88">
            <v>480</v>
          </cell>
        </row>
        <row r="89">
          <cell r="T89">
            <v>2000</v>
          </cell>
          <cell r="U89">
            <v>490</v>
          </cell>
        </row>
        <row r="90">
          <cell r="T90">
            <v>2001</v>
          </cell>
          <cell r="U90">
            <v>511</v>
          </cell>
        </row>
        <row r="91">
          <cell r="T91">
            <v>2002</v>
          </cell>
          <cell r="U91">
            <v>540</v>
          </cell>
        </row>
        <row r="92">
          <cell r="T92">
            <v>2003</v>
          </cell>
          <cell r="U92">
            <v>547</v>
          </cell>
        </row>
        <row r="93">
          <cell r="T93">
            <v>2004</v>
          </cell>
          <cell r="U93">
            <v>560</v>
          </cell>
        </row>
        <row r="94">
          <cell r="T94">
            <v>2005</v>
          </cell>
          <cell r="U94">
            <v>590</v>
          </cell>
        </row>
        <row r="95">
          <cell r="T95">
            <v>2006</v>
          </cell>
          <cell r="U95">
            <v>612</v>
          </cell>
        </row>
        <row r="96">
          <cell r="T96">
            <v>2007</v>
          </cell>
          <cell r="U96">
            <v>648</v>
          </cell>
        </row>
        <row r="97">
          <cell r="T97">
            <v>2008</v>
          </cell>
          <cell r="U97">
            <v>665</v>
          </cell>
        </row>
        <row r="98">
          <cell r="T98">
            <v>2009</v>
          </cell>
          <cell r="U98">
            <v>695</v>
          </cell>
        </row>
        <row r="99">
          <cell r="T99">
            <v>2010</v>
          </cell>
          <cell r="U99">
            <v>670</v>
          </cell>
        </row>
        <row r="100">
          <cell r="T100">
            <v>2011</v>
          </cell>
          <cell r="U100">
            <v>690</v>
          </cell>
        </row>
        <row r="101">
          <cell r="T101">
            <v>2012</v>
          </cell>
          <cell r="U101">
            <v>705</v>
          </cell>
        </row>
        <row r="102">
          <cell r="T102">
            <v>2013</v>
          </cell>
          <cell r="U102">
            <v>729</v>
          </cell>
        </row>
        <row r="103">
          <cell r="T103">
            <v>2014</v>
          </cell>
          <cell r="U103">
            <v>739</v>
          </cell>
        </row>
        <row r="104">
          <cell r="T104">
            <v>2015</v>
          </cell>
          <cell r="U104">
            <v>745</v>
          </cell>
        </row>
        <row r="105">
          <cell r="T105">
            <v>2016</v>
          </cell>
          <cell r="U105">
            <v>744</v>
          </cell>
        </row>
        <row r="106">
          <cell r="T106">
            <v>2017</v>
          </cell>
          <cell r="U106">
            <v>754</v>
          </cell>
        </row>
        <row r="107">
          <cell r="T107">
            <v>2018</v>
          </cell>
          <cell r="U107">
            <v>775</v>
          </cell>
        </row>
        <row r="108">
          <cell r="T108">
            <v>2019</v>
          </cell>
          <cell r="U108">
            <v>809</v>
          </cell>
        </row>
        <row r="109">
          <cell r="T109">
            <v>2020</v>
          </cell>
          <cell r="U109">
            <v>833</v>
          </cell>
        </row>
        <row r="110">
          <cell r="T110">
            <v>2021</v>
          </cell>
          <cell r="U110">
            <v>858</v>
          </cell>
        </row>
        <row r="111">
          <cell r="T111">
            <v>2022</v>
          </cell>
          <cell r="U111">
            <v>906</v>
          </cell>
        </row>
        <row r="112">
          <cell r="T112">
            <v>2023</v>
          </cell>
          <cell r="U112">
            <v>1004</v>
          </cell>
        </row>
        <row r="113">
          <cell r="T113">
            <v>2024</v>
          </cell>
          <cell r="U113">
            <v>1041</v>
          </cell>
        </row>
        <row r="114">
          <cell r="T114">
            <v>2025</v>
          </cell>
          <cell r="U114">
            <v>1048</v>
          </cell>
        </row>
        <row r="115">
          <cell r="T115">
            <v>2026</v>
          </cell>
          <cell r="U115">
            <v>1056</v>
          </cell>
        </row>
      </sheetData>
      <sheetData sheetId="35"/>
      <sheetData sheetId="36"/>
      <sheetData sheetId="37"/>
      <sheetData sheetId="38" refreshError="1"/>
    </sheetDataSet>
  </externalBook>
</externalLink>
</file>

<file path=xl/persons/person.xml><?xml version="1.0" encoding="utf-8"?>
<personList xmlns="http://schemas.microsoft.com/office/spreadsheetml/2018/threadedcomments" xmlns:x="http://schemas.openxmlformats.org/spreadsheetml/2006/main">
  <person displayName="Terrie Isabelle" id="{06DCBE35-A952-467A-B1E6-5A4B7F193FEF}" userId="S::isabelle.terrie@vlaanderen.be::f12756f1-007d-43f1-81e2-2ff5f693230f" providerId="AD"/>
  <person displayName="Vervloet Jolien" id="{E13421EF-C3FD-4CA4-ADEC-1194837C6DD4}" userId="S::jolien.vervloet@vlaanderen.be::d9f1b129-27f2-4ce5-9e56-175a67317a90"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5098BCC-3BDC-40E5-B7FE-B96A22310D86}" name="Tabel2" displayName="Tabel2" ref="F1:F1048575" totalsRowShown="0" headerRowDxfId="26">
  <autoFilter ref="F1:F1048575" xr:uid="{88CDDAE3-4D6D-4030-ACD6-510ACC97E603}"/>
  <sortState xmlns:xlrd2="http://schemas.microsoft.com/office/spreadsheetml/2017/richdata2" ref="F2:F1048575">
    <sortCondition ref="F1:F1048575"/>
  </sortState>
  <tableColumns count="1">
    <tableColumn id="1" xr3:uid="{6CA79123-4E95-46E5-A2C2-00DEE1E55F4A}" name="Geef de gemeente van het project in" dataDxfId="2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B5C5936-F723-4F34-924C-AD3DABCC5780}" name="Tabel1" displayName="Tabel1" ref="B2:J90" totalsRowShown="0" headerRowDxfId="24" dataDxfId="22" headerRowBorderDxfId="23" tableBorderDxfId="21">
  <autoFilter ref="B2:J90" xr:uid="{8A0B5913-546B-45C1-B6CF-E55C9D8F2BD9}"/>
  <tableColumns count="9">
    <tableColumn id="1" xr3:uid="{8930D622-6A63-4F2F-A91A-7D492B46C9E0}" name="Zorgvorm" dataDxfId="20"/>
    <tableColumn id="2" xr3:uid="{4816D6A0-6704-4CB5-BDAE-12FFA6D13793}" name="m²" dataDxfId="19"/>
    <tableColumn id="3" xr3:uid="{0D103C77-2514-422C-B528-D3EBD146F1C6}" name="Capaciteitseenheid" dataDxfId="18"/>
    <tableColumn id="4" xr3:uid="{1B23C018-DAF4-42A1-B1EE-75356BA5CC50}" name="Nieuwbouw" dataDxfId="17"/>
    <tableColumn id="5" xr3:uid="{A16CDB16-4166-4227-831C-6FA306309117}" name="Nieuwbouw 6-12-21%" dataDxfId="16"/>
    <tableColumn id="6" xr3:uid="{4857D54F-62F5-46B5-A81B-88D2E54E38D3}" name="Uitbreiding" dataDxfId="15"/>
    <tableColumn id="7" xr3:uid="{E6B11498-CB35-476C-B4DE-E259E5200428}" name="Roerend goed" dataDxfId="14"/>
    <tableColumn id="8" xr3:uid="{E7D0FD8E-DB7F-465F-B669-EF59B17F68B2}" name="Opmerkingen" dataDxfId="13"/>
    <tableColumn id="9" xr3:uid="{BC1BB1C2-B806-496E-A0CF-10A0EE5F9A29}" name="Link naar regelgeving" dataDxfId="12"/>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3585272-57CE-4A03-82AF-923437FC52ED}" name="Bouwindex_voor_alle_VIPA_sectoren" displayName="Bouwindex_voor_alle_VIPA_sectoren" ref="A1:E33" totalsRowShown="0" headerRowDxfId="11" dataDxfId="10">
  <autoFilter ref="A1:E33" xr:uid="{33585272-57CE-4A03-82AF-923437FC52ED}"/>
  <tableColumns count="5">
    <tableColumn id="1" xr3:uid="{37589018-5A89-498D-8427-5C4FE92B8550}" name="Column1" dataDxfId="9"/>
    <tableColumn id="2" xr3:uid="{DA067DA6-7BEA-42E7-83CC-22C7475E6119}" name="Column2" dataDxfId="8"/>
    <tableColumn id="3" xr3:uid="{160BEE49-C28E-450D-A7E3-F454CF225D09}" name="Column3" dataDxfId="7"/>
    <tableColumn id="4" xr3:uid="{B2F39F36-9462-415A-AED2-29EF7993D7FD}" name="Column4" dataDxfId="6"/>
    <tableColumn id="5" xr3:uid="{7EE8DDD0-BB69-4EC0-B2F4-431E1DAA5C29}" name="Column5" dataDxfId="5"/>
  </tableColumns>
  <tableStyleInfo name="TableStyleMedium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9C6D046-3A5C-4774-ADEF-F7F6557D0F94}" name="ABEX" displayName="ABEX" ref="G1:I114" totalsRowShown="0">
  <autoFilter ref="G1:I114" xr:uid="{89C6D046-3A5C-4774-ADEF-F7F6557D0F94}"/>
  <tableColumns count="3">
    <tableColumn id="1" xr3:uid="{A5EDD054-542E-458F-884A-2A229FED2B8B}" name="﻿Jaar"/>
    <tableColumn id="2" xr3:uid="{040366B7-8EF1-477B-82DF-38F14529577D}" name="Index op 1ste januari"/>
    <tableColumn id="3" xr3:uid="{A3E6F990-1C8B-486D-810E-F005AF128F60}" name="Index op 1ste juli"/>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73024DD-0164-4EE3-A935-2C84E9B2876B}" name="Bouwindex" displayName="Bouwindex" ref="K1:O33" totalsRowShown="0">
  <autoFilter ref="K1:O33" xr:uid="{B73024DD-0164-4EE3-A935-2C84E9B2876B}"/>
  <tableColumns count="5">
    <tableColumn id="1" xr3:uid="{1B760E4B-868C-4983-A64F-51EC7BEAAF2E}" name="Jaar" dataDxfId="4"/>
    <tableColumn id="2" xr3:uid="{72F5B3A6-BED1-43CB-A4F6-78DEC8858597}" name="s" dataDxfId="3"/>
    <tableColumn id="3" xr3:uid="{2378B242-C48C-4E78-A9E2-86B33E08E341}" name="i-2021" dataDxfId="2"/>
    <tableColumn id="4" xr3:uid="{3261318D-88E9-45FC-AAC4-4DC66A93C933}" name="i" dataDxfId="1"/>
    <tableColumn id="5" xr3:uid="{E4BADC27-6776-4B2F-A342-CD06B2A82F8A}" name="Index" dataDxfId="0"/>
  </tableColumns>
  <tableStyleInfo name="TableStyleMedium7"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24" dT="2021-03-17T09:53:36.38" personId="{E13421EF-C3FD-4CA4-ADEC-1194837C6DD4}" id="{B8B32951-90AD-4C7A-ABC1-2A4E5F4779E2}">
    <text>komt vanuit analyse belofte voor elke kostensoort om door te drukken naar AXI</text>
  </threadedComment>
</ThreadedComments>
</file>

<file path=xl/threadedComments/threadedComment2.xml><?xml version="1.0" encoding="utf-8"?>
<ThreadedComments xmlns="http://schemas.microsoft.com/office/spreadsheetml/2018/threadedcomments" xmlns:x="http://schemas.openxmlformats.org/spreadsheetml/2006/main">
  <threadedComment ref="C66" dT="2023-05-25T14:57:02.61" personId="{E13421EF-C3FD-4CA4-ADEC-1194837C6DD4}" id="{AFE26E52-ADC1-4610-AB74-7A9BB9E89E31}">
    <text>nog aan te passen voor revalidatieovereenkomsten</text>
  </threadedComment>
</ThreadedComments>
</file>

<file path=xl/threadedComments/threadedComment3.xml><?xml version="1.0" encoding="utf-8"?>
<ThreadedComments xmlns="http://schemas.microsoft.com/office/spreadsheetml/2018/threadedcomments" xmlns:x="http://schemas.openxmlformats.org/spreadsheetml/2006/main">
  <threadedComment ref="C3" dT="2021-02-18T08:29:42.83" personId="{06DCBE35-A952-467A-B1E6-5A4B7F193FEF}" id="{C7A48565-3476-4EB1-9B7B-1CCBDEF6221A}">
    <text>Verblijfsmodules voor 5 of 7 dagen per week binnen de OBC krijgen zelfde gewicht als andere verblijfsmodules.</text>
  </threadedComment>
  <threadedComment ref="D8" dT="2021-02-18T08:37:45.35" personId="{06DCBE35-A952-467A-B1E6-5A4B7F193FEF}" id="{ED0C33FC-455C-4963-B082-C9677FF9EEA9}">
    <text>Hier het aantal begeleidingscapaciteit nemen indien dit hoger ligt dan het aantal modules.</text>
  </threadedComment>
  <threadedComment ref="D46" dT="2021-02-18T08:42:12.25" personId="{06DCBE35-A952-467A-B1E6-5A4B7F193FEF}" id="{C0D66A27-5A86-47B3-AA09-4CEA8CB8FD8A}">
    <text>Multi disciplinaire onderzoeken</text>
  </threadedComment>
</ThreadedComments>
</file>

<file path=xl/threadedComments/threadedComment4.xml><?xml version="1.0" encoding="utf-8"?>
<ThreadedComments xmlns="http://schemas.microsoft.com/office/spreadsheetml/2018/threadedcomments" xmlns:x="http://schemas.openxmlformats.org/spreadsheetml/2006/main">
  <threadedComment ref="A2" dT="2021-04-13T09:56:11.34" personId="{E13421EF-C3FD-4CA4-ADEC-1194837C6DD4}" id="{4A794BEF-EE47-4416-8179-276E2F4DF62F}">
    <text>Steeds te checken of de oppervlakte de maximale subsidiabele oppervlakte is.</text>
  </threadedComment>
  <threadedComment ref="E18" dT="2021-03-22T12:36:24.77" personId="{E13421EF-C3FD-4CA4-ADEC-1194837C6DD4}" id="{CD06A7C9-48BE-46D1-BEA1-476E06E24AA6}">
    <text>samen met nieuwbouw 21% rekenen</text>
  </threadedComment>
</ThreadedComments>
</file>

<file path=xl/threadedComments/threadedComment5.xml><?xml version="1.0" encoding="utf-8"?>
<ThreadedComments xmlns="http://schemas.microsoft.com/office/spreadsheetml/2018/threadedcomments" xmlns:x="http://schemas.openxmlformats.org/spreadsheetml/2006/main">
  <threadedComment ref="B24" dT="2022-02-09T14:50:10.23" personId="{E13421EF-C3FD-4CA4-ADEC-1194837C6DD4}" id="{D5B346CA-37D9-4F2E-839A-EC27644BCA75}">
    <text>maximale bouwplafond op basis van alle zorgvormen.</text>
  </threadedComment>
  <threadedComment ref="A32" dT="2021-04-13T10:06:28.20" personId="{E13421EF-C3FD-4CA4-ADEC-1194837C6DD4}" id="{EA1E1F24-2A75-4811-A815-4051D27466D6}">
    <text>Bij nieuwbouw en uitbreiding wordt de 50€/m² niet meegerekend in dit bedrag.</text>
  </threadedComment>
</ThreadedComments>
</file>

<file path=xl/threadedComments/threadedComment6.xml><?xml version="1.0" encoding="utf-8"?>
<ThreadedComments xmlns="http://schemas.microsoft.com/office/spreadsheetml/2018/threadedcomments" xmlns:x="http://schemas.openxmlformats.org/spreadsheetml/2006/main">
  <threadedComment ref="A32" dT="2021-04-13T10:06:28.20" personId="{E13421EF-C3FD-4CA4-ADEC-1194837C6DD4}" id="{FA5144ED-289D-4564-8A34-32D6803632C9}">
    <text>Bij nieuwbouw en uitbreiding wordt de 50€/m² niet meegerekend in dit bedrag.</text>
  </threadedComment>
</ThreadedComments>
</file>

<file path=xl/threadedComments/threadedComment7.xml><?xml version="1.0" encoding="utf-8"?>
<ThreadedComments xmlns="http://schemas.microsoft.com/office/spreadsheetml/2018/threadedcomments" xmlns:x="http://schemas.openxmlformats.org/spreadsheetml/2006/main">
  <threadedComment ref="A32" dT="2021-04-13T10:06:28.20" personId="{E13421EF-C3FD-4CA4-ADEC-1194837C6DD4}" id="{FF5FC2A3-85AC-4CD4-9A46-799CDF8AC640}">
    <text>Bij nieuwbouw en uitbreiding wordt de 50€/m² niet meegerekend in dit bedrag.</text>
  </threadedComment>
  <threadedComment ref="B51" dT="2021-03-15T15:12:43.69" personId="{E13421EF-C3FD-4CA4-ADEC-1194837C6DD4}" id="{8ED23EE3-3C9D-4A18-84CF-5849AFA1D94C}">
    <text>hiervan kijken of dit nog ergens anders staat</text>
  </threadedComment>
</ThreadedComments>
</file>

<file path=xl/threadedComments/threadedComment8.xml><?xml version="1.0" encoding="utf-8"?>
<ThreadedComments xmlns="http://schemas.microsoft.com/office/spreadsheetml/2018/threadedcomments" xmlns:x="http://schemas.openxmlformats.org/spreadsheetml/2006/main">
  <threadedComment ref="A32" dT="2021-04-13T10:06:28.20" personId="{E13421EF-C3FD-4CA4-ADEC-1194837C6DD4}" id="{4081A026-6C3F-4762-8892-F8466D00C5DB}">
    <text>Bij nieuwbouw en uitbreiding wordt de 50€/m² niet meegerekend in dit bedrag.</text>
  </threadedComment>
</ThreadedComments>
</file>

<file path=xl/threadedComments/threadedComment9.xml><?xml version="1.0" encoding="utf-8"?>
<ThreadedComments xmlns="http://schemas.microsoft.com/office/spreadsheetml/2018/threadedcomments" xmlns:x="http://schemas.openxmlformats.org/spreadsheetml/2006/main">
  <threadedComment ref="E847" dT="2021-02-18T08:29:42.83" personId="{06DCBE35-A952-467A-B1E6-5A4B7F193FEF}" id="{B05488EF-D077-4B82-B9E8-8AF6D57289AA}">
    <text>Verblijfsmodules voor 5 of 7 dagen per week binnen de OBC krijgen zelfde gewicht als andere verblijfsmodules.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12" Type="http://schemas.microsoft.com/office/2017/10/relationships/threadedComment" Target="../threadedComments/threadedComment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omments" Target="../comments2.xml"/><Relationship Id="rId5" Type="http://schemas.openxmlformats.org/officeDocument/2006/relationships/ctrlProp" Target="../ctrlProps/ctrlProp4.xml"/><Relationship Id="rId10" Type="http://schemas.openxmlformats.org/officeDocument/2006/relationships/ctrlProp" Target="../ctrlProps/ctrlProp9.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7.bin"/><Relationship Id="rId4" Type="http://schemas.microsoft.com/office/2017/10/relationships/threadedComment" Target="../threadedComments/threadedComment3.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15.bin"/><Relationship Id="rId4" Type="http://schemas.microsoft.com/office/2017/10/relationships/threadedComment" Target="../threadedComments/threadedComment4.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4.xml"/><Relationship Id="rId3" Type="http://schemas.openxmlformats.org/officeDocument/2006/relationships/vmlDrawing" Target="../drawings/vmlDrawing6.vml"/><Relationship Id="rId7" Type="http://schemas.openxmlformats.org/officeDocument/2006/relationships/ctrlProp" Target="../ctrlProps/ctrlProp13.xml"/><Relationship Id="rId2" Type="http://schemas.openxmlformats.org/officeDocument/2006/relationships/drawing" Target="../drawings/drawing4.xml"/><Relationship Id="rId1" Type="http://schemas.openxmlformats.org/officeDocument/2006/relationships/printerSettings" Target="../printerSettings/printerSettings16.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 Id="rId9" Type="http://schemas.openxmlformats.org/officeDocument/2006/relationships/ctrlProp" Target="../ctrlProps/ctrlProp15.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21.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8.vml"/><Relationship Id="rId1" Type="http://schemas.openxmlformats.org/officeDocument/2006/relationships/printerSettings" Target="../printerSettings/printerSettings23.bin"/><Relationship Id="rId4" Type="http://schemas.microsoft.com/office/2017/10/relationships/threadedComment" Target="../threadedComments/threadedComment5.xml"/></Relationships>
</file>

<file path=xl/worksheets/_rels/sheet2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9.vml"/><Relationship Id="rId1" Type="http://schemas.openxmlformats.org/officeDocument/2006/relationships/printerSettings" Target="../printerSettings/printerSettings24.bin"/><Relationship Id="rId4" Type="http://schemas.microsoft.com/office/2017/10/relationships/threadedComment" Target="../threadedComments/threadedComment6.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10.vml"/><Relationship Id="rId1" Type="http://schemas.openxmlformats.org/officeDocument/2006/relationships/printerSettings" Target="../printerSettings/printerSettings25.bin"/><Relationship Id="rId4" Type="http://schemas.microsoft.com/office/2017/10/relationships/threadedComment" Target="../threadedComments/threadedComment7.xml"/></Relationships>
</file>

<file path=xl/worksheets/_rels/sheet2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11.vml"/><Relationship Id="rId1" Type="http://schemas.openxmlformats.org/officeDocument/2006/relationships/printerSettings" Target="../printerSettings/printerSettings26.bin"/><Relationship Id="rId4" Type="http://schemas.microsoft.com/office/2017/10/relationships/threadedComment" Target="../threadedComments/threadedComment8.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8.xml.rels><?xml version="1.0" encoding="UTF-8" standalone="yes"?>
<Relationships xmlns="http://schemas.openxmlformats.org/package/2006/relationships"><Relationship Id="rId13" Type="http://schemas.openxmlformats.org/officeDocument/2006/relationships/hyperlink" Target="https://codex.vlaanderen.be/Zoeken/Document.aspx?DID=1019573&amp;param=inhoud" TargetMode="External"/><Relationship Id="rId18" Type="http://schemas.openxmlformats.org/officeDocument/2006/relationships/hyperlink" Target="https://codex.vlaanderen.be/Portals/Codex/documenten/1020190.html" TargetMode="External"/><Relationship Id="rId26" Type="http://schemas.openxmlformats.org/officeDocument/2006/relationships/hyperlink" Target="https://codex.vlaanderen.be/Zoeken/Document.aspx?DID=1019574&amp;param=inhoud" TargetMode="External"/><Relationship Id="rId39" Type="http://schemas.openxmlformats.org/officeDocument/2006/relationships/hyperlink" Target="https://codex.vlaanderen.be/Zoeken/Document.aspx?DID=1030051&amp;param=inhoud" TargetMode="External"/><Relationship Id="rId21" Type="http://schemas.openxmlformats.org/officeDocument/2006/relationships/hyperlink" Target="https://codex.vlaanderen.be/Portals/Codex/documenten/1020190.html" TargetMode="External"/><Relationship Id="rId34" Type="http://schemas.openxmlformats.org/officeDocument/2006/relationships/hyperlink" Target="https://codex.vlaanderen.be/Zoeken/Document.aspx?DID=1019574&amp;param=inhoud" TargetMode="External"/><Relationship Id="rId42" Type="http://schemas.openxmlformats.org/officeDocument/2006/relationships/hyperlink" Target="https://codex.vlaanderen.be/Zoeken/Document.aspx?DID=1030051&amp;param=inhoud" TargetMode="External"/><Relationship Id="rId47" Type="http://schemas.openxmlformats.org/officeDocument/2006/relationships/hyperlink" Target="https://codex.vlaanderen.be/Zoeken/Document.aspx?DID=1032550&amp;param=inhoud" TargetMode="External"/><Relationship Id="rId50" Type="http://schemas.openxmlformats.org/officeDocument/2006/relationships/hyperlink" Target="https://codex.vlaanderen.be/Portals/Codex/documenten/1019250.html" TargetMode="External"/><Relationship Id="rId7" Type="http://schemas.openxmlformats.org/officeDocument/2006/relationships/hyperlink" Target="https://codex.vlaanderen.be/Portals/Codex/documenten/1019250.html" TargetMode="External"/><Relationship Id="rId2" Type="http://schemas.openxmlformats.org/officeDocument/2006/relationships/hyperlink" Target="https://codex.vlaanderen.be/Portals/Codex/documenten/1019250.html" TargetMode="External"/><Relationship Id="rId16" Type="http://schemas.openxmlformats.org/officeDocument/2006/relationships/hyperlink" Target="https://codex.vlaanderen.be/Portals/Codex/documenten/1020190.html" TargetMode="External"/><Relationship Id="rId29" Type="http://schemas.openxmlformats.org/officeDocument/2006/relationships/hyperlink" Target="https://codex.vlaanderen.be/Zoeken/Document.aspx?DID=1019574&amp;param=inhoud" TargetMode="External"/><Relationship Id="rId11" Type="http://schemas.openxmlformats.org/officeDocument/2006/relationships/hyperlink" Target="https://codex.vlaanderen.be/Portals/Codex/documenten/1019250.html" TargetMode="External"/><Relationship Id="rId24" Type="http://schemas.openxmlformats.org/officeDocument/2006/relationships/hyperlink" Target="https://codex.vlaanderen.be/Zoeken/Document.aspx?DID=1019574&amp;param=inhoud" TargetMode="External"/><Relationship Id="rId32" Type="http://schemas.openxmlformats.org/officeDocument/2006/relationships/hyperlink" Target="https://codex.vlaanderen.be/Zoeken/Document.aspx?DID=1019574&amp;param=inhoud" TargetMode="External"/><Relationship Id="rId37" Type="http://schemas.openxmlformats.org/officeDocument/2006/relationships/hyperlink" Target="https://codex.vlaanderen.be/Zoeken/Document.aspx?DID=1030051&amp;param=inhoud" TargetMode="External"/><Relationship Id="rId40" Type="http://schemas.openxmlformats.org/officeDocument/2006/relationships/hyperlink" Target="https://codex.vlaanderen.be/Zoeken/Document.aspx?DID=1030051&amp;param=inhoud" TargetMode="External"/><Relationship Id="rId45" Type="http://schemas.openxmlformats.org/officeDocument/2006/relationships/hyperlink" Target="https://codex.vlaanderen.be/Zoeken/Document.aspx?DID=1032550&amp;param=inhoud" TargetMode="External"/><Relationship Id="rId53" Type="http://schemas.openxmlformats.org/officeDocument/2006/relationships/printerSettings" Target="../printerSettings/printerSettings35.bin"/><Relationship Id="rId5" Type="http://schemas.openxmlformats.org/officeDocument/2006/relationships/hyperlink" Target="https://codex.vlaanderen.be/Portals/Codex/documenten/1019250.html" TargetMode="External"/><Relationship Id="rId10" Type="http://schemas.openxmlformats.org/officeDocument/2006/relationships/hyperlink" Target="https://codex.vlaanderen.be/Portals/Codex/documenten/1019250.html" TargetMode="External"/><Relationship Id="rId19" Type="http://schemas.openxmlformats.org/officeDocument/2006/relationships/hyperlink" Target="https://codex.vlaanderen.be/Portals/Codex/documenten/1020190.html" TargetMode="External"/><Relationship Id="rId31" Type="http://schemas.openxmlformats.org/officeDocument/2006/relationships/hyperlink" Target="https://codex.vlaanderen.be/Zoeken/Document.aspx?DID=1019574&amp;param=inhoud" TargetMode="External"/><Relationship Id="rId44" Type="http://schemas.openxmlformats.org/officeDocument/2006/relationships/hyperlink" Target="https://codex.vlaanderen.be/Zoeken/Document.aspx?DID=1032550&amp;param=inhoud" TargetMode="External"/><Relationship Id="rId52" Type="http://schemas.openxmlformats.org/officeDocument/2006/relationships/hyperlink" Target="https://codex.vlaanderen.be/Zoeken/Document.aspx?DID=1030051&amp;param=inhoud" TargetMode="External"/><Relationship Id="rId4" Type="http://schemas.openxmlformats.org/officeDocument/2006/relationships/hyperlink" Target="https://codex.vlaanderen.be/Portals/Codex/documenten/1019250.html" TargetMode="External"/><Relationship Id="rId9" Type="http://schemas.openxmlformats.org/officeDocument/2006/relationships/hyperlink" Target="https://codex.vlaanderen.be/Portals/Codex/documenten/1019250.html" TargetMode="External"/><Relationship Id="rId14" Type="http://schemas.openxmlformats.org/officeDocument/2006/relationships/hyperlink" Target="https://codex.vlaanderen.be/Zoeken/Document.aspx?DID=1019573&amp;param=inhoud" TargetMode="External"/><Relationship Id="rId22" Type="http://schemas.openxmlformats.org/officeDocument/2006/relationships/hyperlink" Target="https://codex.vlaanderen.be/Portals/Codex/documenten/1020190.html" TargetMode="External"/><Relationship Id="rId27" Type="http://schemas.openxmlformats.org/officeDocument/2006/relationships/hyperlink" Target="https://codex.vlaanderen.be/Zoeken/Document.aspx?DID=1019574&amp;param=inhoud" TargetMode="External"/><Relationship Id="rId30" Type="http://schemas.openxmlformats.org/officeDocument/2006/relationships/hyperlink" Target="https://codex.vlaanderen.be/Zoeken/Document.aspx?DID=1019574&amp;param=inhoud" TargetMode="External"/><Relationship Id="rId35" Type="http://schemas.openxmlformats.org/officeDocument/2006/relationships/hyperlink" Target="https://codex.vlaanderen.be/Zoeken/Document.aspx?DID=1019574&amp;param=inhoud" TargetMode="External"/><Relationship Id="rId43" Type="http://schemas.openxmlformats.org/officeDocument/2006/relationships/hyperlink" Target="https://codex.vlaanderen.be/Zoeken/Document.aspx?DID=1032550&amp;param=inhoud" TargetMode="External"/><Relationship Id="rId48" Type="http://schemas.openxmlformats.org/officeDocument/2006/relationships/hyperlink" Target="https://codex.vlaanderen.be/Zoeken/Document.aspx?DID=1019573&amp;param=inhoud" TargetMode="External"/><Relationship Id="rId8" Type="http://schemas.openxmlformats.org/officeDocument/2006/relationships/hyperlink" Target="https://codex.vlaanderen.be/Portals/Codex/documenten/1019250.html" TargetMode="External"/><Relationship Id="rId51" Type="http://schemas.openxmlformats.org/officeDocument/2006/relationships/hyperlink" Target="https://codex.vlaanderen.be/Portals/Codex/documenten/1019250.html" TargetMode="External"/><Relationship Id="rId3" Type="http://schemas.openxmlformats.org/officeDocument/2006/relationships/hyperlink" Target="https://codex.vlaanderen.be/Portals/Codex/documenten/1019250.html" TargetMode="External"/><Relationship Id="rId12" Type="http://schemas.openxmlformats.org/officeDocument/2006/relationships/hyperlink" Target="https://codex.vlaanderen.be/Portals/Codex/documenten/1019250.html" TargetMode="External"/><Relationship Id="rId17" Type="http://schemas.openxmlformats.org/officeDocument/2006/relationships/hyperlink" Target="https://codex.vlaanderen.be/Portals/Codex/documenten/1020190.html" TargetMode="External"/><Relationship Id="rId25" Type="http://schemas.openxmlformats.org/officeDocument/2006/relationships/hyperlink" Target="https://codex.vlaanderen.be/Zoeken/Document.aspx?DID=1019574&amp;param=inhoud" TargetMode="External"/><Relationship Id="rId33" Type="http://schemas.openxmlformats.org/officeDocument/2006/relationships/hyperlink" Target="https://codex.vlaanderen.be/Zoeken/Document.aspx?DID=1019574&amp;param=inhoud" TargetMode="External"/><Relationship Id="rId38" Type="http://schemas.openxmlformats.org/officeDocument/2006/relationships/hyperlink" Target="https://codex.vlaanderen.be/Zoeken/Document.aspx?DID=1030051&amp;param=inhoud" TargetMode="External"/><Relationship Id="rId46" Type="http://schemas.openxmlformats.org/officeDocument/2006/relationships/hyperlink" Target="https://codex.vlaanderen.be/Zoeken/Document.aspx?DID=1032550&amp;param=inhoud" TargetMode="External"/><Relationship Id="rId20" Type="http://schemas.openxmlformats.org/officeDocument/2006/relationships/hyperlink" Target="https://codex.vlaanderen.be/Portals/Codex/documenten/1020190.html" TargetMode="External"/><Relationship Id="rId41" Type="http://schemas.openxmlformats.org/officeDocument/2006/relationships/hyperlink" Target="https://codex.vlaanderen.be/Zoeken/Document.aspx?DID=1030051&amp;param=inhoud" TargetMode="External"/><Relationship Id="rId54" Type="http://schemas.openxmlformats.org/officeDocument/2006/relationships/table" Target="../tables/table2.xml"/><Relationship Id="rId1" Type="http://schemas.openxmlformats.org/officeDocument/2006/relationships/hyperlink" Target="https://codex.vlaanderen.be/Portals/Codex/documenten/1019250.html" TargetMode="External"/><Relationship Id="rId6" Type="http://schemas.openxmlformats.org/officeDocument/2006/relationships/hyperlink" Target="https://codex.vlaanderen.be/Portals/Codex/documenten/1019250.html" TargetMode="External"/><Relationship Id="rId15" Type="http://schemas.openxmlformats.org/officeDocument/2006/relationships/hyperlink" Target="https://codex.vlaanderen.be/Zoeken/Document.aspx?DID=1019573&amp;param=inhoud" TargetMode="External"/><Relationship Id="rId23" Type="http://schemas.openxmlformats.org/officeDocument/2006/relationships/hyperlink" Target="https://codex.vlaanderen.be/Portals/Codex/documenten/1020190.html" TargetMode="External"/><Relationship Id="rId28" Type="http://schemas.openxmlformats.org/officeDocument/2006/relationships/hyperlink" Target="https://codex.vlaanderen.be/Zoeken/Document.aspx?DID=1019574&amp;param=inhoud" TargetMode="External"/><Relationship Id="rId36" Type="http://schemas.openxmlformats.org/officeDocument/2006/relationships/hyperlink" Target="https://codex.vlaanderen.be/Zoeken/Document.aspx?DID=1019574&amp;param=inhoud" TargetMode="External"/><Relationship Id="rId49" Type="http://schemas.openxmlformats.org/officeDocument/2006/relationships/hyperlink" Target="https://codex.vlaanderen.be/Portals/Codex/documenten/1019250.html" TargetMode="External"/></Relationships>
</file>

<file path=xl/worksheets/_rels/sheet39.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table" Target="../tables/table3.xm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36.bin"/><Relationship Id="rId1" Type="http://schemas.openxmlformats.org/officeDocument/2006/relationships/hyperlink" Target="mailto:WVGev1p@" TargetMode="External"/></Relationships>
</file>

<file path=xl/worksheets/_rels/sheet4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2.vml"/><Relationship Id="rId1" Type="http://schemas.openxmlformats.org/officeDocument/2006/relationships/printerSettings" Target="../printerSettings/printerSettings37.bin"/><Relationship Id="rId4" Type="http://schemas.microsoft.com/office/2017/10/relationships/threadedComment" Target="../threadedComments/threadedComment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F7B22-2130-43A1-AFD5-80EE7B8806A0}">
  <sheetPr codeName="Blad23"/>
  <dimension ref="A1:AL77"/>
  <sheetViews>
    <sheetView tabSelected="1" zoomScaleNormal="100" workbookViewId="0">
      <selection activeCell="I8" sqref="I8:J9"/>
    </sheetView>
  </sheetViews>
  <sheetFormatPr defaultRowHeight="14.4" x14ac:dyDescent="0.3"/>
  <cols>
    <col min="1" max="1" width="2.33203125" style="168" bestFit="1" customWidth="1"/>
    <col min="2" max="2" width="17.44140625" style="168" bestFit="1" customWidth="1"/>
    <col min="3" max="3" width="41.44140625" style="168" customWidth="1"/>
    <col min="4" max="4" width="10.6640625" style="168" bestFit="1" customWidth="1"/>
    <col min="5" max="5" width="22.88671875" style="168" customWidth="1"/>
    <col min="6" max="7" width="22.88671875" style="168" hidden="1" customWidth="1"/>
    <col min="8" max="8" width="19.44140625" style="168" bestFit="1" customWidth="1"/>
    <col min="9" max="9" width="24" style="168" customWidth="1"/>
    <col min="10" max="10" width="18.6640625" style="168" bestFit="1" customWidth="1"/>
    <col min="11" max="11" width="19.6640625" style="168" bestFit="1" customWidth="1"/>
    <col min="12" max="12" width="10.33203125" style="168" bestFit="1" customWidth="1"/>
    <col min="13" max="13" width="16.33203125" style="168" customWidth="1"/>
    <col min="14" max="15" width="8.88671875" style="168"/>
    <col min="16" max="17" width="8.88671875" style="168" customWidth="1"/>
    <col min="18" max="20" width="8.88671875" customWidth="1"/>
  </cols>
  <sheetData>
    <row r="1" spans="1:29" ht="54.6" customHeight="1" x14ac:dyDescent="0.3">
      <c r="A1" s="1137" t="s">
        <v>0</v>
      </c>
      <c r="B1" s="1137"/>
      <c r="C1" s="1137"/>
      <c r="D1" s="1137"/>
      <c r="E1" s="1137"/>
      <c r="F1" s="1137"/>
      <c r="G1" s="1137"/>
      <c r="H1" s="1137"/>
      <c r="I1" s="1137"/>
      <c r="J1" s="1137"/>
      <c r="K1" s="1137"/>
      <c r="L1" s="1137"/>
      <c r="M1" s="1137"/>
      <c r="N1" s="1137"/>
      <c r="O1" s="1137"/>
      <c r="P1" s="1137"/>
      <c r="Q1" s="1137"/>
      <c r="R1" s="1137"/>
      <c r="S1" s="1137"/>
      <c r="T1" s="1137"/>
      <c r="U1" s="184"/>
      <c r="V1" s="184"/>
      <c r="W1" s="184"/>
      <c r="X1" s="184"/>
      <c r="Y1" s="184"/>
      <c r="Z1" s="184"/>
      <c r="AA1" s="184"/>
      <c r="AB1" s="184"/>
      <c r="AC1" s="184"/>
    </row>
    <row r="2" spans="1:29" ht="10.95" customHeight="1" x14ac:dyDescent="0.3">
      <c r="R2" s="168"/>
      <c r="S2" s="168"/>
      <c r="T2" s="168"/>
      <c r="U2" s="168"/>
      <c r="V2" s="168"/>
      <c r="W2" s="168"/>
      <c r="X2" s="168"/>
      <c r="Y2" s="168"/>
      <c r="Z2" s="168"/>
      <c r="AA2" s="168"/>
    </row>
    <row r="3" spans="1:29" ht="16.2" thickBot="1" x14ac:dyDescent="0.35">
      <c r="A3" s="1140" t="s">
        <v>1</v>
      </c>
      <c r="B3" s="1140"/>
      <c r="C3" s="1140"/>
      <c r="D3" s="1140"/>
      <c r="E3" s="1140"/>
      <c r="F3" s="1140"/>
      <c r="G3" s="1140"/>
      <c r="H3" s="1140"/>
      <c r="I3" s="1140"/>
      <c r="J3" s="1140"/>
      <c r="K3" s="1140"/>
      <c r="L3" s="1140"/>
      <c r="M3" s="1140"/>
      <c r="N3" s="1140"/>
      <c r="O3" s="1140"/>
      <c r="P3" s="1140"/>
      <c r="R3" s="168"/>
      <c r="S3" s="168"/>
      <c r="T3" s="168"/>
      <c r="U3" s="168"/>
      <c r="V3" s="168"/>
      <c r="W3" s="168"/>
      <c r="X3" s="168"/>
      <c r="Y3" s="168"/>
      <c r="Z3" s="168"/>
      <c r="AA3" s="168"/>
    </row>
    <row r="4" spans="1:29" ht="14.4" customHeight="1" thickBot="1" x14ac:dyDescent="0.35">
      <c r="A4" s="1163" t="s">
        <v>2</v>
      </c>
      <c r="B4" s="1163"/>
      <c r="C4" s="1163"/>
      <c r="D4" s="1163"/>
      <c r="E4" s="1163"/>
      <c r="F4" s="760"/>
      <c r="G4" s="760"/>
      <c r="H4" s="626" t="s">
        <v>3</v>
      </c>
      <c r="I4" s="1102"/>
      <c r="J4" s="425"/>
      <c r="K4" s="424"/>
      <c r="L4" s="424"/>
      <c r="M4" s="424"/>
      <c r="N4" s="424"/>
      <c r="O4" s="424"/>
      <c r="P4" s="424"/>
      <c r="R4" s="168"/>
      <c r="S4" s="168"/>
      <c r="T4" s="168"/>
      <c r="U4" s="168"/>
      <c r="V4" s="168"/>
      <c r="W4" s="168"/>
      <c r="X4" s="168"/>
      <c r="Y4" s="168"/>
      <c r="Z4" s="168"/>
      <c r="AA4" s="168"/>
    </row>
    <row r="5" spans="1:29" ht="14.4" customHeight="1" x14ac:dyDescent="0.3">
      <c r="A5" s="1163" t="s">
        <v>4</v>
      </c>
      <c r="B5" s="1163"/>
      <c r="C5" s="1163"/>
      <c r="D5" s="1163"/>
      <c r="E5" s="1163"/>
      <c r="F5" s="760"/>
      <c r="G5" s="760"/>
      <c r="H5" s="348"/>
      <c r="I5" s="1153" t="s">
        <v>5</v>
      </c>
      <c r="J5" s="1153"/>
      <c r="K5" s="1153"/>
      <c r="L5" s="424"/>
      <c r="M5" s="424"/>
      <c r="N5" s="424"/>
      <c r="O5" s="424"/>
      <c r="P5" s="424"/>
      <c r="R5" s="168"/>
      <c r="S5" s="168"/>
      <c r="T5" s="168"/>
      <c r="U5" s="168"/>
      <c r="V5" s="168"/>
      <c r="W5" s="168"/>
      <c r="X5" s="168"/>
      <c r="Y5" s="168"/>
      <c r="Z5" s="168"/>
      <c r="AA5" s="168"/>
    </row>
    <row r="6" spans="1:29" ht="14.4" customHeight="1" thickBot="1" x14ac:dyDescent="0.35">
      <c r="A6" s="1163" t="s">
        <v>6</v>
      </c>
      <c r="B6" s="1163"/>
      <c r="C6" s="1163"/>
      <c r="D6" s="1163"/>
      <c r="E6" s="1163"/>
      <c r="F6" s="760"/>
      <c r="G6" s="760"/>
      <c r="H6" s="424"/>
      <c r="I6" s="1153"/>
      <c r="J6" s="1153"/>
      <c r="K6" s="1153"/>
      <c r="L6" s="424"/>
      <c r="M6" s="424"/>
      <c r="N6" s="424"/>
      <c r="O6" s="424"/>
      <c r="P6" s="424"/>
      <c r="R6" s="168"/>
      <c r="S6" s="168"/>
      <c r="T6" s="168"/>
      <c r="U6" s="168"/>
      <c r="V6" s="168"/>
      <c r="W6" s="168"/>
      <c r="X6" s="168"/>
      <c r="Y6" s="168"/>
      <c r="Z6" s="168"/>
      <c r="AA6" s="168"/>
    </row>
    <row r="7" spans="1:29" ht="14.4" customHeight="1" thickBot="1" x14ac:dyDescent="0.35">
      <c r="A7" s="1163" t="s">
        <v>7</v>
      </c>
      <c r="B7" s="1163"/>
      <c r="C7" s="1163"/>
      <c r="D7" s="1163"/>
      <c r="E7" s="1163"/>
      <c r="F7" s="760"/>
      <c r="G7" s="760"/>
      <c r="H7" s="626" t="s">
        <v>8</v>
      </c>
      <c r="I7" s="1103" t="s">
        <v>1468</v>
      </c>
      <c r="J7" s="434"/>
      <c r="K7" s="424"/>
      <c r="L7" s="424"/>
      <c r="M7" s="424"/>
      <c r="N7" s="424"/>
      <c r="O7" s="424"/>
      <c r="P7" s="424"/>
      <c r="R7" s="168"/>
      <c r="S7" s="168"/>
      <c r="T7" s="168"/>
      <c r="U7" s="168"/>
      <c r="V7" s="168"/>
      <c r="W7" s="168"/>
      <c r="X7" s="168"/>
      <c r="Y7" s="168"/>
      <c r="Z7" s="168"/>
      <c r="AA7" s="168"/>
    </row>
    <row r="8" spans="1:29" ht="14.4" customHeight="1" x14ac:dyDescent="0.3">
      <c r="A8" s="1088"/>
      <c r="B8" s="1088"/>
      <c r="C8" s="1088"/>
      <c r="D8" s="1088"/>
      <c r="E8" s="1088"/>
      <c r="F8" s="1088"/>
      <c r="G8" s="1088"/>
      <c r="H8" s="1088"/>
      <c r="I8" s="1153" t="s">
        <v>9</v>
      </c>
      <c r="J8" s="1153"/>
      <c r="K8" s="1088"/>
      <c r="L8" s="1088"/>
      <c r="M8" s="1088"/>
      <c r="N8" s="1088"/>
      <c r="O8" s="1088"/>
      <c r="P8" s="1089"/>
      <c r="Q8" s="1087"/>
      <c r="R8" s="1087"/>
      <c r="S8" s="1087"/>
      <c r="T8" s="1087"/>
      <c r="U8" s="1087"/>
      <c r="V8" s="1087"/>
      <c r="W8" s="1087"/>
      <c r="X8" s="1087"/>
      <c r="Y8" s="1087"/>
      <c r="Z8" s="1087"/>
      <c r="AA8" s="1087"/>
    </row>
    <row r="9" spans="1:29" ht="14.4" customHeight="1" x14ac:dyDescent="0.3">
      <c r="A9" s="1150" t="s">
        <v>10</v>
      </c>
      <c r="B9" s="1150"/>
      <c r="C9" s="1150"/>
      <c r="D9" s="1150"/>
      <c r="E9" s="1150"/>
      <c r="F9" s="1090"/>
      <c r="G9" s="1090"/>
      <c r="H9" s="1091"/>
      <c r="I9" s="1153"/>
      <c r="J9" s="1153"/>
      <c r="K9" s="1091"/>
      <c r="L9" s="1091"/>
      <c r="M9" s="1091"/>
      <c r="N9" s="1091"/>
      <c r="O9" s="1091"/>
      <c r="P9" s="1091"/>
      <c r="Q9" s="1091"/>
      <c r="R9" s="1091"/>
      <c r="S9" s="1091"/>
      <c r="T9" s="1091"/>
      <c r="U9" s="1091"/>
      <c r="V9" s="1091"/>
      <c r="W9" s="1091"/>
      <c r="X9" s="1091"/>
      <c r="Y9" s="1091"/>
      <c r="Z9" s="1091"/>
      <c r="AA9" s="1091"/>
    </row>
    <row r="10" spans="1:29" ht="34.799999999999997" customHeight="1" x14ac:dyDescent="0.3">
      <c r="A10" s="1156" t="s">
        <v>11</v>
      </c>
      <c r="B10" s="1156"/>
      <c r="C10" s="1156"/>
      <c r="D10" s="1156"/>
      <c r="E10" s="1156"/>
      <c r="F10" s="1156"/>
      <c r="G10" s="1156"/>
      <c r="H10" s="1156"/>
      <c r="I10" s="1156"/>
      <c r="J10" s="1156"/>
      <c r="K10" s="1156"/>
      <c r="L10" s="1156"/>
      <c r="M10" s="1156"/>
      <c r="N10" s="1156"/>
      <c r="O10" s="1094"/>
      <c r="P10" s="1094"/>
      <c r="Q10" s="1094"/>
      <c r="R10" s="1094"/>
      <c r="S10" s="1094"/>
      <c r="T10" s="1094"/>
      <c r="U10" s="1094"/>
      <c r="V10" s="1094"/>
      <c r="W10" s="1094"/>
      <c r="X10" s="1094"/>
      <c r="Y10" s="1094"/>
      <c r="Z10" s="1094"/>
      <c r="AA10" s="1094"/>
    </row>
    <row r="11" spans="1:29" ht="15.6" x14ac:dyDescent="0.3">
      <c r="A11" s="1150" t="s">
        <v>12</v>
      </c>
      <c r="B11" s="1150"/>
      <c r="C11" s="1150"/>
      <c r="D11" s="1150"/>
      <c r="E11" s="1150"/>
      <c r="F11" s="1150"/>
      <c r="G11" s="1150"/>
      <c r="H11" s="1150"/>
      <c r="I11" s="1150"/>
      <c r="J11" s="1150"/>
      <c r="K11" s="1150"/>
      <c r="L11" s="1150"/>
      <c r="M11" s="1150"/>
      <c r="N11" s="1150"/>
      <c r="O11" s="1150"/>
      <c r="P11" s="1150"/>
      <c r="Q11" s="1150"/>
      <c r="R11" s="1150"/>
      <c r="S11" s="1150"/>
      <c r="T11" s="1150"/>
      <c r="U11" s="1150"/>
      <c r="V11" s="1150"/>
      <c r="W11" s="1150"/>
      <c r="X11" s="1150"/>
      <c r="Y11" s="1150"/>
      <c r="Z11" s="1150"/>
      <c r="AA11" s="1150"/>
    </row>
    <row r="12" spans="1:29" ht="15.6" x14ac:dyDescent="0.3">
      <c r="A12" s="1156" t="s">
        <v>13</v>
      </c>
      <c r="B12" s="1156"/>
      <c r="C12" s="1156"/>
      <c r="D12" s="1156"/>
      <c r="E12" s="1156"/>
      <c r="F12" s="1156"/>
      <c r="G12" s="1156"/>
      <c r="H12" s="1156"/>
      <c r="I12" s="1156"/>
      <c r="J12" s="1156"/>
      <c r="K12" s="1156"/>
      <c r="L12" s="1156"/>
      <c r="M12" s="1156"/>
      <c r="N12" s="1156"/>
      <c r="O12" s="1156"/>
      <c r="P12" s="1156"/>
      <c r="Q12" s="1156"/>
      <c r="R12" s="1156"/>
      <c r="S12" s="1156"/>
      <c r="T12" s="1156"/>
      <c r="U12" s="1156"/>
      <c r="V12" s="1156"/>
      <c r="W12" s="1156"/>
      <c r="X12" s="1156"/>
      <c r="Y12" s="1156"/>
      <c r="Z12" s="1156"/>
      <c r="AA12" s="1156"/>
    </row>
    <row r="13" spans="1:29" ht="15.6" x14ac:dyDescent="0.3">
      <c r="A13" s="1150" t="s">
        <v>14</v>
      </c>
      <c r="B13" s="1150"/>
      <c r="C13" s="1150"/>
      <c r="D13" s="1150"/>
      <c r="E13" s="1150"/>
      <c r="F13" s="1150"/>
      <c r="G13" s="1150"/>
      <c r="H13" s="1150"/>
      <c r="I13" s="1150"/>
      <c r="J13" s="1150"/>
      <c r="K13" s="1150"/>
      <c r="L13" s="1150"/>
      <c r="M13" s="1150"/>
      <c r="N13" s="1150"/>
      <c r="O13" s="1150"/>
      <c r="P13" s="1150"/>
      <c r="Q13" s="1150"/>
      <c r="R13" s="1150"/>
      <c r="S13" s="1150"/>
      <c r="T13" s="1150"/>
      <c r="U13" s="1150"/>
      <c r="V13" s="1150"/>
      <c r="W13" s="1150"/>
      <c r="X13" s="1150"/>
      <c r="Y13" s="1150"/>
      <c r="Z13" s="1150"/>
      <c r="AA13" s="1150"/>
    </row>
    <row r="14" spans="1:29" ht="15.6" x14ac:dyDescent="0.3">
      <c r="A14" s="1156" t="s">
        <v>1463</v>
      </c>
      <c r="B14" s="1156"/>
      <c r="C14" s="1156"/>
      <c r="D14" s="1156"/>
      <c r="E14" s="1156"/>
      <c r="F14" s="1156"/>
      <c r="G14" s="1156"/>
      <c r="H14" s="1156"/>
      <c r="I14" s="1156"/>
      <c r="J14" s="1156"/>
      <c r="K14" s="1156"/>
      <c r="L14" s="1156"/>
      <c r="M14" s="1156"/>
      <c r="N14" s="1156"/>
      <c r="O14" s="1156"/>
      <c r="P14" s="1156"/>
      <c r="Q14" s="1090"/>
      <c r="R14" s="1090"/>
      <c r="S14" s="1090"/>
      <c r="T14" s="1090"/>
      <c r="U14" s="1090"/>
      <c r="V14" s="1090"/>
      <c r="W14" s="1090"/>
      <c r="X14" s="1090"/>
      <c r="Y14" s="1090"/>
      <c r="Z14" s="1090"/>
      <c r="AA14" s="1090"/>
    </row>
    <row r="15" spans="1:29" ht="15.6" x14ac:dyDescent="0.3">
      <c r="A15" s="1156" t="s">
        <v>15</v>
      </c>
      <c r="B15" s="1156"/>
      <c r="C15" s="1156"/>
      <c r="D15" s="1156"/>
      <c r="E15" s="1156"/>
      <c r="F15" s="1156"/>
      <c r="G15" s="1156"/>
      <c r="H15" s="1156"/>
      <c r="I15" s="1156"/>
      <c r="J15" s="1156"/>
      <c r="K15" s="1156"/>
      <c r="L15" s="1156"/>
      <c r="M15" s="1156"/>
      <c r="N15" s="1156"/>
      <c r="O15" s="1156"/>
      <c r="P15" s="1156"/>
      <c r="Q15" s="1156"/>
      <c r="R15" s="1156"/>
      <c r="S15" s="1156"/>
      <c r="T15" s="1156"/>
      <c r="U15" s="1156"/>
      <c r="V15" s="1156"/>
      <c r="W15" s="1156"/>
      <c r="X15" s="1156"/>
      <c r="Y15" s="1156"/>
      <c r="Z15" s="1156"/>
      <c r="AA15" s="1156"/>
    </row>
    <row r="16" spans="1:29" ht="33" customHeight="1" x14ac:dyDescent="0.3">
      <c r="A16" s="1155" t="s">
        <v>1464</v>
      </c>
      <c r="B16" s="1155"/>
      <c r="C16" s="1155"/>
      <c r="D16" s="1155"/>
      <c r="E16" s="1155"/>
      <c r="F16" s="1155"/>
      <c r="G16" s="1155"/>
      <c r="H16" s="1155"/>
      <c r="I16" s="1155"/>
      <c r="J16" s="1155"/>
      <c r="K16" s="1155"/>
      <c r="L16" s="1155"/>
      <c r="M16" s="1155"/>
      <c r="N16" s="1155"/>
      <c r="O16" s="1093"/>
      <c r="P16" s="1093"/>
      <c r="Q16" s="1093"/>
      <c r="R16" s="1093"/>
      <c r="S16" s="1093"/>
      <c r="T16" s="1093"/>
      <c r="U16" s="1093"/>
      <c r="V16" s="1093"/>
      <c r="W16" s="1093"/>
      <c r="X16" s="1093"/>
      <c r="Y16" s="1093"/>
      <c r="Z16" s="1093"/>
      <c r="AA16" s="1093"/>
    </row>
    <row r="17" spans="1:28" ht="34.200000000000003" customHeight="1" x14ac:dyDescent="0.3">
      <c r="A17" s="1155" t="s">
        <v>16</v>
      </c>
      <c r="B17" s="1155"/>
      <c r="C17" s="1155"/>
      <c r="D17" s="1155"/>
      <c r="E17" s="1155"/>
      <c r="F17" s="1155"/>
      <c r="G17" s="1155"/>
      <c r="H17" s="1155"/>
      <c r="I17" s="1155"/>
      <c r="J17" s="1155"/>
      <c r="K17" s="1155"/>
      <c r="L17" s="1155"/>
      <c r="M17" s="1155"/>
      <c r="N17" s="1092"/>
      <c r="O17" s="1092"/>
      <c r="P17" s="1092"/>
      <c r="Q17" s="1092"/>
      <c r="R17" s="1092"/>
      <c r="S17" s="1092"/>
      <c r="T17" s="1092"/>
      <c r="U17" s="1092"/>
      <c r="V17" s="1092"/>
      <c r="W17" s="1092"/>
      <c r="X17" s="1092"/>
      <c r="Y17" s="1092"/>
      <c r="Z17" s="1092"/>
      <c r="AA17" s="1092"/>
    </row>
    <row r="18" spans="1:28" ht="15.6" x14ac:dyDescent="0.3">
      <c r="A18" s="1155" t="s">
        <v>17</v>
      </c>
      <c r="B18" s="1155"/>
      <c r="C18" s="1155"/>
      <c r="D18" s="1155"/>
      <c r="E18" s="1155"/>
      <c r="F18" s="1155"/>
      <c r="G18" s="1155"/>
      <c r="H18" s="1155"/>
      <c r="I18" s="1155"/>
      <c r="J18" s="1155"/>
      <c r="K18" s="1155"/>
      <c r="L18" s="1155"/>
      <c r="M18" s="1155"/>
      <c r="N18" s="1092"/>
      <c r="O18" s="1092"/>
      <c r="P18" s="1092"/>
      <c r="Q18" s="1092"/>
      <c r="R18" s="1092"/>
      <c r="S18" s="1092"/>
      <c r="T18" s="1092"/>
      <c r="U18" s="1092"/>
      <c r="V18" s="1092"/>
      <c r="W18" s="1092"/>
      <c r="X18" s="1092"/>
      <c r="Y18" s="1092"/>
      <c r="Z18" s="1092"/>
      <c r="AA18" s="1092"/>
    </row>
    <row r="19" spans="1:28" ht="6.6" customHeight="1" x14ac:dyDescent="0.3">
      <c r="R19" s="168"/>
      <c r="S19" s="168"/>
      <c r="T19" s="168"/>
      <c r="U19" s="168"/>
      <c r="V19" s="168"/>
      <c r="W19" s="168"/>
      <c r="X19" s="168"/>
      <c r="Y19" s="168"/>
      <c r="Z19" s="168"/>
      <c r="AA19" s="168"/>
    </row>
    <row r="20" spans="1:28" ht="14.4" customHeight="1" x14ac:dyDescent="0.3">
      <c r="A20" s="386"/>
      <c r="B20" s="1143" t="s">
        <v>18</v>
      </c>
      <c r="C20" s="1143"/>
      <c r="D20" s="1143"/>
      <c r="E20" s="1143"/>
      <c r="F20" s="1143"/>
      <c r="G20" s="1143"/>
      <c r="H20" s="1143"/>
      <c r="I20" s="1143"/>
      <c r="J20" s="1143"/>
      <c r="K20" s="1143"/>
      <c r="L20" s="1143"/>
      <c r="M20" s="1143"/>
      <c r="N20" s="1143"/>
      <c r="O20" s="1143"/>
      <c r="P20" s="1143"/>
      <c r="Q20" s="1143"/>
      <c r="R20" s="1143"/>
      <c r="S20" s="1143"/>
      <c r="T20" s="1143"/>
      <c r="U20" s="1143"/>
      <c r="V20" s="1143"/>
      <c r="W20" s="1143"/>
      <c r="X20" s="1143"/>
      <c r="Y20" s="1143"/>
      <c r="Z20" s="1143"/>
      <c r="AA20" s="1143"/>
      <c r="AB20" s="1143"/>
    </row>
    <row r="21" spans="1:28" ht="31.95" customHeight="1" x14ac:dyDescent="0.3">
      <c r="A21" s="401" t="s">
        <v>19</v>
      </c>
      <c r="B21" s="1132" t="s">
        <v>1435</v>
      </c>
      <c r="C21" s="1132"/>
      <c r="D21" s="1132"/>
      <c r="E21" s="1132"/>
      <c r="F21" s="1132"/>
      <c r="G21" s="1132"/>
      <c r="H21" s="1132"/>
      <c r="I21" s="1132"/>
      <c r="J21" s="1132"/>
      <c r="K21" s="1132"/>
      <c r="L21" s="400"/>
      <c r="M21" s="400"/>
      <c r="R21" s="168"/>
      <c r="S21" s="168"/>
      <c r="T21" s="168"/>
      <c r="U21" s="168"/>
      <c r="V21" s="168"/>
      <c r="W21" s="168"/>
      <c r="X21" s="168"/>
      <c r="Y21" s="168"/>
      <c r="Z21" s="168"/>
      <c r="AA21" s="168"/>
    </row>
    <row r="22" spans="1:28" ht="15" thickBot="1" x14ac:dyDescent="0.35">
      <c r="A22" s="401"/>
      <c r="B22" s="456"/>
      <c r="C22" s="458" t="s">
        <v>20</v>
      </c>
      <c r="D22" s="1144" t="s">
        <v>21</v>
      </c>
      <c r="E22" s="1144"/>
      <c r="F22" s="823"/>
      <c r="G22" s="823"/>
      <c r="H22" s="1144" t="s">
        <v>22</v>
      </c>
      <c r="I22" s="1144"/>
      <c r="J22" s="1144" t="s">
        <v>23</v>
      </c>
      <c r="K22" s="1144"/>
      <c r="L22" s="400"/>
      <c r="M22" s="400"/>
      <c r="R22" s="168"/>
      <c r="S22" s="168"/>
      <c r="T22" s="168"/>
      <c r="U22" s="168"/>
      <c r="V22" s="168"/>
      <c r="W22" s="168"/>
      <c r="X22" s="168"/>
      <c r="Y22" s="168"/>
      <c r="Z22" s="168"/>
      <c r="AA22" s="168"/>
    </row>
    <row r="23" spans="1:28" ht="15" thickBot="1" x14ac:dyDescent="0.35">
      <c r="A23" s="401"/>
      <c r="B23" s="457">
        <v>1</v>
      </c>
      <c r="C23" s="759" t="s">
        <v>24</v>
      </c>
      <c r="D23" s="1145">
        <v>0</v>
      </c>
      <c r="E23" s="1146"/>
      <c r="F23" s="825"/>
      <c r="G23" s="825"/>
      <c r="H23" s="1141">
        <v>2020</v>
      </c>
      <c r="I23" s="1147"/>
      <c r="J23" s="1148" t="s">
        <v>25</v>
      </c>
      <c r="K23" s="1149"/>
      <c r="L23" s="396"/>
      <c r="M23" s="400"/>
      <c r="R23" s="168"/>
      <c r="S23" s="168"/>
      <c r="T23" s="168"/>
      <c r="U23" s="168"/>
      <c r="V23" s="168"/>
      <c r="W23" s="168"/>
      <c r="X23" s="168"/>
      <c r="Y23" s="168"/>
      <c r="Z23" s="168"/>
      <c r="AA23" s="168"/>
    </row>
    <row r="24" spans="1:28" ht="14.4" customHeight="1" thickBot="1" x14ac:dyDescent="0.35">
      <c r="A24" s="401"/>
      <c r="B24" s="457">
        <v>2</v>
      </c>
      <c r="C24" s="759"/>
      <c r="D24" s="1151">
        <v>0</v>
      </c>
      <c r="E24" s="1152"/>
      <c r="F24" s="825"/>
      <c r="G24" s="825"/>
      <c r="H24" s="1141"/>
      <c r="I24" s="1147"/>
      <c r="J24" s="1148" t="s">
        <v>25</v>
      </c>
      <c r="K24" s="1149"/>
      <c r="L24" s="396"/>
      <c r="M24" s="400"/>
      <c r="R24" s="168"/>
      <c r="S24" s="168"/>
      <c r="T24" s="168"/>
      <c r="U24" s="168"/>
      <c r="V24" s="168"/>
      <c r="W24" s="168"/>
      <c r="X24" s="168"/>
      <c r="Y24" s="168"/>
      <c r="Z24" s="168"/>
      <c r="AA24" s="168"/>
    </row>
    <row r="25" spans="1:28" ht="14.4" customHeight="1" thickBot="1" x14ac:dyDescent="0.35">
      <c r="A25" s="401"/>
      <c r="B25" s="457">
        <v>3</v>
      </c>
      <c r="C25" s="759"/>
      <c r="D25" s="1151">
        <v>0</v>
      </c>
      <c r="E25" s="1152"/>
      <c r="F25" s="825"/>
      <c r="G25" s="825"/>
      <c r="H25" s="1141"/>
      <c r="I25" s="1147"/>
      <c r="J25" s="1148" t="s">
        <v>25</v>
      </c>
      <c r="K25" s="1149"/>
      <c r="L25" s="396"/>
      <c r="M25" s="400"/>
      <c r="R25" s="168"/>
      <c r="S25" s="168"/>
      <c r="T25" s="168"/>
      <c r="U25" s="168"/>
      <c r="V25" s="168"/>
      <c r="W25" s="168"/>
      <c r="X25" s="168"/>
      <c r="Y25" s="168"/>
      <c r="Z25" s="168"/>
      <c r="AA25" s="168"/>
    </row>
    <row r="26" spans="1:28" ht="14.4" customHeight="1" thickBot="1" x14ac:dyDescent="0.35">
      <c r="A26" s="401"/>
      <c r="B26" s="457">
        <v>4</v>
      </c>
      <c r="C26" s="759"/>
      <c r="D26" s="1151">
        <v>0</v>
      </c>
      <c r="E26" s="1152"/>
      <c r="F26" s="825"/>
      <c r="G26" s="825"/>
      <c r="H26" s="1141"/>
      <c r="I26" s="1142"/>
      <c r="J26" s="1148" t="s">
        <v>25</v>
      </c>
      <c r="K26" s="1149"/>
      <c r="L26" s="400"/>
      <c r="M26" s="400"/>
      <c r="R26" s="168"/>
      <c r="S26" s="168"/>
      <c r="T26" s="168"/>
      <c r="U26" s="168"/>
      <c r="V26" s="168"/>
      <c r="W26" s="168"/>
      <c r="X26" s="168"/>
      <c r="Y26" s="168"/>
      <c r="Z26" s="168"/>
      <c r="AA26" s="168"/>
    </row>
    <row r="27" spans="1:28" ht="14.4" customHeight="1" x14ac:dyDescent="0.3">
      <c r="A27" s="401"/>
      <c r="B27" s="457">
        <v>5</v>
      </c>
      <c r="C27" s="759"/>
      <c r="D27" s="1151">
        <v>0</v>
      </c>
      <c r="E27" s="1152"/>
      <c r="F27" s="825"/>
      <c r="G27" s="825"/>
      <c r="H27" s="1141"/>
      <c r="I27" s="1142"/>
      <c r="J27" s="1148" t="s">
        <v>25</v>
      </c>
      <c r="K27" s="1149"/>
      <c r="L27" s="400"/>
      <c r="M27" s="400"/>
      <c r="R27" s="168"/>
      <c r="S27" s="168"/>
      <c r="T27" s="168"/>
      <c r="U27" s="168"/>
      <c r="V27" s="168"/>
      <c r="W27" s="168"/>
      <c r="X27" s="168"/>
      <c r="Y27" s="168"/>
      <c r="Z27" s="168"/>
      <c r="AA27" s="168"/>
    </row>
    <row r="28" spans="1:28" x14ac:dyDescent="0.3">
      <c r="A28" s="401"/>
      <c r="B28" s="457">
        <v>6</v>
      </c>
      <c r="C28" s="759"/>
      <c r="D28" s="1151">
        <v>0</v>
      </c>
      <c r="E28" s="1152"/>
      <c r="F28" s="825"/>
      <c r="G28" s="825"/>
      <c r="H28" s="1141"/>
      <c r="I28" s="1142"/>
      <c r="J28" s="1157" t="s">
        <v>25</v>
      </c>
      <c r="K28" s="1157"/>
      <c r="L28" s="400"/>
      <c r="M28" s="400"/>
      <c r="R28" s="168"/>
      <c r="S28" s="168"/>
      <c r="T28" s="168"/>
      <c r="U28" s="168"/>
      <c r="V28" s="168"/>
      <c r="W28" s="168"/>
      <c r="X28" s="168"/>
      <c r="Y28" s="168"/>
      <c r="Z28" s="168"/>
      <c r="AA28" s="168"/>
    </row>
    <row r="29" spans="1:28" ht="15" thickBot="1" x14ac:dyDescent="0.35">
      <c r="A29" s="401"/>
      <c r="B29" s="457">
        <v>7</v>
      </c>
      <c r="C29" s="759"/>
      <c r="D29" s="1161">
        <v>0</v>
      </c>
      <c r="E29" s="1162"/>
      <c r="F29" s="826"/>
      <c r="G29" s="826"/>
      <c r="H29" s="1141"/>
      <c r="I29" s="1142"/>
      <c r="J29" s="1141" t="s">
        <v>25</v>
      </c>
      <c r="K29" s="1142"/>
      <c r="L29" s="1154"/>
      <c r="M29" s="1154"/>
      <c r="N29" s="1154"/>
      <c r="O29" s="1154"/>
      <c r="P29" s="438"/>
      <c r="R29" s="168"/>
      <c r="S29" s="168"/>
      <c r="T29" s="168"/>
      <c r="U29" s="168"/>
      <c r="V29" s="168"/>
      <c r="W29" s="168"/>
      <c r="X29" s="168"/>
      <c r="Y29" s="168"/>
      <c r="Z29" s="168"/>
      <c r="AA29" s="168"/>
    </row>
    <row r="30" spans="1:28" ht="15" thickTop="1" x14ac:dyDescent="0.3">
      <c r="A30" s="401"/>
      <c r="B30" s="461"/>
      <c r="C30" s="460" t="s">
        <v>26</v>
      </c>
      <c r="D30" s="1160">
        <f>ROUND(SUM(D23:E29),2)</f>
        <v>0</v>
      </c>
      <c r="E30" s="1160"/>
      <c r="F30" s="824"/>
      <c r="G30" s="824"/>
      <c r="H30" s="459"/>
      <c r="I30" s="459"/>
      <c r="J30" s="400"/>
      <c r="K30" s="400"/>
      <c r="L30" s="761"/>
      <c r="M30" s="761"/>
      <c r="N30" s="761"/>
      <c r="O30" s="761"/>
      <c r="P30" s="438"/>
      <c r="R30" s="168"/>
      <c r="S30" s="168"/>
      <c r="T30" s="168"/>
      <c r="U30" s="168"/>
      <c r="V30" s="168"/>
      <c r="W30" s="168"/>
      <c r="X30" s="168"/>
      <c r="Y30" s="168"/>
      <c r="Z30" s="168"/>
      <c r="AA30" s="168"/>
    </row>
    <row r="31" spans="1:28" ht="6.6" customHeight="1" x14ac:dyDescent="0.3">
      <c r="R31" s="168"/>
      <c r="S31" s="168"/>
      <c r="T31" s="168"/>
      <c r="U31" s="168"/>
      <c r="V31" s="168"/>
      <c r="W31" s="168"/>
      <c r="X31" s="168"/>
      <c r="Y31" s="168"/>
      <c r="Z31" s="168"/>
      <c r="AA31" s="168"/>
    </row>
    <row r="32" spans="1:28" ht="14.4" customHeight="1" x14ac:dyDescent="0.3">
      <c r="A32" s="386"/>
      <c r="B32" s="1143" t="s">
        <v>27</v>
      </c>
      <c r="C32" s="1143"/>
      <c r="D32" s="1143"/>
      <c r="E32" s="1143"/>
      <c r="F32" s="1143"/>
      <c r="G32" s="1143"/>
      <c r="H32" s="1143"/>
      <c r="I32" s="1143"/>
      <c r="J32" s="1143"/>
      <c r="K32" s="1143"/>
      <c r="L32" s="1143"/>
      <c r="M32" s="1143"/>
      <c r="N32" s="1143"/>
      <c r="O32" s="1143"/>
      <c r="P32" s="1143"/>
      <c r="Q32" s="1143"/>
      <c r="R32" s="1143"/>
      <c r="S32" s="1143"/>
      <c r="T32" s="1143"/>
      <c r="U32" s="1143"/>
      <c r="V32" s="1143"/>
      <c r="W32" s="1143"/>
      <c r="X32" s="1143"/>
      <c r="Y32" s="1143"/>
      <c r="Z32" s="1143"/>
      <c r="AA32" s="1143"/>
      <c r="AB32" s="1143"/>
    </row>
    <row r="33" spans="1:38" ht="31.95" customHeight="1" x14ac:dyDescent="0.3">
      <c r="A33" s="401" t="s">
        <v>19</v>
      </c>
      <c r="B33" s="1132" t="s">
        <v>28</v>
      </c>
      <c r="C33" s="1132"/>
      <c r="D33" s="1132"/>
      <c r="E33" s="1132"/>
      <c r="F33" s="1132"/>
      <c r="G33" s="1132"/>
      <c r="H33" s="1132"/>
      <c r="I33" s="1132"/>
      <c r="J33" s="1132"/>
      <c r="K33" s="1132"/>
      <c r="L33" s="400"/>
      <c r="M33" s="400"/>
      <c r="R33" s="168"/>
      <c r="S33" s="168"/>
      <c r="T33" s="168"/>
      <c r="U33" s="168"/>
      <c r="V33" s="168"/>
      <c r="W33" s="168"/>
      <c r="X33" s="168"/>
      <c r="Y33" s="168"/>
      <c r="Z33" s="168"/>
      <c r="AA33" s="168"/>
      <c r="AB33" s="168"/>
      <c r="AC33" s="168"/>
      <c r="AD33" s="168"/>
      <c r="AE33" s="168"/>
      <c r="AF33" s="168"/>
      <c r="AG33" s="168"/>
      <c r="AH33" s="168"/>
      <c r="AI33" s="168"/>
    </row>
    <row r="34" spans="1:38" ht="31.95" customHeight="1" x14ac:dyDescent="0.3">
      <c r="A34" s="401"/>
      <c r="B34" s="1117"/>
      <c r="C34" s="1118"/>
      <c r="D34" s="1118"/>
      <c r="E34" s="1118"/>
      <c r="F34" s="1118"/>
      <c r="G34" s="1118"/>
      <c r="H34" s="1118"/>
      <c r="I34" s="1118"/>
      <c r="J34" s="1118"/>
      <c r="K34" s="1119"/>
      <c r="L34" s="1154"/>
      <c r="M34" s="1154"/>
      <c r="N34" s="1154"/>
      <c r="O34" s="1154"/>
      <c r="P34" s="438"/>
      <c r="R34" s="168"/>
      <c r="S34" s="168"/>
      <c r="T34" s="168"/>
      <c r="U34" s="168"/>
      <c r="V34" s="168"/>
      <c r="W34" s="168"/>
      <c r="X34" s="168"/>
      <c r="Y34" s="168"/>
      <c r="Z34" s="168"/>
      <c r="AA34" s="168"/>
      <c r="AB34" s="168"/>
      <c r="AC34" s="168"/>
      <c r="AD34" s="168"/>
      <c r="AE34" s="168"/>
      <c r="AF34" s="168"/>
      <c r="AG34" s="168"/>
      <c r="AH34" s="168"/>
      <c r="AI34" s="168"/>
    </row>
    <row r="35" spans="1:38" ht="31.95" customHeight="1" x14ac:dyDescent="0.3">
      <c r="A35" s="401" t="s">
        <v>29</v>
      </c>
      <c r="B35" s="1127" t="s">
        <v>30</v>
      </c>
      <c r="C35" s="1127"/>
      <c r="D35" s="1127"/>
      <c r="E35" s="1127"/>
      <c r="F35" s="1127"/>
      <c r="G35" s="1127"/>
      <c r="H35" s="1127"/>
      <c r="I35" s="1127"/>
      <c r="J35" s="1127"/>
      <c r="K35" s="462"/>
      <c r="L35" s="761"/>
      <c r="M35" s="761"/>
      <c r="N35" s="761"/>
      <c r="O35" s="761"/>
      <c r="P35" s="438"/>
      <c r="R35" s="168"/>
      <c r="S35" s="168"/>
      <c r="T35" s="168"/>
      <c r="U35" s="168"/>
      <c r="V35" s="168"/>
      <c r="W35" s="168"/>
      <c r="X35" s="168"/>
      <c r="Y35" s="168"/>
      <c r="Z35" s="168"/>
      <c r="AA35" s="168"/>
      <c r="AB35" s="168"/>
      <c r="AC35" s="168"/>
      <c r="AD35" s="168"/>
      <c r="AE35" s="168"/>
      <c r="AF35" s="168"/>
      <c r="AG35" s="168"/>
      <c r="AH35" s="168"/>
      <c r="AI35" s="168"/>
    </row>
    <row r="36" spans="1:38" ht="23.4" customHeight="1" x14ac:dyDescent="0.3">
      <c r="A36" s="401"/>
      <c r="B36" s="1126" t="s">
        <v>31</v>
      </c>
      <c r="C36" s="1126"/>
      <c r="D36" s="462"/>
      <c r="E36" s="462"/>
      <c r="F36" s="462"/>
      <c r="G36" s="462"/>
      <c r="H36" s="462"/>
      <c r="I36" s="462"/>
      <c r="J36" s="462"/>
      <c r="K36" s="462"/>
      <c r="L36" s="761"/>
      <c r="M36" s="761"/>
      <c r="N36" s="761"/>
      <c r="O36" s="761"/>
      <c r="P36" s="438"/>
      <c r="R36" s="168"/>
      <c r="S36" s="168"/>
      <c r="T36" s="168"/>
      <c r="U36" s="168"/>
      <c r="V36" s="168"/>
      <c r="W36" s="168"/>
      <c r="X36" s="168"/>
      <c r="Y36" s="168"/>
      <c r="Z36" s="168"/>
      <c r="AA36" s="168"/>
      <c r="AB36" s="168"/>
      <c r="AC36" s="168"/>
      <c r="AD36" s="168"/>
      <c r="AE36" s="168"/>
      <c r="AF36" s="168"/>
      <c r="AG36" s="168"/>
      <c r="AH36" s="168"/>
      <c r="AI36" s="168"/>
    </row>
    <row r="37" spans="1:38" ht="22.2" customHeight="1" x14ac:dyDescent="0.3">
      <c r="A37" s="170" t="s">
        <v>32</v>
      </c>
      <c r="B37" s="1159" t="s">
        <v>33</v>
      </c>
      <c r="C37" s="1159"/>
      <c r="D37" s="1159"/>
      <c r="E37" s="1159"/>
      <c r="F37" s="1159"/>
      <c r="G37" s="1159"/>
      <c r="H37" s="1159"/>
      <c r="I37" s="1159"/>
      <c r="J37" s="1159"/>
      <c r="K37" s="1159"/>
      <c r="L37" s="1159"/>
      <c r="M37" s="1159"/>
      <c r="N37" s="1159"/>
      <c r="O37" s="1159"/>
      <c r="P37" s="1159"/>
      <c r="Q37" s="1159"/>
      <c r="R37" s="1159"/>
      <c r="S37" s="1159"/>
      <c r="T37" s="1159"/>
      <c r="U37" s="1159"/>
      <c r="V37" s="1159"/>
      <c r="W37" s="1159"/>
      <c r="X37" s="1159"/>
      <c r="Y37" s="1159"/>
      <c r="Z37" s="1159"/>
      <c r="AA37" s="1159"/>
      <c r="AB37" s="758"/>
      <c r="AC37" s="168"/>
      <c r="AD37" s="168"/>
      <c r="AE37" s="168"/>
      <c r="AF37" s="168"/>
      <c r="AG37" s="168"/>
      <c r="AH37" s="168"/>
      <c r="AI37" s="168"/>
      <c r="AJ37" s="168"/>
      <c r="AK37" s="168"/>
      <c r="AL37" s="168"/>
    </row>
    <row r="38" spans="1:38" ht="7.95" customHeight="1" x14ac:dyDescent="0.3">
      <c r="A38" s="170"/>
      <c r="B38" s="758"/>
      <c r="C38" s="758"/>
      <c r="D38" s="758"/>
      <c r="E38" s="758"/>
      <c r="F38" s="758"/>
      <c r="G38" s="758"/>
      <c r="H38" s="758"/>
      <c r="I38" s="758"/>
      <c r="J38" s="758"/>
      <c r="K38" s="758"/>
      <c r="L38" s="758"/>
      <c r="M38" s="758"/>
      <c r="N38" s="758"/>
      <c r="O38" s="758"/>
      <c r="P38" s="758"/>
      <c r="Q38" s="758"/>
      <c r="R38" s="758"/>
      <c r="S38" s="758"/>
      <c r="T38" s="758"/>
      <c r="U38" s="758"/>
      <c r="V38" s="758"/>
      <c r="W38" s="758"/>
      <c r="X38" s="758"/>
      <c r="Y38" s="758"/>
      <c r="Z38" s="758"/>
      <c r="AA38" s="758"/>
      <c r="AB38" s="758"/>
      <c r="AC38" s="168"/>
      <c r="AD38" s="168"/>
      <c r="AE38" s="168"/>
      <c r="AF38" s="168"/>
      <c r="AG38" s="168"/>
      <c r="AH38" s="168"/>
      <c r="AI38" s="168"/>
      <c r="AJ38" s="168"/>
      <c r="AK38" s="168"/>
      <c r="AL38" s="168"/>
    </row>
    <row r="39" spans="1:38" ht="15" thickBot="1" x14ac:dyDescent="0.35">
      <c r="B39" s="389"/>
      <c r="C39" s="1123" t="s">
        <v>34</v>
      </c>
      <c r="D39" s="1124"/>
      <c r="E39" s="1124"/>
      <c r="F39" s="1124"/>
      <c r="G39" s="1125"/>
      <c r="H39" s="1133" t="s">
        <v>35</v>
      </c>
      <c r="I39" s="1124"/>
      <c r="R39" s="168"/>
      <c r="S39" s="168"/>
      <c r="T39" s="168"/>
      <c r="U39" s="168"/>
      <c r="V39" s="168"/>
      <c r="W39" s="168"/>
      <c r="X39" s="168"/>
      <c r="Y39" s="168"/>
      <c r="Z39" s="168"/>
      <c r="AA39" s="168"/>
      <c r="AB39" s="168"/>
      <c r="AC39" s="168"/>
      <c r="AD39" s="168"/>
      <c r="AE39" s="168"/>
      <c r="AF39" s="168"/>
      <c r="AG39" s="168"/>
      <c r="AH39" s="168"/>
      <c r="AI39" s="168"/>
      <c r="AJ39" s="168"/>
      <c r="AK39" s="168"/>
      <c r="AL39" s="168"/>
    </row>
    <row r="40" spans="1:38" ht="14.4" customHeight="1" thickBot="1" x14ac:dyDescent="0.35">
      <c r="B40" s="411" t="s">
        <v>36</v>
      </c>
      <c r="C40" s="1120" t="s">
        <v>25</v>
      </c>
      <c r="D40" s="1121"/>
      <c r="E40" s="1121"/>
      <c r="F40" s="1121"/>
      <c r="G40" s="1122"/>
      <c r="H40" s="390">
        <v>0</v>
      </c>
      <c r="I40" s="345" t="e">
        <f>IF(ISNUMBER(SEARCH("kinderzorg",$C40)),"opvangplaatsen/VTE",IF(ISNUMBER(SEARCH("welzijnswerk",$C40)),"opvangplaatsen/VTE",VLOOKUP($C40,'Capaciteiten &amp; forfaits'!$B$4:$H$75,3,FALSE)))</f>
        <v>#N/A</v>
      </c>
      <c r="J40" s="1158" t="s">
        <v>37</v>
      </c>
      <c r="K40" s="1154"/>
      <c r="L40" s="1154"/>
      <c r="M40" s="1154"/>
      <c r="N40" s="1154"/>
      <c r="R40" s="168"/>
      <c r="S40" s="168"/>
      <c r="T40" s="168"/>
      <c r="U40" s="168"/>
      <c r="V40" s="168"/>
      <c r="W40" s="168"/>
      <c r="X40" s="168"/>
      <c r="Y40" s="168"/>
      <c r="Z40" s="168"/>
      <c r="AA40" s="168"/>
      <c r="AB40" s="168"/>
      <c r="AC40" s="168"/>
      <c r="AD40" s="168"/>
      <c r="AE40" s="168"/>
      <c r="AF40" s="168"/>
      <c r="AG40" s="168"/>
      <c r="AH40" s="168"/>
      <c r="AI40" s="168"/>
      <c r="AJ40" s="168"/>
      <c r="AK40" s="168"/>
      <c r="AL40" s="168"/>
    </row>
    <row r="41" spans="1:38" ht="15" thickBot="1" x14ac:dyDescent="0.35">
      <c r="B41" s="412" t="s">
        <v>38</v>
      </c>
      <c r="C41" s="1120" t="s">
        <v>25</v>
      </c>
      <c r="D41" s="1121"/>
      <c r="E41" s="1121"/>
      <c r="F41" s="1121"/>
      <c r="G41" s="1122"/>
      <c r="H41" s="391">
        <v>0</v>
      </c>
      <c r="I41" s="345" t="e">
        <f>IF(ISNUMBER(SEARCH("kinderzorg",$C41)),"opvangplaatsen/VTE",IF(ISNUMBER(SEARCH("welzijnswerk",$C41)),"opvangplaatsen/VTE",VLOOKUP($C41,'Capaciteiten &amp; forfaits'!$B$4:$H$75,3,FALSE)))</f>
        <v>#N/A</v>
      </c>
      <c r="J41" s="1158"/>
      <c r="K41" s="1154"/>
      <c r="L41" s="1154"/>
      <c r="M41" s="1154"/>
      <c r="N41" s="1154"/>
      <c r="R41" s="168"/>
      <c r="S41" s="168"/>
      <c r="T41" s="168"/>
      <c r="U41" s="168"/>
      <c r="V41" s="168"/>
      <c r="W41" s="168"/>
      <c r="X41" s="168"/>
      <c r="Y41" s="168"/>
      <c r="Z41" s="168"/>
      <c r="AA41" s="168"/>
      <c r="AB41" s="168"/>
      <c r="AC41" s="168"/>
      <c r="AD41" s="168"/>
      <c r="AE41" s="168"/>
      <c r="AF41" s="168"/>
      <c r="AG41" s="168"/>
      <c r="AH41" s="168"/>
      <c r="AI41" s="168"/>
      <c r="AJ41" s="168"/>
      <c r="AK41" s="168"/>
      <c r="AL41" s="168"/>
    </row>
    <row r="42" spans="1:38" ht="15" thickBot="1" x14ac:dyDescent="0.35">
      <c r="B42" s="412" t="s">
        <v>39</v>
      </c>
      <c r="C42" s="1120" t="s">
        <v>25</v>
      </c>
      <c r="D42" s="1121"/>
      <c r="E42" s="1121"/>
      <c r="F42" s="1121"/>
      <c r="G42" s="1122"/>
      <c r="H42" s="391">
        <v>0</v>
      </c>
      <c r="I42" s="345" t="e">
        <f>IF(ISNUMBER(SEARCH("kinderzorg",$C42)),"opvangplaatsen/VTE",IF(ISNUMBER(SEARCH("welzijnswerk",$C42)),"opvangplaatsen/VTE",VLOOKUP($C42,'Capaciteiten &amp; forfaits'!$B$4:$H$75,3,FALSE)))</f>
        <v>#N/A</v>
      </c>
      <c r="J42" s="1158"/>
      <c r="K42" s="1154"/>
      <c r="L42" s="1154"/>
      <c r="M42" s="1154"/>
      <c r="N42" s="1154"/>
      <c r="R42" s="168"/>
      <c r="S42" s="168"/>
      <c r="T42" s="168"/>
      <c r="U42" s="168"/>
      <c r="V42" s="168"/>
      <c r="W42" s="168"/>
      <c r="X42" s="168"/>
      <c r="Y42" s="168"/>
      <c r="Z42" s="168"/>
      <c r="AA42" s="168"/>
      <c r="AB42" s="168"/>
      <c r="AC42" s="168"/>
      <c r="AD42" s="168"/>
      <c r="AE42" s="168"/>
      <c r="AF42" s="168"/>
      <c r="AG42" s="168"/>
      <c r="AH42" s="168"/>
      <c r="AI42" s="168"/>
      <c r="AJ42" s="168"/>
      <c r="AK42" s="168"/>
      <c r="AL42" s="168"/>
    </row>
    <row r="43" spans="1:38" ht="9" customHeight="1" x14ac:dyDescent="0.3">
      <c r="B43" s="396"/>
      <c r="C43" s="396"/>
      <c r="D43" s="396"/>
      <c r="R43" s="168"/>
      <c r="S43" s="168"/>
      <c r="T43" s="168"/>
      <c r="U43" s="168"/>
      <c r="V43" s="168"/>
      <c r="W43" s="168"/>
      <c r="X43" s="168"/>
      <c r="Y43" s="168"/>
      <c r="Z43" s="168"/>
      <c r="AA43" s="168"/>
      <c r="AB43" s="168"/>
      <c r="AC43" s="168"/>
      <c r="AD43" s="168"/>
      <c r="AE43" s="168"/>
      <c r="AF43" s="168"/>
      <c r="AG43" s="168"/>
      <c r="AH43" s="168"/>
      <c r="AI43" s="168"/>
      <c r="AJ43" s="168"/>
      <c r="AK43" s="168"/>
      <c r="AL43" s="168"/>
    </row>
    <row r="44" spans="1:38" ht="31.95" customHeight="1" x14ac:dyDescent="0.3">
      <c r="A44" s="401" t="s">
        <v>40</v>
      </c>
      <c r="B44" s="1132" t="s">
        <v>41</v>
      </c>
      <c r="C44" s="1132"/>
      <c r="D44" s="1132"/>
      <c r="E44" s="1132"/>
      <c r="F44" s="1132"/>
      <c r="G44" s="1132"/>
      <c r="H44" s="1132"/>
      <c r="I44" s="1132"/>
      <c r="J44" s="1132"/>
      <c r="K44" s="1132"/>
      <c r="L44" s="1132"/>
      <c r="M44" s="438"/>
      <c r="N44" s="438"/>
      <c r="O44" s="438"/>
      <c r="P44" s="438"/>
      <c r="R44" s="168"/>
      <c r="S44" s="168"/>
      <c r="T44" s="168"/>
      <c r="U44" s="168"/>
      <c r="V44" s="168"/>
      <c r="W44" s="168"/>
      <c r="X44" s="168"/>
      <c r="Y44" s="168"/>
      <c r="Z44" s="168"/>
      <c r="AA44" s="168"/>
      <c r="AB44" s="168"/>
      <c r="AC44" s="168"/>
      <c r="AD44" s="168"/>
      <c r="AE44" s="168"/>
      <c r="AF44" s="168"/>
      <c r="AG44" s="168"/>
      <c r="AH44" s="168"/>
      <c r="AI44" s="168"/>
      <c r="AJ44" s="168"/>
      <c r="AK44" s="168"/>
      <c r="AL44" s="168"/>
    </row>
    <row r="45" spans="1:38" ht="7.95" customHeight="1" x14ac:dyDescent="0.3">
      <c r="A45" s="395"/>
      <c r="B45" s="758"/>
      <c r="C45" s="758"/>
      <c r="D45" s="758"/>
      <c r="E45" s="758"/>
      <c r="F45" s="758"/>
      <c r="G45" s="758"/>
      <c r="H45" s="758"/>
      <c r="I45" s="758"/>
      <c r="J45" s="758"/>
      <c r="K45" s="758"/>
      <c r="L45" s="438"/>
      <c r="M45" s="438"/>
      <c r="N45" s="438"/>
      <c r="O45" s="438"/>
      <c r="P45" s="438"/>
      <c r="R45" s="168"/>
      <c r="S45" s="168"/>
      <c r="T45" s="168"/>
      <c r="U45" s="168"/>
      <c r="V45" s="168"/>
      <c r="W45" s="168"/>
      <c r="X45" s="168"/>
      <c r="Y45" s="168"/>
      <c r="Z45" s="168"/>
      <c r="AA45" s="168"/>
      <c r="AB45" s="168"/>
      <c r="AC45" s="168"/>
      <c r="AD45" s="168"/>
      <c r="AE45" s="168"/>
      <c r="AF45" s="168"/>
      <c r="AG45" s="168"/>
      <c r="AH45" s="168"/>
      <c r="AI45" s="168"/>
      <c r="AJ45" s="168"/>
      <c r="AK45" s="168"/>
      <c r="AL45" s="168"/>
    </row>
    <row r="46" spans="1:38" ht="14.4" customHeight="1" x14ac:dyDescent="0.3">
      <c r="B46" s="1138" t="s">
        <v>36</v>
      </c>
      <c r="C46" s="1135" t="str">
        <f>C40</f>
        <v>Kies de zorgvorm</v>
      </c>
      <c r="D46" s="1136"/>
      <c r="E46" s="1136"/>
      <c r="F46" s="1136"/>
      <c r="G46" s="1136"/>
      <c r="H46" s="1136"/>
      <c r="I46" s="1136"/>
      <c r="J46" s="1130" t="s">
        <v>42</v>
      </c>
      <c r="K46" s="1131"/>
      <c r="L46" s="1131"/>
      <c r="M46" s="1131"/>
      <c r="N46" s="1131"/>
      <c r="R46" s="168"/>
      <c r="S46" s="168"/>
      <c r="T46" s="168"/>
      <c r="U46" s="168"/>
      <c r="V46" s="168"/>
      <c r="W46" s="168"/>
      <c r="X46" s="168"/>
      <c r="Y46" s="168"/>
      <c r="Z46" s="168"/>
      <c r="AA46" s="168"/>
      <c r="AB46" s="168"/>
      <c r="AC46" s="168"/>
      <c r="AD46" s="168"/>
      <c r="AE46" s="168"/>
      <c r="AF46" s="168"/>
      <c r="AG46" s="168"/>
      <c r="AH46" s="168"/>
      <c r="AI46" s="168"/>
      <c r="AJ46" s="168"/>
      <c r="AK46" s="168"/>
      <c r="AL46" s="168"/>
    </row>
    <row r="47" spans="1:38" ht="15" thickBot="1" x14ac:dyDescent="0.35">
      <c r="B47" s="1139"/>
      <c r="C47" s="387" t="s">
        <v>34</v>
      </c>
      <c r="D47" s="387" t="s">
        <v>43</v>
      </c>
      <c r="E47" s="387" t="s">
        <v>44</v>
      </c>
      <c r="F47" s="387" t="s">
        <v>45</v>
      </c>
      <c r="G47" s="387" t="s">
        <v>46</v>
      </c>
      <c r="H47" s="387" t="s">
        <v>47</v>
      </c>
      <c r="I47" s="399" t="s">
        <v>48</v>
      </c>
      <c r="J47" s="404"/>
      <c r="K47" s="405"/>
      <c r="L47" s="405"/>
      <c r="M47" s="405"/>
      <c r="N47" s="405"/>
      <c r="R47" s="168"/>
      <c r="S47" s="168"/>
      <c r="T47" s="168"/>
      <c r="U47" s="168"/>
      <c r="V47" s="168"/>
      <c r="W47" s="168"/>
      <c r="X47" s="168"/>
      <c r="Y47" s="168"/>
      <c r="Z47" s="168"/>
      <c r="AA47" s="168"/>
      <c r="AB47" s="168"/>
      <c r="AC47" s="168"/>
      <c r="AD47" s="168"/>
      <c r="AE47" s="168"/>
      <c r="AF47" s="168"/>
      <c r="AG47" s="168"/>
      <c r="AH47" s="168"/>
      <c r="AI47" s="168"/>
      <c r="AJ47" s="168"/>
      <c r="AK47" s="168"/>
      <c r="AL47" s="168"/>
    </row>
    <row r="48" spans="1:38" x14ac:dyDescent="0.3">
      <c r="B48" s="388" t="s">
        <v>49</v>
      </c>
      <c r="C48" s="794" t="s">
        <v>50</v>
      </c>
      <c r="D48" s="561">
        <v>0.21</v>
      </c>
      <c r="E48" s="397">
        <v>0</v>
      </c>
      <c r="F48" s="561">
        <v>0.21</v>
      </c>
      <c r="G48" s="397">
        <v>0</v>
      </c>
      <c r="H48" s="393">
        <v>0</v>
      </c>
      <c r="I48" s="840">
        <v>0</v>
      </c>
      <c r="J48" s="836"/>
      <c r="K48" s="835"/>
      <c r="L48" s="835"/>
      <c r="M48" s="835"/>
      <c r="N48" s="835"/>
      <c r="O48" s="835"/>
      <c r="R48" s="168"/>
      <c r="S48" s="168"/>
      <c r="T48" s="168"/>
      <c r="U48" s="168"/>
      <c r="V48" s="168"/>
      <c r="W48" s="168"/>
      <c r="X48" s="168"/>
      <c r="Y48" s="168"/>
      <c r="Z48" s="168"/>
      <c r="AA48" s="168"/>
      <c r="AB48" s="168"/>
      <c r="AC48" s="168"/>
      <c r="AD48" s="168"/>
      <c r="AE48" s="168"/>
      <c r="AF48" s="168"/>
      <c r="AG48" s="168"/>
      <c r="AH48" s="168"/>
      <c r="AI48" s="168"/>
      <c r="AJ48" s="168"/>
      <c r="AK48" s="168"/>
      <c r="AL48" s="168"/>
    </row>
    <row r="49" spans="2:38" x14ac:dyDescent="0.3">
      <c r="B49" s="402" t="s">
        <v>51</v>
      </c>
      <c r="C49" s="794" t="s">
        <v>50</v>
      </c>
      <c r="D49" s="561">
        <v>0.21</v>
      </c>
      <c r="E49" s="398">
        <v>0</v>
      </c>
      <c r="F49" s="561">
        <v>0.21</v>
      </c>
      <c r="G49" s="398">
        <v>0</v>
      </c>
      <c r="H49" s="394">
        <v>0</v>
      </c>
      <c r="I49" s="840">
        <v>0</v>
      </c>
      <c r="J49" s="836"/>
      <c r="K49" s="835"/>
      <c r="L49" s="835"/>
      <c r="M49" s="835"/>
      <c r="N49" s="835"/>
      <c r="O49" s="835"/>
      <c r="R49" s="168"/>
      <c r="S49" s="168"/>
      <c r="T49" s="168"/>
      <c r="U49" s="168"/>
      <c r="V49" s="168"/>
      <c r="W49" s="168"/>
      <c r="X49" s="168"/>
      <c r="Y49" s="168"/>
      <c r="Z49" s="168"/>
      <c r="AA49" s="168"/>
      <c r="AB49" s="168"/>
      <c r="AC49" s="168"/>
      <c r="AD49" s="168"/>
      <c r="AE49" s="168"/>
      <c r="AF49" s="168"/>
      <c r="AG49" s="168"/>
      <c r="AH49" s="168"/>
      <c r="AI49" s="168"/>
      <c r="AJ49" s="168"/>
      <c r="AK49" s="168"/>
      <c r="AL49" s="168"/>
    </row>
    <row r="50" spans="2:38" x14ac:dyDescent="0.3">
      <c r="B50" s="388" t="s">
        <v>52</v>
      </c>
      <c r="C50" s="794" t="s">
        <v>50</v>
      </c>
      <c r="D50" s="561">
        <v>0.21</v>
      </c>
      <c r="E50" s="398">
        <v>0</v>
      </c>
      <c r="F50" s="561">
        <v>0.21</v>
      </c>
      <c r="G50" s="398">
        <v>0</v>
      </c>
      <c r="H50" s="394">
        <v>0</v>
      </c>
      <c r="I50" s="394">
        <v>0</v>
      </c>
      <c r="J50" s="834"/>
      <c r="K50" s="835"/>
      <c r="L50" s="835"/>
      <c r="M50" s="835"/>
      <c r="N50" s="835"/>
      <c r="O50" s="835"/>
      <c r="R50" s="168"/>
      <c r="S50" s="168"/>
      <c r="T50" s="168"/>
      <c r="U50" s="168"/>
      <c r="V50" s="168"/>
      <c r="W50" s="168"/>
      <c r="X50" s="168"/>
      <c r="Y50" s="168"/>
      <c r="Z50" s="168"/>
      <c r="AA50" s="168"/>
      <c r="AB50" s="168"/>
      <c r="AC50" s="168"/>
      <c r="AD50" s="168"/>
      <c r="AE50" s="168"/>
      <c r="AF50" s="168"/>
      <c r="AG50" s="168"/>
      <c r="AH50" s="168"/>
      <c r="AI50" s="168"/>
      <c r="AJ50" s="168"/>
      <c r="AK50" s="168"/>
      <c r="AL50" s="168"/>
    </row>
    <row r="51" spans="2:38" x14ac:dyDescent="0.3">
      <c r="B51" s="402" t="s">
        <v>53</v>
      </c>
      <c r="C51" s="794" t="s">
        <v>50</v>
      </c>
      <c r="D51" s="561">
        <v>0.21</v>
      </c>
      <c r="E51" s="398">
        <v>0</v>
      </c>
      <c r="F51" s="561">
        <v>0.21</v>
      </c>
      <c r="G51" s="398">
        <v>0</v>
      </c>
      <c r="H51" s="394">
        <v>0</v>
      </c>
      <c r="I51" s="394">
        <v>0</v>
      </c>
      <c r="J51" s="834"/>
      <c r="K51" s="835"/>
      <c r="L51" s="835"/>
      <c r="M51" s="835"/>
      <c r="N51" s="835"/>
      <c r="O51" s="835"/>
      <c r="R51" s="168"/>
      <c r="S51" s="168"/>
      <c r="T51" s="168"/>
      <c r="U51" s="168"/>
      <c r="V51" s="168"/>
      <c r="W51" s="168"/>
      <c r="X51" s="168"/>
      <c r="Y51" s="168"/>
      <c r="Z51" s="168"/>
      <c r="AA51" s="168"/>
      <c r="AB51" s="168"/>
      <c r="AC51" s="168"/>
      <c r="AD51" s="168"/>
      <c r="AE51" s="168"/>
      <c r="AF51" s="168"/>
      <c r="AG51" s="168"/>
      <c r="AH51" s="168"/>
      <c r="AI51" s="168"/>
      <c r="AJ51" s="168"/>
      <c r="AK51" s="168"/>
      <c r="AL51" s="168"/>
    </row>
    <row r="52" spans="2:38" x14ac:dyDescent="0.3">
      <c r="R52" s="168"/>
      <c r="S52" s="168"/>
      <c r="T52" s="168"/>
      <c r="U52" s="168"/>
      <c r="V52" s="168"/>
      <c r="W52" s="168"/>
      <c r="X52" s="168"/>
      <c r="Y52" s="168"/>
      <c r="Z52" s="168"/>
      <c r="AA52" s="168"/>
      <c r="AB52" s="168"/>
      <c r="AC52" s="168"/>
      <c r="AD52" s="168"/>
      <c r="AE52" s="168"/>
      <c r="AF52" s="168"/>
      <c r="AG52" s="168"/>
      <c r="AH52" s="168"/>
      <c r="AI52" s="168"/>
      <c r="AJ52" s="168"/>
      <c r="AK52" s="168"/>
      <c r="AL52" s="168"/>
    </row>
    <row r="53" spans="2:38" ht="14.4" customHeight="1" x14ac:dyDescent="0.3">
      <c r="B53" s="1128" t="s">
        <v>38</v>
      </c>
      <c r="C53" s="1135" t="str">
        <f>C41</f>
        <v>Kies de zorgvorm</v>
      </c>
      <c r="D53" s="1136"/>
      <c r="E53" s="1136"/>
      <c r="F53" s="1136"/>
      <c r="G53" s="1136"/>
      <c r="H53" s="1136"/>
      <c r="I53" s="1136"/>
      <c r="J53" s="1130" t="s">
        <v>42</v>
      </c>
      <c r="K53" s="1131"/>
      <c r="L53" s="1131"/>
      <c r="M53" s="1131"/>
      <c r="N53" s="1131"/>
      <c r="R53" s="168"/>
      <c r="S53" s="168"/>
      <c r="T53" s="168"/>
      <c r="U53" s="168"/>
      <c r="V53" s="168"/>
      <c r="W53" s="168"/>
      <c r="X53" s="168"/>
      <c r="Y53" s="168"/>
      <c r="Z53" s="168"/>
      <c r="AA53" s="168"/>
      <c r="AB53" s="168"/>
      <c r="AC53" s="168"/>
      <c r="AD53" s="168"/>
      <c r="AE53" s="168"/>
      <c r="AF53" s="168"/>
      <c r="AG53" s="168"/>
      <c r="AH53" s="168"/>
      <c r="AI53" s="168"/>
      <c r="AJ53" s="168"/>
      <c r="AK53" s="168"/>
      <c r="AL53" s="168"/>
    </row>
    <row r="54" spans="2:38" ht="15" thickBot="1" x14ac:dyDescent="0.35">
      <c r="B54" s="1129"/>
      <c r="C54" s="387" t="s">
        <v>34</v>
      </c>
      <c r="D54" s="387" t="s">
        <v>43</v>
      </c>
      <c r="E54" s="387" t="s">
        <v>44</v>
      </c>
      <c r="F54" s="387" t="s">
        <v>45</v>
      </c>
      <c r="G54" s="387" t="s">
        <v>54</v>
      </c>
      <c r="H54" s="387" t="s">
        <v>47</v>
      </c>
      <c r="I54" s="399" t="s">
        <v>48</v>
      </c>
      <c r="R54" s="168"/>
      <c r="S54" s="168"/>
      <c r="T54" s="168"/>
      <c r="U54" s="168"/>
      <c r="V54" s="168"/>
      <c r="W54" s="168"/>
      <c r="X54" s="168"/>
      <c r="Y54" s="168"/>
      <c r="Z54" s="168"/>
      <c r="AA54" s="168"/>
      <c r="AB54" s="168"/>
      <c r="AC54" s="168"/>
      <c r="AD54" s="168"/>
      <c r="AE54" s="168"/>
      <c r="AF54" s="168"/>
      <c r="AG54" s="168"/>
      <c r="AH54" s="168"/>
      <c r="AI54" s="168"/>
      <c r="AJ54" s="168"/>
      <c r="AK54" s="168"/>
      <c r="AL54" s="168"/>
    </row>
    <row r="55" spans="2:38" ht="15" customHeight="1" x14ac:dyDescent="0.3">
      <c r="B55" s="388" t="s">
        <v>49</v>
      </c>
      <c r="C55" s="794" t="s">
        <v>50</v>
      </c>
      <c r="D55" s="561">
        <v>0.21</v>
      </c>
      <c r="E55" s="397">
        <v>0</v>
      </c>
      <c r="F55" s="561">
        <v>0.21</v>
      </c>
      <c r="G55" s="397">
        <v>0</v>
      </c>
      <c r="H55" s="393">
        <v>0</v>
      </c>
      <c r="I55" s="840">
        <v>0</v>
      </c>
      <c r="J55" s="836"/>
      <c r="K55" s="835"/>
      <c r="L55" s="835"/>
      <c r="M55" s="835"/>
      <c r="N55" s="835"/>
      <c r="O55" s="835"/>
      <c r="R55" s="168"/>
      <c r="S55" s="168"/>
      <c r="T55" s="168"/>
      <c r="U55" s="168"/>
      <c r="V55" s="168"/>
      <c r="W55" s="168"/>
      <c r="X55" s="168"/>
      <c r="Y55" s="168"/>
      <c r="Z55" s="168"/>
      <c r="AA55" s="168"/>
      <c r="AB55" s="168"/>
      <c r="AC55" s="168"/>
      <c r="AD55" s="168"/>
      <c r="AE55" s="168"/>
      <c r="AF55" s="168"/>
      <c r="AG55" s="168"/>
      <c r="AH55" s="168"/>
      <c r="AI55" s="168"/>
      <c r="AJ55" s="168"/>
      <c r="AK55" s="168"/>
      <c r="AL55" s="168"/>
    </row>
    <row r="56" spans="2:38" x14ac:dyDescent="0.3">
      <c r="B56" s="402" t="s">
        <v>51</v>
      </c>
      <c r="C56" s="794" t="s">
        <v>50</v>
      </c>
      <c r="D56" s="561">
        <v>0.21</v>
      </c>
      <c r="E56" s="398">
        <v>0</v>
      </c>
      <c r="F56" s="561">
        <v>0.21</v>
      </c>
      <c r="G56" s="398">
        <v>0</v>
      </c>
      <c r="H56" s="394">
        <v>0</v>
      </c>
      <c r="I56" s="840">
        <v>0</v>
      </c>
      <c r="J56" s="836"/>
      <c r="K56" s="835"/>
      <c r="L56" s="835"/>
      <c r="M56" s="835"/>
      <c r="N56" s="835"/>
      <c r="O56" s="835"/>
      <c r="R56" s="168"/>
      <c r="S56" s="168"/>
      <c r="T56" s="168"/>
      <c r="U56" s="168"/>
      <c r="V56" s="168"/>
      <c r="W56" s="168"/>
      <c r="X56" s="168"/>
      <c r="Y56" s="168"/>
      <c r="Z56" s="168"/>
      <c r="AA56" s="168"/>
      <c r="AB56" s="168"/>
      <c r="AC56" s="168"/>
      <c r="AD56" s="168"/>
      <c r="AE56" s="168"/>
      <c r="AF56" s="168"/>
      <c r="AG56" s="168"/>
      <c r="AH56" s="168"/>
      <c r="AI56" s="168"/>
      <c r="AJ56" s="168"/>
      <c r="AK56" s="168"/>
      <c r="AL56" s="168"/>
    </row>
    <row r="57" spans="2:38" x14ac:dyDescent="0.3">
      <c r="B57" s="388" t="s">
        <v>52</v>
      </c>
      <c r="C57" s="794" t="s">
        <v>50</v>
      </c>
      <c r="D57" s="561">
        <v>0.21</v>
      </c>
      <c r="E57" s="398">
        <v>0</v>
      </c>
      <c r="F57" s="561">
        <v>0.21</v>
      </c>
      <c r="G57" s="398">
        <v>0</v>
      </c>
      <c r="H57" s="394">
        <v>0</v>
      </c>
      <c r="I57" s="394">
        <v>0</v>
      </c>
      <c r="J57" s="834"/>
      <c r="K57" s="835"/>
      <c r="L57" s="835"/>
      <c r="M57" s="835"/>
      <c r="N57" s="835"/>
      <c r="O57" s="835"/>
      <c r="R57" s="168"/>
      <c r="S57" s="168"/>
      <c r="T57" s="168"/>
      <c r="U57" s="168"/>
      <c r="V57" s="168"/>
      <c r="W57" s="168"/>
      <c r="X57" s="168"/>
      <c r="Y57" s="168"/>
      <c r="Z57" s="168"/>
      <c r="AA57" s="168"/>
      <c r="AB57" s="168"/>
      <c r="AC57" s="168"/>
      <c r="AD57" s="168"/>
      <c r="AE57" s="168"/>
      <c r="AF57" s="168"/>
      <c r="AG57" s="168"/>
      <c r="AH57" s="168"/>
      <c r="AI57" s="168"/>
      <c r="AJ57" s="168"/>
      <c r="AK57" s="168"/>
      <c r="AL57" s="168"/>
    </row>
    <row r="58" spans="2:38" x14ac:dyDescent="0.3">
      <c r="B58" s="402" t="s">
        <v>53</v>
      </c>
      <c r="C58" s="794" t="s">
        <v>50</v>
      </c>
      <c r="D58" s="561">
        <v>0.21</v>
      </c>
      <c r="E58" s="398">
        <v>0</v>
      </c>
      <c r="F58" s="561">
        <v>0.21</v>
      </c>
      <c r="G58" s="398">
        <v>0</v>
      </c>
      <c r="H58" s="394">
        <v>0</v>
      </c>
      <c r="I58" s="394">
        <v>0</v>
      </c>
      <c r="J58" s="834"/>
      <c r="K58" s="835"/>
      <c r="L58" s="835"/>
      <c r="M58" s="835"/>
      <c r="N58" s="835"/>
      <c r="O58" s="835"/>
      <c r="R58" s="168"/>
      <c r="S58" s="168"/>
      <c r="T58" s="168"/>
      <c r="U58" s="168"/>
      <c r="V58" s="168"/>
      <c r="W58" s="168"/>
      <c r="X58" s="168"/>
      <c r="Y58" s="168"/>
      <c r="Z58" s="168"/>
      <c r="AA58" s="168"/>
      <c r="AB58" s="168"/>
      <c r="AC58" s="168"/>
      <c r="AD58" s="168"/>
      <c r="AE58" s="168"/>
      <c r="AF58" s="168"/>
      <c r="AG58" s="168"/>
      <c r="AH58" s="168"/>
      <c r="AI58" s="168"/>
      <c r="AJ58" s="168"/>
      <c r="AK58" s="168"/>
      <c r="AL58" s="168"/>
    </row>
    <row r="59" spans="2:38" x14ac:dyDescent="0.3">
      <c r="R59" s="168"/>
      <c r="S59" s="168"/>
      <c r="T59" s="168"/>
      <c r="U59" s="168"/>
      <c r="V59" s="168"/>
      <c r="W59" s="168"/>
      <c r="X59" s="168"/>
      <c r="Y59" s="168"/>
      <c r="Z59" s="168"/>
      <c r="AA59" s="168"/>
      <c r="AB59" s="168"/>
      <c r="AC59" s="168"/>
      <c r="AD59" s="168"/>
      <c r="AE59" s="168"/>
      <c r="AF59" s="168"/>
      <c r="AG59" s="168"/>
      <c r="AH59" s="168"/>
      <c r="AI59" s="168"/>
      <c r="AJ59" s="168"/>
      <c r="AK59" s="168"/>
      <c r="AL59" s="168"/>
    </row>
    <row r="60" spans="2:38" ht="14.4" customHeight="1" x14ac:dyDescent="0.3">
      <c r="B60" s="1128" t="s">
        <v>39</v>
      </c>
      <c r="C60" s="1135" t="str">
        <f>C42</f>
        <v>Kies de zorgvorm</v>
      </c>
      <c r="D60" s="1136"/>
      <c r="E60" s="1136"/>
      <c r="F60" s="1136"/>
      <c r="G60" s="1136"/>
      <c r="H60" s="1136"/>
      <c r="I60" s="1136"/>
      <c r="J60" s="1130" t="s">
        <v>42</v>
      </c>
      <c r="K60" s="1131"/>
      <c r="L60" s="1131"/>
      <c r="M60" s="1131"/>
      <c r="N60" s="1131"/>
      <c r="R60" s="168"/>
      <c r="S60" s="168"/>
      <c r="T60" s="168"/>
      <c r="U60" s="168"/>
      <c r="V60" s="168"/>
      <c r="W60" s="168"/>
      <c r="X60" s="168"/>
      <c r="Y60" s="168"/>
      <c r="Z60" s="168"/>
      <c r="AA60" s="168"/>
      <c r="AB60" s="168"/>
      <c r="AC60" s="168"/>
      <c r="AD60" s="168"/>
      <c r="AE60" s="168"/>
      <c r="AF60" s="168"/>
      <c r="AG60" s="168"/>
      <c r="AH60" s="168"/>
      <c r="AI60" s="168"/>
      <c r="AJ60" s="168"/>
      <c r="AK60" s="168"/>
      <c r="AL60" s="168"/>
    </row>
    <row r="61" spans="2:38" ht="15" thickBot="1" x14ac:dyDescent="0.35">
      <c r="B61" s="1129"/>
      <c r="C61" s="387" t="s">
        <v>34</v>
      </c>
      <c r="D61" s="387" t="s">
        <v>43</v>
      </c>
      <c r="E61" s="387" t="s">
        <v>44</v>
      </c>
      <c r="F61" s="387" t="s">
        <v>45</v>
      </c>
      <c r="G61" s="387" t="s">
        <v>54</v>
      </c>
      <c r="H61" s="387" t="s">
        <v>47</v>
      </c>
      <c r="I61" s="399" t="s">
        <v>48</v>
      </c>
      <c r="R61" s="168"/>
      <c r="S61" s="168"/>
      <c r="T61" s="168"/>
      <c r="U61" s="168"/>
      <c r="V61" s="168"/>
      <c r="W61" s="168"/>
      <c r="X61" s="168"/>
      <c r="Y61" s="168"/>
      <c r="Z61" s="168"/>
      <c r="AA61" s="168"/>
      <c r="AB61" s="168"/>
      <c r="AC61" s="168"/>
      <c r="AD61" s="168"/>
      <c r="AE61" s="168"/>
      <c r="AF61" s="168"/>
      <c r="AG61" s="168"/>
      <c r="AH61" s="168"/>
      <c r="AI61" s="168"/>
      <c r="AJ61" s="168"/>
      <c r="AK61" s="168"/>
      <c r="AL61" s="168"/>
    </row>
    <row r="62" spans="2:38" x14ac:dyDescent="0.3">
      <c r="B62" s="388" t="s">
        <v>49</v>
      </c>
      <c r="C62" s="794" t="s">
        <v>50</v>
      </c>
      <c r="D62" s="561">
        <v>0.21</v>
      </c>
      <c r="E62" s="397">
        <v>0</v>
      </c>
      <c r="F62" s="561">
        <v>0.21</v>
      </c>
      <c r="G62" s="397">
        <v>0</v>
      </c>
      <c r="H62" s="393">
        <v>0</v>
      </c>
      <c r="I62" s="393">
        <v>0</v>
      </c>
      <c r="J62" s="1130"/>
      <c r="K62" s="1131"/>
      <c r="L62" s="1131"/>
      <c r="M62" s="1131"/>
      <c r="N62" s="1131"/>
      <c r="O62" s="1131"/>
      <c r="R62" s="168"/>
      <c r="S62" s="168"/>
      <c r="T62" s="168"/>
      <c r="U62" s="168"/>
      <c r="V62" s="168"/>
      <c r="W62" s="168"/>
      <c r="X62" s="168"/>
      <c r="Y62" s="168"/>
      <c r="Z62" s="168"/>
      <c r="AA62" s="168"/>
      <c r="AB62" s="168"/>
      <c r="AC62" s="168"/>
      <c r="AD62" s="168"/>
      <c r="AE62" s="168"/>
      <c r="AF62" s="168"/>
      <c r="AG62" s="168"/>
      <c r="AH62" s="168"/>
      <c r="AI62" s="168"/>
      <c r="AJ62" s="168"/>
      <c r="AK62" s="168"/>
      <c r="AL62" s="168"/>
    </row>
    <row r="63" spans="2:38" x14ac:dyDescent="0.3">
      <c r="B63" s="402" t="s">
        <v>51</v>
      </c>
      <c r="C63" s="794" t="s">
        <v>50</v>
      </c>
      <c r="D63" s="561">
        <v>0.21</v>
      </c>
      <c r="E63" s="398">
        <v>0</v>
      </c>
      <c r="F63" s="561">
        <v>0.21</v>
      </c>
      <c r="G63" s="398">
        <v>0</v>
      </c>
      <c r="H63" s="394">
        <v>0</v>
      </c>
      <c r="I63" s="394">
        <v>0</v>
      </c>
      <c r="J63" s="1130"/>
      <c r="K63" s="1131"/>
      <c r="L63" s="1131"/>
      <c r="M63" s="1131"/>
      <c r="N63" s="1131"/>
      <c r="O63" s="1131"/>
      <c r="R63" s="168"/>
      <c r="S63" s="168"/>
      <c r="T63" s="168"/>
      <c r="U63" s="168"/>
      <c r="V63" s="168"/>
      <c r="W63" s="168"/>
      <c r="X63" s="168"/>
      <c r="Y63" s="168"/>
      <c r="Z63" s="168"/>
      <c r="AA63" s="168"/>
      <c r="AB63" s="168"/>
      <c r="AC63" s="168"/>
      <c r="AD63" s="168"/>
      <c r="AE63" s="168"/>
      <c r="AF63" s="168"/>
      <c r="AG63" s="168"/>
      <c r="AH63" s="168"/>
      <c r="AI63" s="168"/>
      <c r="AJ63" s="168"/>
      <c r="AK63" s="168"/>
      <c r="AL63" s="168"/>
    </row>
    <row r="64" spans="2:38" x14ac:dyDescent="0.3">
      <c r="B64" s="388" t="s">
        <v>52</v>
      </c>
      <c r="C64" s="794" t="s">
        <v>50</v>
      </c>
      <c r="D64" s="561">
        <v>0.21</v>
      </c>
      <c r="E64" s="398">
        <v>0</v>
      </c>
      <c r="F64" s="561">
        <v>0.21</v>
      </c>
      <c r="G64" s="398">
        <v>0</v>
      </c>
      <c r="H64" s="394">
        <v>0</v>
      </c>
      <c r="I64" s="394">
        <v>0</v>
      </c>
      <c r="J64" s="1130"/>
      <c r="K64" s="1131"/>
      <c r="L64" s="1131"/>
      <c r="M64" s="1131"/>
      <c r="N64" s="1131"/>
      <c r="O64" s="1131"/>
      <c r="R64" s="168"/>
      <c r="S64" s="168"/>
      <c r="T64" s="168"/>
      <c r="U64" s="168"/>
      <c r="V64" s="168"/>
      <c r="W64" s="168"/>
      <c r="X64" s="168"/>
      <c r="Y64" s="168"/>
      <c r="Z64" s="168"/>
      <c r="AA64" s="168"/>
      <c r="AB64" s="168"/>
      <c r="AC64" s="168"/>
      <c r="AD64" s="168"/>
      <c r="AE64" s="168"/>
      <c r="AF64" s="168"/>
      <c r="AG64" s="168"/>
      <c r="AH64" s="168"/>
      <c r="AI64" s="168"/>
      <c r="AJ64" s="168"/>
      <c r="AK64" s="168"/>
      <c r="AL64" s="168"/>
    </row>
    <row r="65" spans="2:38" ht="15" thickBot="1" x14ac:dyDescent="0.35">
      <c r="B65" s="402" t="s">
        <v>53</v>
      </c>
      <c r="C65" s="794" t="s">
        <v>50</v>
      </c>
      <c r="D65" s="561">
        <v>0.21</v>
      </c>
      <c r="E65" s="467">
        <v>0</v>
      </c>
      <c r="F65" s="561">
        <v>0.21</v>
      </c>
      <c r="G65" s="398">
        <v>0</v>
      </c>
      <c r="H65" s="394">
        <v>0</v>
      </c>
      <c r="I65" s="394">
        <v>0</v>
      </c>
      <c r="J65" s="1130"/>
      <c r="K65" s="1131"/>
      <c r="L65" s="1131"/>
      <c r="M65" s="1131"/>
      <c r="N65" s="1131"/>
      <c r="O65" s="1131"/>
      <c r="R65" s="168"/>
      <c r="S65" s="168"/>
      <c r="T65" s="168"/>
      <c r="U65" s="168"/>
      <c r="V65" s="168"/>
      <c r="W65" s="168"/>
      <c r="X65" s="168"/>
      <c r="Y65" s="168"/>
      <c r="Z65" s="168"/>
      <c r="AA65" s="168"/>
      <c r="AB65" s="168"/>
      <c r="AC65" s="168"/>
      <c r="AD65" s="168"/>
      <c r="AE65" s="168"/>
      <c r="AF65" s="168"/>
      <c r="AG65" s="168"/>
      <c r="AH65" s="168"/>
      <c r="AI65" s="168"/>
      <c r="AJ65" s="168"/>
      <c r="AK65" s="168"/>
      <c r="AL65" s="168"/>
    </row>
    <row r="66" spans="2:38" ht="15" thickTop="1" x14ac:dyDescent="0.3">
      <c r="C66" s="1134" t="s">
        <v>55</v>
      </c>
      <c r="D66" s="1134"/>
      <c r="E66" s="455">
        <f>ROUND(SUM(E62:E65,E55:E58,E48:E51),2)</f>
        <v>0</v>
      </c>
      <c r="F66" s="455"/>
      <c r="G66" s="455"/>
      <c r="I66" s="838">
        <f>SUM(I48:I51,I55:I58,I62:I65)</f>
        <v>0</v>
      </c>
      <c r="R66" s="168"/>
      <c r="S66" s="168"/>
      <c r="T66" s="168"/>
      <c r="U66" s="168"/>
      <c r="V66" s="168"/>
      <c r="W66" s="168"/>
      <c r="X66" s="168"/>
      <c r="Y66" s="168"/>
      <c r="Z66" s="168"/>
      <c r="AA66" s="168"/>
      <c r="AB66" s="168"/>
      <c r="AC66" s="168"/>
      <c r="AD66" s="168"/>
      <c r="AE66" s="168"/>
      <c r="AF66" s="168"/>
      <c r="AG66" s="168"/>
      <c r="AH66" s="168"/>
      <c r="AI66" s="168"/>
      <c r="AJ66" s="168"/>
      <c r="AK66" s="168"/>
      <c r="AL66" s="168"/>
    </row>
    <row r="67" spans="2:38" x14ac:dyDescent="0.3">
      <c r="R67" s="168"/>
      <c r="S67" s="168"/>
      <c r="T67" s="168"/>
      <c r="U67" s="168"/>
      <c r="V67" s="168"/>
      <c r="W67" s="168"/>
      <c r="X67" s="168"/>
      <c r="Y67" s="168"/>
      <c r="Z67" s="168"/>
      <c r="AA67" s="168"/>
      <c r="AB67" s="168"/>
      <c r="AC67" s="168"/>
      <c r="AD67" s="168"/>
      <c r="AE67" s="168"/>
      <c r="AF67" s="168"/>
      <c r="AG67" s="168"/>
      <c r="AH67" s="168"/>
      <c r="AI67" s="168"/>
      <c r="AJ67" s="168"/>
      <c r="AK67" s="168"/>
      <c r="AL67" s="168"/>
    </row>
    <row r="68" spans="2:38" ht="14.4" customHeight="1" x14ac:dyDescent="0.3">
      <c r="E68" s="1131" t="s">
        <v>1455</v>
      </c>
      <c r="F68" s="1131"/>
      <c r="G68" s="1131"/>
      <c r="H68" s="1131"/>
      <c r="I68" s="1131"/>
      <c r="R68" s="168"/>
      <c r="S68" s="168"/>
      <c r="T68" s="168"/>
      <c r="U68" s="168"/>
      <c r="V68" s="168"/>
      <c r="W68" s="168"/>
      <c r="X68" s="168"/>
      <c r="Y68" s="168"/>
      <c r="Z68" s="168"/>
      <c r="AA68" s="168"/>
      <c r="AB68" s="168"/>
      <c r="AC68" s="168"/>
      <c r="AD68" s="168"/>
      <c r="AE68" s="168"/>
      <c r="AF68" s="168"/>
      <c r="AG68" s="168"/>
      <c r="AH68" s="168"/>
      <c r="AI68" s="168"/>
      <c r="AJ68" s="168"/>
      <c r="AK68" s="168"/>
      <c r="AL68" s="168"/>
    </row>
    <row r="69" spans="2:38" x14ac:dyDescent="0.3">
      <c r="E69" s="1131"/>
      <c r="F69" s="1131"/>
      <c r="G69" s="1131"/>
      <c r="H69" s="1131"/>
      <c r="I69" s="1131"/>
      <c r="R69" s="168"/>
      <c r="S69" s="168"/>
      <c r="T69" s="168"/>
      <c r="U69" s="168"/>
      <c r="V69" s="168"/>
      <c r="W69" s="168"/>
      <c r="X69" s="168"/>
      <c r="Y69" s="168"/>
      <c r="Z69" s="168"/>
      <c r="AA69" s="168"/>
      <c r="AB69" s="168"/>
      <c r="AC69" s="168"/>
      <c r="AD69" s="168"/>
      <c r="AE69" s="168"/>
      <c r="AF69" s="168"/>
      <c r="AG69" s="168"/>
      <c r="AH69" s="168"/>
      <c r="AI69" s="168"/>
      <c r="AJ69" s="168"/>
      <c r="AK69" s="168"/>
      <c r="AL69" s="168"/>
    </row>
    <row r="70" spans="2:38" x14ac:dyDescent="0.3">
      <c r="R70" s="168"/>
      <c r="S70" s="168"/>
      <c r="T70" s="168"/>
      <c r="U70" s="168"/>
      <c r="V70" s="168"/>
      <c r="W70" s="168"/>
      <c r="X70" s="168"/>
      <c r="Y70" s="168"/>
      <c r="Z70" s="168"/>
      <c r="AA70" s="168"/>
      <c r="AB70" s="168"/>
      <c r="AC70" s="168"/>
      <c r="AD70" s="168"/>
      <c r="AE70" s="168"/>
      <c r="AF70" s="168"/>
      <c r="AG70" s="168"/>
      <c r="AH70" s="168"/>
      <c r="AI70" s="168"/>
      <c r="AJ70" s="168"/>
      <c r="AK70" s="168"/>
      <c r="AL70" s="168"/>
    </row>
    <row r="71" spans="2:38" x14ac:dyDescent="0.3">
      <c r="R71" s="168"/>
      <c r="S71" s="168"/>
      <c r="T71" s="168"/>
      <c r="U71" s="168"/>
      <c r="V71" s="168"/>
      <c r="W71" s="168"/>
      <c r="X71" s="168"/>
      <c r="Y71" s="168"/>
      <c r="Z71" s="168"/>
      <c r="AA71" s="168"/>
      <c r="AB71" s="168"/>
      <c r="AC71" s="168"/>
      <c r="AD71" s="168"/>
      <c r="AE71" s="168"/>
      <c r="AF71" s="168"/>
      <c r="AG71" s="168"/>
      <c r="AH71" s="168"/>
      <c r="AI71" s="168"/>
      <c r="AJ71" s="168"/>
      <c r="AK71" s="168"/>
      <c r="AL71" s="168"/>
    </row>
    <row r="72" spans="2:38" x14ac:dyDescent="0.3">
      <c r="R72" s="168"/>
      <c r="S72" s="168"/>
      <c r="T72" s="168"/>
      <c r="U72" s="168"/>
      <c r="V72" s="168"/>
      <c r="W72" s="168"/>
      <c r="X72" s="168"/>
      <c r="Y72" s="168"/>
      <c r="Z72" s="168"/>
      <c r="AA72" s="168"/>
      <c r="AB72" s="168"/>
      <c r="AC72" s="168"/>
      <c r="AD72" s="168"/>
      <c r="AE72" s="168"/>
      <c r="AF72" s="168"/>
      <c r="AG72" s="168"/>
      <c r="AH72" s="168"/>
      <c r="AI72" s="168"/>
      <c r="AJ72" s="168"/>
      <c r="AK72" s="168"/>
      <c r="AL72" s="168"/>
    </row>
    <row r="73" spans="2:38" x14ac:dyDescent="0.3">
      <c r="R73" s="168"/>
      <c r="S73" s="168"/>
      <c r="T73" s="168"/>
      <c r="U73" s="168"/>
      <c r="V73" s="168"/>
      <c r="W73" s="168"/>
      <c r="X73" s="168"/>
      <c r="Y73" s="168"/>
      <c r="Z73" s="168"/>
      <c r="AA73" s="168"/>
      <c r="AB73" s="168"/>
      <c r="AC73" s="168"/>
      <c r="AD73" s="168"/>
      <c r="AE73" s="168"/>
      <c r="AF73" s="168"/>
      <c r="AG73" s="168"/>
      <c r="AH73" s="168"/>
      <c r="AI73" s="168"/>
      <c r="AJ73" s="168"/>
      <c r="AK73" s="168"/>
      <c r="AL73" s="168"/>
    </row>
    <row r="74" spans="2:38" x14ac:dyDescent="0.3">
      <c r="R74" s="168"/>
      <c r="S74" s="168"/>
      <c r="T74" s="168"/>
      <c r="U74" s="168"/>
      <c r="V74" s="168"/>
      <c r="W74" s="168"/>
      <c r="X74" s="168"/>
      <c r="Y74" s="168"/>
      <c r="Z74" s="168"/>
      <c r="AA74" s="168"/>
      <c r="AB74" s="168"/>
      <c r="AC74" s="168"/>
      <c r="AD74" s="168"/>
      <c r="AE74" s="168"/>
      <c r="AF74" s="168"/>
      <c r="AG74" s="168"/>
      <c r="AH74" s="168"/>
      <c r="AI74" s="168"/>
      <c r="AJ74" s="168"/>
      <c r="AK74" s="168"/>
      <c r="AL74" s="168"/>
    </row>
    <row r="75" spans="2:38" x14ac:dyDescent="0.3">
      <c r="R75" s="168"/>
      <c r="S75" s="168"/>
      <c r="T75" s="168"/>
      <c r="U75" s="168"/>
      <c r="V75" s="168"/>
      <c r="W75" s="168"/>
      <c r="X75" s="168"/>
      <c r="Y75" s="168"/>
      <c r="Z75" s="168"/>
      <c r="AA75" s="168"/>
      <c r="AB75" s="168"/>
      <c r="AC75" s="168"/>
      <c r="AD75" s="168"/>
      <c r="AE75" s="168"/>
      <c r="AF75" s="168"/>
      <c r="AG75" s="168"/>
      <c r="AH75" s="168"/>
      <c r="AI75" s="168"/>
      <c r="AJ75" s="168"/>
      <c r="AK75" s="168"/>
      <c r="AL75" s="168"/>
    </row>
    <row r="76" spans="2:38" x14ac:dyDescent="0.3">
      <c r="R76" s="168"/>
      <c r="S76" s="168"/>
      <c r="T76" s="168"/>
      <c r="U76" s="168"/>
      <c r="V76" s="168"/>
      <c r="W76" s="168"/>
      <c r="X76" s="168"/>
      <c r="Y76" s="168"/>
      <c r="Z76" s="168"/>
      <c r="AA76" s="168"/>
      <c r="AB76" s="168"/>
      <c r="AC76" s="168"/>
      <c r="AD76" s="168"/>
      <c r="AE76" s="168"/>
      <c r="AF76" s="168"/>
      <c r="AG76" s="168"/>
      <c r="AH76" s="168"/>
      <c r="AI76" s="168"/>
      <c r="AJ76" s="168"/>
      <c r="AK76" s="168"/>
      <c r="AL76" s="168"/>
    </row>
    <row r="77" spans="2:38" x14ac:dyDescent="0.3">
      <c r="R77" s="168"/>
      <c r="S77" s="168"/>
      <c r="T77" s="168"/>
      <c r="U77" s="168"/>
      <c r="V77" s="168"/>
      <c r="W77" s="168"/>
      <c r="X77" s="168"/>
      <c r="Y77" s="168"/>
      <c r="Z77" s="168"/>
      <c r="AA77" s="168"/>
      <c r="AB77" s="168"/>
      <c r="AC77" s="168"/>
      <c r="AD77" s="168"/>
      <c r="AE77" s="168"/>
      <c r="AF77" s="168"/>
      <c r="AG77" s="168"/>
      <c r="AH77" s="168"/>
      <c r="AI77" s="168"/>
      <c r="AJ77" s="168"/>
      <c r="AK77" s="168"/>
      <c r="AL77" s="168"/>
    </row>
  </sheetData>
  <protectedRanges>
    <protectedRange sqref="B34:K34 F23:J23 D48:I51 D55:I58 D62:I65 C40:H42 C24:J29" name="Voorziening"/>
    <protectedRange sqref="C23:E23" name="Voorziening_1"/>
    <protectedRange sqref="C62:C65 C48:C51 C55:C58" name="Voorziening_2"/>
  </protectedRanges>
  <mergeCells count="72">
    <mergeCell ref="A4:E4"/>
    <mergeCell ref="A5:E5"/>
    <mergeCell ref="A6:E6"/>
    <mergeCell ref="A7:E7"/>
    <mergeCell ref="A9:E9"/>
    <mergeCell ref="A16:N16"/>
    <mergeCell ref="A14:P14"/>
    <mergeCell ref="A18:M18"/>
    <mergeCell ref="D25:E25"/>
    <mergeCell ref="C46:I46"/>
    <mergeCell ref="A15:AA15"/>
    <mergeCell ref="J40:N42"/>
    <mergeCell ref="B37:AA37"/>
    <mergeCell ref="B33:K33"/>
    <mergeCell ref="D30:E30"/>
    <mergeCell ref="D26:E26"/>
    <mergeCell ref="B32:AB32"/>
    <mergeCell ref="D27:E27"/>
    <mergeCell ref="D28:E28"/>
    <mergeCell ref="D29:E29"/>
    <mergeCell ref="L34:O34"/>
    <mergeCell ref="I5:K6"/>
    <mergeCell ref="H24:I24"/>
    <mergeCell ref="H25:I25"/>
    <mergeCell ref="L29:O29"/>
    <mergeCell ref="H27:I27"/>
    <mergeCell ref="H28:I28"/>
    <mergeCell ref="A17:M17"/>
    <mergeCell ref="A10:N10"/>
    <mergeCell ref="I8:J9"/>
    <mergeCell ref="A12:AA12"/>
    <mergeCell ref="A13:AA13"/>
    <mergeCell ref="J26:K26"/>
    <mergeCell ref="J27:K27"/>
    <mergeCell ref="J28:K28"/>
    <mergeCell ref="J29:K29"/>
    <mergeCell ref="H29:I29"/>
    <mergeCell ref="A1:T1"/>
    <mergeCell ref="B46:B47"/>
    <mergeCell ref="A3:P3"/>
    <mergeCell ref="H26:I26"/>
    <mergeCell ref="B20:AB20"/>
    <mergeCell ref="H22:I22"/>
    <mergeCell ref="D23:E23"/>
    <mergeCell ref="J22:K22"/>
    <mergeCell ref="H23:I23"/>
    <mergeCell ref="J23:K23"/>
    <mergeCell ref="J24:K24"/>
    <mergeCell ref="J25:K25"/>
    <mergeCell ref="A11:AA11"/>
    <mergeCell ref="D24:E24"/>
    <mergeCell ref="B21:K21"/>
    <mergeCell ref="D22:E22"/>
    <mergeCell ref="E68:I69"/>
    <mergeCell ref="C42:G42"/>
    <mergeCell ref="C66:D66"/>
    <mergeCell ref="C53:I53"/>
    <mergeCell ref="J62:O65"/>
    <mergeCell ref="C60:I60"/>
    <mergeCell ref="B60:B61"/>
    <mergeCell ref="J60:N60"/>
    <mergeCell ref="B44:L44"/>
    <mergeCell ref="H39:I39"/>
    <mergeCell ref="J46:N46"/>
    <mergeCell ref="J53:N53"/>
    <mergeCell ref="B53:B54"/>
    <mergeCell ref="B34:K34"/>
    <mergeCell ref="C40:G40"/>
    <mergeCell ref="C41:G41"/>
    <mergeCell ref="C39:G39"/>
    <mergeCell ref="B36:C36"/>
    <mergeCell ref="B35:J35"/>
  </mergeCells>
  <phoneticPr fontId="49" type="noConversion"/>
  <dataValidations xWindow="314" yWindow="867" count="4">
    <dataValidation allowBlank="1" showInputMessage="1" showErrorMessage="1" prompt="Geef aan of het om een capaciteitsuitbreiding gaat door het aantal capaciteitseenheden waarmee de infrastructuur van de zorgvorm uitgebreid wordt door de kostensoort in te vullen." sqref="H48 H55 H62" xr:uid="{746BFB27-3ADF-4308-A83C-1B56A2A8CE37}"/>
    <dataValidation allowBlank="1" showInputMessage="1" showErrorMessage="1" prompt="Geef aan of het om een capaciteitsvervanging gaat door het aantal capaciteitseenheden waarvoor de infrastructuur van de voorziening vervangen wordt door de kostensoort in te vullen." sqref="I62 I48:I49 I55:I56" xr:uid="{B8DCB4F9-7673-47E7-ACC9-60BF75CC1563}"/>
    <dataValidation type="decimal" allowBlank="1" showInputMessage="1" showErrorMessage="1" sqref="D24:E29 D23:E23" xr:uid="{73C34B4D-683C-4933-B930-1FCF3B4A9F5D}">
      <formula1>0</formula1>
      <formula2>1000000</formula2>
    </dataValidation>
    <dataValidation type="whole" allowBlank="1" showInputMessage="1" showErrorMessage="1" sqref="H23:I23" xr:uid="{5B91A4F7-8AD6-4169-8EC9-AF3310973E37}">
      <formula1>1900</formula1>
      <formula2>3000</formula2>
    </dataValidation>
  </dataValidations>
  <pageMargins left="0.7" right="0.7" top="0.75" bottom="0.75" header="0.3" footer="0.3"/>
  <pageSetup paperSize="9" orientation="portrait" r:id="rId1"/>
  <ignoredErrors>
    <ignoredError sqref="I41:I42"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68" r:id="rId4" name="Button 44">
              <controlPr defaultSize="0" print="0" autoFill="0" autoPict="0" macro="[0]!BTAOpenen">
                <anchor moveWithCells="1" sizeWithCells="1">
                  <from>
                    <xdr:col>10</xdr:col>
                    <xdr:colOff>1341120</xdr:colOff>
                    <xdr:row>2</xdr:row>
                    <xdr:rowOff>152400</xdr:rowOff>
                  </from>
                  <to>
                    <xdr:col>13</xdr:col>
                    <xdr:colOff>381000</xdr:colOff>
                    <xdr:row>4</xdr:row>
                    <xdr:rowOff>99060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14" yWindow="867" count="6">
        <x14:dataValidation type="list" allowBlank="1" showInputMessage="1" showErrorMessage="1" prompt="Geef aan welk BTW-stelsel voor de kostensoort van toepassing is." xr:uid="{2CF8333C-3E43-4EB1-BB26-F0313D5E4F15}">
          <x14:formula1>
            <xm:f>Bron!$B$27:$B$29</xm:f>
          </x14:formula1>
          <xm:sqref>D55:D58 F62:F65 F55:F58 F48:F51 D62:D65 D48:D51</xm:sqref>
        </x14:dataValidation>
        <x14:dataValidation type="list" allowBlank="1" showInputMessage="1" showErrorMessage="1" xr:uid="{B8A39463-A11B-4A8D-8220-C95EA1A16A9A}">
          <x14:formula1>
            <xm:f>Centrumsteden!$F$1:$F$320</xm:f>
          </x14:formula1>
          <xm:sqref>B36:C36</xm:sqref>
        </x14:dataValidation>
        <x14:dataValidation type="list" allowBlank="1" showInputMessage="1" showErrorMessage="1" prompt="Geef hier de zorgvorm in die deel uitmaakt van het project." xr:uid="{4C66E551-08D3-458C-A009-85E04181C250}">
          <x14:formula1>
            <xm:f>Bron!$E$2:$E$38</xm:f>
          </x14:formula1>
          <xm:sqref>L23:L25</xm:sqref>
        </x14:dataValidation>
        <x14:dataValidation type="list" allowBlank="1" showInputMessage="1" showErrorMessage="1" prompt="Geef hier de zorgvorm in die deel uitmaakt van het project." xr:uid="{42BA9DF2-9CF7-432B-92C6-D475A41FEFDF}">
          <x14:formula1>
            <xm:f>Bron!$E$2:$E$41</xm:f>
          </x14:formula1>
          <xm:sqref>C41:G42 C40:G40</xm:sqref>
        </x14:dataValidation>
        <x14:dataValidation type="list" allowBlank="1" showInputMessage="1" showErrorMessage="1" prompt="Geef hier de zorgvorm in die deel uitmaakt van het project." xr:uid="{585A4C19-D43E-4E98-92D6-7F4EA3FEAA41}">
          <x14:formula1>
            <xm:f>Bron!$E$2:$E$45</xm:f>
          </x14:formula1>
          <xm:sqref>J23:K29</xm:sqref>
        </x14:dataValidation>
        <x14:dataValidation type="list" allowBlank="1" showInputMessage="1" showErrorMessage="1" xr:uid="{36A53424-CD19-4AA6-98E2-2BF203159A10}">
          <x14:formula1>
            <xm:f>IF($C$40=Bron!$E$39,Bron!$A$7:$A$14,Bron!$A$7:$A$16)</xm:f>
          </x14:formula1>
          <xm:sqref>C62:C65 C48:C51 C55:C58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EA902-0F89-4B51-8CD7-0201F0905056}">
  <sheetPr codeName="Blad32"/>
  <dimension ref="A1:AC31"/>
  <sheetViews>
    <sheetView zoomScale="85" zoomScaleNormal="85" workbookViewId="0">
      <selection activeCell="C10" sqref="C10"/>
    </sheetView>
  </sheetViews>
  <sheetFormatPr defaultRowHeight="14.4" x14ac:dyDescent="0.3"/>
  <cols>
    <col min="1" max="1" width="2.33203125" style="168" bestFit="1" customWidth="1"/>
    <col min="2" max="2" width="13.33203125" style="168" bestFit="1" customWidth="1"/>
    <col min="3" max="3" width="33.5546875" style="168" bestFit="1" customWidth="1"/>
    <col min="4" max="4" width="11.33203125" style="168" bestFit="1" customWidth="1"/>
    <col min="5" max="5" width="17.44140625" style="168" bestFit="1" customWidth="1"/>
    <col min="6" max="7" width="17.44140625" style="168" hidden="1" customWidth="1"/>
    <col min="8" max="9" width="20.6640625" style="168" bestFit="1" customWidth="1"/>
    <col min="10" max="10" width="29" style="168" bestFit="1" customWidth="1"/>
    <col min="11" max="11" width="20.6640625" style="168" bestFit="1" customWidth="1"/>
    <col min="12" max="12" width="27.109375" style="168" hidden="1" customWidth="1"/>
    <col min="13" max="13" width="10.33203125" style="168" bestFit="1" customWidth="1"/>
    <col min="14" max="14" width="16.33203125" style="168" customWidth="1"/>
    <col min="15" max="16" width="8.88671875" style="168"/>
    <col min="17" max="18" width="8.88671875" style="168" customWidth="1"/>
    <col min="19" max="21" width="8.88671875" customWidth="1"/>
  </cols>
  <sheetData>
    <row r="1" spans="1:29" ht="54.6" customHeight="1" x14ac:dyDescent="0.3">
      <c r="A1" s="1137" t="s">
        <v>56</v>
      </c>
      <c r="B1" s="1137"/>
      <c r="C1" s="1137"/>
      <c r="D1" s="1137"/>
      <c r="E1" s="1137"/>
      <c r="F1" s="1137"/>
      <c r="G1" s="1137"/>
      <c r="H1" s="1137"/>
      <c r="I1" s="1137"/>
      <c r="J1" s="1137"/>
      <c r="K1" s="1137"/>
      <c r="L1" s="1137"/>
      <c r="M1" s="1137"/>
      <c r="N1" s="1137"/>
      <c r="O1" s="1137"/>
      <c r="P1" s="1137"/>
      <c r="Q1" s="1137"/>
      <c r="R1" s="1137"/>
      <c r="S1" s="1137"/>
      <c r="T1" s="1137"/>
      <c r="U1" s="1137"/>
    </row>
    <row r="2" spans="1:29" ht="6.6" customHeight="1" x14ac:dyDescent="0.3">
      <c r="S2" s="168"/>
      <c r="T2" s="168"/>
      <c r="U2" s="168"/>
      <c r="V2" s="168"/>
      <c r="W2" s="168"/>
      <c r="X2" s="168"/>
      <c r="Y2" s="168"/>
      <c r="Z2" s="168"/>
      <c r="AA2" s="168"/>
      <c r="AB2" s="168"/>
    </row>
    <row r="3" spans="1:29" ht="6.6" customHeight="1" x14ac:dyDescent="0.3">
      <c r="S3" s="168"/>
      <c r="T3" s="168"/>
      <c r="U3" s="168"/>
      <c r="V3" s="168"/>
      <c r="W3" s="168"/>
      <c r="X3" s="168"/>
      <c r="Y3" s="168"/>
      <c r="Z3" s="168"/>
      <c r="AA3" s="168"/>
      <c r="AB3" s="168"/>
    </row>
    <row r="4" spans="1:29" ht="14.4" customHeight="1" x14ac:dyDescent="0.3">
      <c r="A4" s="386"/>
      <c r="B4" s="1143" t="s">
        <v>27</v>
      </c>
      <c r="C4" s="1143"/>
      <c r="D4" s="1143"/>
      <c r="E4" s="1143"/>
      <c r="F4" s="1143"/>
      <c r="G4" s="1143"/>
      <c r="H4" s="1143"/>
      <c r="I4" s="1143"/>
      <c r="J4" s="1143"/>
      <c r="K4" s="1143"/>
      <c r="L4" s="1143"/>
      <c r="M4" s="1143"/>
      <c r="N4" s="1143"/>
      <c r="O4" s="1143"/>
      <c r="P4" s="1143"/>
      <c r="Q4" s="1143"/>
      <c r="R4" s="1143"/>
      <c r="S4" s="1143"/>
      <c r="T4" s="1143"/>
      <c r="U4" s="1143"/>
      <c r="V4" s="1143"/>
      <c r="W4" s="1143"/>
      <c r="X4" s="1143"/>
      <c r="Y4" s="1143"/>
      <c r="Z4" s="1143"/>
      <c r="AA4" s="1143"/>
      <c r="AB4" s="1143"/>
      <c r="AC4" s="1143"/>
    </row>
    <row r="5" spans="1:29" ht="9" customHeight="1" x14ac:dyDescent="0.3">
      <c r="B5" s="396"/>
      <c r="C5" s="396"/>
      <c r="D5" s="396"/>
    </row>
    <row r="6" spans="1:29" ht="31.95" customHeight="1" x14ac:dyDescent="0.3">
      <c r="A6" s="401" t="s">
        <v>19</v>
      </c>
      <c r="B6" s="1132" t="s">
        <v>41</v>
      </c>
      <c r="C6" s="1132"/>
      <c r="D6" s="1132"/>
      <c r="E6" s="1132"/>
      <c r="F6" s="1132"/>
      <c r="G6" s="1132"/>
      <c r="H6" s="1132"/>
      <c r="I6" s="1132"/>
      <c r="J6" s="1132"/>
      <c r="K6" s="1132"/>
      <c r="L6" s="1132"/>
      <c r="M6" s="1132"/>
      <c r="N6" s="438"/>
      <c r="O6" s="438"/>
      <c r="P6" s="438"/>
      <c r="Q6" s="438"/>
    </row>
    <row r="7" spans="1:29" ht="7.95" customHeight="1" x14ac:dyDescent="0.3">
      <c r="A7" s="395"/>
      <c r="B7" s="758"/>
      <c r="C7" s="758"/>
      <c r="D7" s="758"/>
      <c r="E7" s="758"/>
      <c r="F7" s="758"/>
      <c r="G7" s="758"/>
      <c r="H7" s="758"/>
      <c r="I7" s="758"/>
      <c r="J7" s="758"/>
      <c r="K7" s="758"/>
      <c r="L7" s="758"/>
      <c r="M7" s="438"/>
      <c r="N7" s="438"/>
      <c r="O7" s="438"/>
      <c r="P7" s="438"/>
      <c r="Q7" s="438"/>
    </row>
    <row r="8" spans="1:29" ht="14.4" customHeight="1" x14ac:dyDescent="0.3">
      <c r="B8" s="1138" t="s">
        <v>36</v>
      </c>
      <c r="C8" s="1135" t="str">
        <f>'Overzicht project'!C46</f>
        <v>Kies de zorgvorm</v>
      </c>
      <c r="D8" s="1136"/>
      <c r="E8" s="1136"/>
      <c r="F8" s="1136"/>
      <c r="G8" s="1136"/>
      <c r="H8" s="1136"/>
      <c r="I8" s="1164"/>
      <c r="J8" s="1130" t="s">
        <v>42</v>
      </c>
      <c r="K8" s="1131"/>
      <c r="L8" s="1131"/>
      <c r="M8" s="1131"/>
      <c r="N8" s="1131"/>
      <c r="P8"/>
      <c r="Q8"/>
      <c r="R8"/>
    </row>
    <row r="9" spans="1:29" ht="15" thickBot="1" x14ac:dyDescent="0.35">
      <c r="B9" s="1139"/>
      <c r="C9" s="387" t="s">
        <v>34</v>
      </c>
      <c r="D9" s="387" t="s">
        <v>43</v>
      </c>
      <c r="E9" s="513" t="s">
        <v>44</v>
      </c>
      <c r="F9" s="387" t="s">
        <v>43</v>
      </c>
      <c r="G9" s="513" t="s">
        <v>54</v>
      </c>
      <c r="H9" s="387" t="s">
        <v>47</v>
      </c>
      <c r="I9" s="399" t="s">
        <v>48</v>
      </c>
      <c r="J9" s="404"/>
      <c r="K9" s="405"/>
      <c r="L9" s="405"/>
      <c r="M9" s="405"/>
      <c r="N9" s="405"/>
      <c r="P9"/>
      <c r="Q9"/>
      <c r="R9"/>
    </row>
    <row r="10" spans="1:29" ht="14.4" customHeight="1" x14ac:dyDescent="0.3">
      <c r="B10" s="388" t="s">
        <v>49</v>
      </c>
      <c r="C10" s="794" t="str">
        <f>'Overzicht project'!C48</f>
        <v>Kies kostensoort</v>
      </c>
      <c r="D10" s="562">
        <f>'Overzicht project'!D48</f>
        <v>0.21</v>
      </c>
      <c r="E10" s="514">
        <f>'Overzicht project'!E48</f>
        <v>0</v>
      </c>
      <c r="F10" s="562">
        <f>'Overzicht project'!F48</f>
        <v>0.21</v>
      </c>
      <c r="G10" s="514">
        <f>'Overzicht project'!G48</f>
        <v>0</v>
      </c>
      <c r="H10" s="392">
        <f>'Overzicht project'!H48</f>
        <v>0</v>
      </c>
      <c r="I10" s="392">
        <f>'Overzicht project'!I48</f>
        <v>0</v>
      </c>
      <c r="J10" s="1130"/>
      <c r="K10" s="1131"/>
      <c r="L10" s="1131"/>
      <c r="M10" s="1131"/>
      <c r="N10" s="1131"/>
      <c r="O10" s="1131"/>
      <c r="P10"/>
      <c r="Q10"/>
      <c r="R10"/>
    </row>
    <row r="11" spans="1:29" ht="15" customHeight="1" x14ac:dyDescent="0.3">
      <c r="B11" s="388" t="s">
        <v>51</v>
      </c>
      <c r="C11" s="794" t="str">
        <f>'Overzicht project'!C49</f>
        <v>Kies kostensoort</v>
      </c>
      <c r="D11" s="562">
        <f>'Overzicht project'!D49</f>
        <v>0.21</v>
      </c>
      <c r="E11" s="514">
        <f>'Overzicht project'!E49</f>
        <v>0</v>
      </c>
      <c r="F11" s="562">
        <f>'Overzicht project'!F49</f>
        <v>0.21</v>
      </c>
      <c r="G11" s="514">
        <f>'Overzicht project'!G49</f>
        <v>0</v>
      </c>
      <c r="H11" s="392">
        <f>'Overzicht project'!H49</f>
        <v>0</v>
      </c>
      <c r="I11" s="392">
        <f>'Overzicht project'!I49</f>
        <v>0</v>
      </c>
      <c r="J11" s="1130"/>
      <c r="K11" s="1131"/>
      <c r="L11" s="1131"/>
      <c r="M11" s="1131"/>
      <c r="N11" s="1131"/>
      <c r="O11" s="1131"/>
      <c r="P11"/>
      <c r="Q11"/>
      <c r="R11"/>
    </row>
    <row r="12" spans="1:29" x14ac:dyDescent="0.3">
      <c r="B12" s="388" t="s">
        <v>52</v>
      </c>
      <c r="C12" s="794" t="str">
        <f>'Overzicht project'!C50</f>
        <v>Kies kostensoort</v>
      </c>
      <c r="D12" s="562">
        <f>'Overzicht project'!D50</f>
        <v>0.21</v>
      </c>
      <c r="E12" s="514">
        <f>'Overzicht project'!E50</f>
        <v>0</v>
      </c>
      <c r="F12" s="562">
        <f>'Overzicht project'!F50</f>
        <v>0.21</v>
      </c>
      <c r="G12" s="514">
        <f>'Overzicht project'!G50</f>
        <v>0</v>
      </c>
      <c r="H12" s="392">
        <f>'Overzicht project'!H50</f>
        <v>0</v>
      </c>
      <c r="I12" s="392">
        <f>'Overzicht project'!I50</f>
        <v>0</v>
      </c>
      <c r="J12" s="1130"/>
      <c r="K12" s="1131"/>
      <c r="L12" s="1131"/>
      <c r="M12" s="1131"/>
      <c r="N12" s="1131"/>
      <c r="O12" s="1131"/>
      <c r="P12"/>
      <c r="Q12"/>
      <c r="R12"/>
    </row>
    <row r="13" spans="1:29" ht="16.2" customHeight="1" x14ac:dyDescent="0.3">
      <c r="B13" s="388" t="s">
        <v>53</v>
      </c>
      <c r="C13" s="794" t="str">
        <f>'Overzicht project'!C51</f>
        <v>Kies kostensoort</v>
      </c>
      <c r="D13" s="562">
        <f>'Overzicht project'!D51</f>
        <v>0.21</v>
      </c>
      <c r="E13" s="514">
        <f>'Overzicht project'!E51</f>
        <v>0</v>
      </c>
      <c r="F13" s="562">
        <f>'Overzicht project'!F51</f>
        <v>0.21</v>
      </c>
      <c r="G13" s="514">
        <f>'Overzicht project'!G51</f>
        <v>0</v>
      </c>
      <c r="H13" s="392">
        <f>'Overzicht project'!H51</f>
        <v>0</v>
      </c>
      <c r="I13" s="392">
        <f>'Overzicht project'!I51</f>
        <v>0</v>
      </c>
      <c r="J13" s="1130"/>
      <c r="K13" s="1131"/>
      <c r="L13" s="1131"/>
      <c r="M13" s="1131"/>
      <c r="N13" s="1131"/>
      <c r="O13" s="1131"/>
      <c r="P13"/>
      <c r="Q13"/>
      <c r="R13"/>
    </row>
    <row r="15" spans="1:29" ht="14.4" customHeight="1" x14ac:dyDescent="0.3">
      <c r="B15" s="1128" t="s">
        <v>38</v>
      </c>
      <c r="C15" s="1135" t="str">
        <f>'Overzicht project'!C53</f>
        <v>Kies de zorgvorm</v>
      </c>
      <c r="D15" s="1136"/>
      <c r="E15" s="1136"/>
      <c r="F15" s="1136"/>
      <c r="G15" s="1136"/>
      <c r="H15" s="1136"/>
      <c r="I15" s="1164"/>
      <c r="J15" s="1130" t="s">
        <v>42</v>
      </c>
      <c r="K15" s="1131"/>
      <c r="L15" s="1131"/>
      <c r="M15" s="1131"/>
      <c r="N15" s="1131"/>
      <c r="P15"/>
      <c r="Q15"/>
      <c r="R15"/>
    </row>
    <row r="16" spans="1:29" ht="15" thickBot="1" x14ac:dyDescent="0.35">
      <c r="B16" s="1129"/>
      <c r="C16" s="387" t="s">
        <v>34</v>
      </c>
      <c r="D16" s="387" t="s">
        <v>43</v>
      </c>
      <c r="E16" s="513" t="s">
        <v>44</v>
      </c>
      <c r="F16" s="387" t="s">
        <v>43</v>
      </c>
      <c r="G16" s="513" t="s">
        <v>54</v>
      </c>
      <c r="H16" s="387" t="s">
        <v>47</v>
      </c>
      <c r="I16" s="399" t="s">
        <v>48</v>
      </c>
      <c r="P16"/>
      <c r="Q16"/>
      <c r="R16"/>
    </row>
    <row r="17" spans="2:18" ht="14.4" customHeight="1" x14ac:dyDescent="0.3">
      <c r="B17" s="388" t="s">
        <v>49</v>
      </c>
      <c r="C17" s="794" t="str">
        <f>'Overzicht project'!C55</f>
        <v>Kies kostensoort</v>
      </c>
      <c r="D17" s="562">
        <f>'Overzicht project'!D55</f>
        <v>0.21</v>
      </c>
      <c r="E17" s="514">
        <f>'Overzicht project'!E55</f>
        <v>0</v>
      </c>
      <c r="F17" s="562">
        <f>'Overzicht project'!F55</f>
        <v>0.21</v>
      </c>
      <c r="G17" s="514">
        <f>'Overzicht project'!G55</f>
        <v>0</v>
      </c>
      <c r="H17" s="392">
        <f>'Overzicht project'!H55</f>
        <v>0</v>
      </c>
      <c r="I17" s="392">
        <f>'Overzicht project'!I55</f>
        <v>0</v>
      </c>
      <c r="J17" s="1130"/>
      <c r="K17" s="1131"/>
      <c r="L17" s="1131"/>
      <c r="M17" s="1131"/>
      <c r="N17" s="1131"/>
      <c r="O17" s="1131"/>
      <c r="P17"/>
      <c r="Q17"/>
      <c r="R17"/>
    </row>
    <row r="18" spans="2:18" ht="15" customHeight="1" x14ac:dyDescent="0.3">
      <c r="B18" s="388" t="s">
        <v>51</v>
      </c>
      <c r="C18" s="794" t="str">
        <f>'Overzicht project'!C56</f>
        <v>Kies kostensoort</v>
      </c>
      <c r="D18" s="562">
        <f>'Overzicht project'!D56</f>
        <v>0.21</v>
      </c>
      <c r="E18" s="514">
        <f>'Overzicht project'!E56</f>
        <v>0</v>
      </c>
      <c r="F18" s="562">
        <f>'Overzicht project'!F56</f>
        <v>0.21</v>
      </c>
      <c r="G18" s="514">
        <f>'Overzicht project'!G56</f>
        <v>0</v>
      </c>
      <c r="H18" s="392">
        <f>'Overzicht project'!H56</f>
        <v>0</v>
      </c>
      <c r="I18" s="392">
        <f>'Overzicht project'!I56</f>
        <v>0</v>
      </c>
      <c r="J18" s="1130"/>
      <c r="K18" s="1131"/>
      <c r="L18" s="1131"/>
      <c r="M18" s="1131"/>
      <c r="N18" s="1131"/>
      <c r="O18" s="1131"/>
      <c r="P18"/>
      <c r="Q18"/>
      <c r="R18"/>
    </row>
    <row r="19" spans="2:18" x14ac:dyDescent="0.3">
      <c r="B19" s="388" t="s">
        <v>52</v>
      </c>
      <c r="C19" s="794" t="str">
        <f>'Overzicht project'!C57</f>
        <v>Kies kostensoort</v>
      </c>
      <c r="D19" s="562">
        <f>'Overzicht project'!D57</f>
        <v>0.21</v>
      </c>
      <c r="E19" s="514">
        <f>'Overzicht project'!E57</f>
        <v>0</v>
      </c>
      <c r="F19" s="562">
        <f>'Overzicht project'!F57</f>
        <v>0.21</v>
      </c>
      <c r="G19" s="514">
        <f>'Overzicht project'!G57</f>
        <v>0</v>
      </c>
      <c r="H19" s="392">
        <f>'Overzicht project'!H57</f>
        <v>0</v>
      </c>
      <c r="I19" s="392">
        <f>'Overzicht project'!I57</f>
        <v>0</v>
      </c>
      <c r="J19" s="1130"/>
      <c r="K19" s="1131"/>
      <c r="L19" s="1131"/>
      <c r="M19" s="1131"/>
      <c r="N19" s="1131"/>
      <c r="O19" s="1131"/>
      <c r="P19"/>
      <c r="Q19"/>
      <c r="R19"/>
    </row>
    <row r="20" spans="2:18" ht="14.4" customHeight="1" x14ac:dyDescent="0.3">
      <c r="B20" s="388" t="s">
        <v>53</v>
      </c>
      <c r="C20" s="794" t="str">
        <f>'Overzicht project'!C58</f>
        <v>Kies kostensoort</v>
      </c>
      <c r="D20" s="562">
        <f>'Overzicht project'!D58</f>
        <v>0.21</v>
      </c>
      <c r="E20" s="514">
        <f>'Overzicht project'!E58</f>
        <v>0</v>
      </c>
      <c r="F20" s="562">
        <f>'Overzicht project'!F58</f>
        <v>0.21</v>
      </c>
      <c r="G20" s="514">
        <f>'Overzicht project'!G58</f>
        <v>0</v>
      </c>
      <c r="H20" s="392">
        <f>'Overzicht project'!H58</f>
        <v>0</v>
      </c>
      <c r="I20" s="392">
        <f>'Overzicht project'!I58</f>
        <v>0</v>
      </c>
      <c r="J20" s="1130"/>
      <c r="K20" s="1131"/>
      <c r="L20" s="1131"/>
      <c r="M20" s="1131"/>
      <c r="N20" s="1131"/>
      <c r="O20" s="1131"/>
      <c r="P20"/>
      <c r="Q20"/>
      <c r="R20"/>
    </row>
    <row r="22" spans="2:18" ht="14.4" customHeight="1" x14ac:dyDescent="0.3">
      <c r="B22" s="1128" t="s">
        <v>39</v>
      </c>
      <c r="C22" s="1135" t="str">
        <f>'Overzicht project'!C60</f>
        <v>Kies de zorgvorm</v>
      </c>
      <c r="D22" s="1136"/>
      <c r="E22" s="1136"/>
      <c r="F22" s="1136"/>
      <c r="G22" s="1136"/>
      <c r="H22" s="1136"/>
      <c r="I22" s="1164"/>
      <c r="J22" s="1130" t="s">
        <v>42</v>
      </c>
      <c r="K22" s="1131"/>
      <c r="L22" s="1131"/>
      <c r="M22" s="1131"/>
      <c r="N22" s="1131"/>
      <c r="P22"/>
      <c r="Q22"/>
      <c r="R22"/>
    </row>
    <row r="23" spans="2:18" ht="15" thickBot="1" x14ac:dyDescent="0.35">
      <c r="B23" s="1129"/>
      <c r="C23" s="387" t="s">
        <v>34</v>
      </c>
      <c r="D23" s="387" t="s">
        <v>43</v>
      </c>
      <c r="E23" s="513" t="s">
        <v>44</v>
      </c>
      <c r="F23" s="387" t="s">
        <v>43</v>
      </c>
      <c r="G23" s="513" t="s">
        <v>54</v>
      </c>
      <c r="H23" s="387" t="s">
        <v>47</v>
      </c>
      <c r="I23" s="399" t="s">
        <v>48</v>
      </c>
      <c r="P23"/>
      <c r="Q23"/>
      <c r="R23"/>
    </row>
    <row r="24" spans="2:18" ht="14.4" customHeight="1" x14ac:dyDescent="0.3">
      <c r="B24" s="388" t="s">
        <v>49</v>
      </c>
      <c r="C24" s="794" t="str">
        <f>'Overzicht project'!C62</f>
        <v>Kies kostensoort</v>
      </c>
      <c r="D24" s="562">
        <f>'Overzicht project'!D62</f>
        <v>0.21</v>
      </c>
      <c r="E24" s="514">
        <f>'Overzicht project'!E62</f>
        <v>0</v>
      </c>
      <c r="F24" s="562">
        <f>'Overzicht project'!F62</f>
        <v>0.21</v>
      </c>
      <c r="G24" s="514">
        <f>'Overzicht project'!G62</f>
        <v>0</v>
      </c>
      <c r="H24" s="392">
        <f>'Overzicht project'!H62</f>
        <v>0</v>
      </c>
      <c r="I24" s="392">
        <f>'Overzicht project'!I62</f>
        <v>0</v>
      </c>
      <c r="J24" s="1130"/>
      <c r="K24" s="1131"/>
      <c r="L24" s="1131"/>
      <c r="M24" s="1131"/>
      <c r="N24" s="1131"/>
      <c r="O24" s="1131"/>
      <c r="P24"/>
      <c r="Q24"/>
      <c r="R24"/>
    </row>
    <row r="25" spans="2:18" ht="13.95" customHeight="1" x14ac:dyDescent="0.3">
      <c r="B25" s="388" t="s">
        <v>51</v>
      </c>
      <c r="C25" s="794" t="str">
        <f>'Overzicht project'!C63</f>
        <v>Kies kostensoort</v>
      </c>
      <c r="D25" s="562">
        <f>'Overzicht project'!D63</f>
        <v>0.21</v>
      </c>
      <c r="E25" s="514">
        <f>'Overzicht project'!E63</f>
        <v>0</v>
      </c>
      <c r="F25" s="562">
        <f>'Overzicht project'!F63</f>
        <v>0.21</v>
      </c>
      <c r="G25" s="514">
        <f>'Overzicht project'!G63</f>
        <v>0</v>
      </c>
      <c r="H25" s="392">
        <f>'Overzicht project'!H63</f>
        <v>0</v>
      </c>
      <c r="I25" s="392">
        <f>'Overzicht project'!I63</f>
        <v>0</v>
      </c>
      <c r="J25" s="1130"/>
      <c r="K25" s="1131"/>
      <c r="L25" s="1131"/>
      <c r="M25" s="1131"/>
      <c r="N25" s="1131"/>
      <c r="O25" s="1131"/>
      <c r="P25"/>
      <c r="Q25"/>
      <c r="R25"/>
    </row>
    <row r="26" spans="2:18" x14ac:dyDescent="0.3">
      <c r="B26" s="388" t="s">
        <v>52</v>
      </c>
      <c r="C26" s="794" t="str">
        <f>'Overzicht project'!C64</f>
        <v>Kies kostensoort</v>
      </c>
      <c r="D26" s="562">
        <f>'Overzicht project'!D64</f>
        <v>0.21</v>
      </c>
      <c r="E26" s="514">
        <f>'Overzicht project'!E64</f>
        <v>0</v>
      </c>
      <c r="F26" s="562">
        <f>'Overzicht project'!F64</f>
        <v>0.21</v>
      </c>
      <c r="G26" s="514">
        <f>'Overzicht project'!G64</f>
        <v>0</v>
      </c>
      <c r="H26" s="392">
        <f>'Overzicht project'!H64</f>
        <v>0</v>
      </c>
      <c r="I26" s="392">
        <f>'Overzicht project'!I64</f>
        <v>0</v>
      </c>
      <c r="J26" s="1130"/>
      <c r="K26" s="1131"/>
      <c r="L26" s="1131"/>
      <c r="M26" s="1131"/>
      <c r="N26" s="1131"/>
      <c r="O26" s="1131"/>
      <c r="P26"/>
      <c r="Q26"/>
      <c r="R26"/>
    </row>
    <row r="27" spans="2:18" ht="14.4" customHeight="1" x14ac:dyDescent="0.3">
      <c r="B27" s="388" t="s">
        <v>53</v>
      </c>
      <c r="C27" s="794" t="str">
        <f>'Overzicht project'!C65</f>
        <v>Kies kostensoort</v>
      </c>
      <c r="D27" s="562">
        <f>'Overzicht project'!D65</f>
        <v>0.21</v>
      </c>
      <c r="E27" s="514">
        <f>'Overzicht project'!E65</f>
        <v>0</v>
      </c>
      <c r="F27" s="562">
        <f>'Overzicht project'!F65</f>
        <v>0.21</v>
      </c>
      <c r="G27" s="514">
        <f>'Overzicht project'!G65</f>
        <v>0</v>
      </c>
      <c r="H27" s="392">
        <f>'Overzicht project'!H65</f>
        <v>0</v>
      </c>
      <c r="I27" s="392">
        <f>'Overzicht project'!I65</f>
        <v>0</v>
      </c>
      <c r="J27" s="1130"/>
      <c r="K27" s="1131"/>
      <c r="L27" s="1131"/>
      <c r="M27" s="1131"/>
      <c r="N27" s="1131"/>
      <c r="O27" s="1131"/>
      <c r="P27"/>
      <c r="Q27"/>
      <c r="R27"/>
    </row>
    <row r="28" spans="2:18" x14ac:dyDescent="0.3">
      <c r="C28" s="1134" t="s">
        <v>55</v>
      </c>
      <c r="D28" s="1134"/>
      <c r="E28" s="455">
        <f>ROUND(SUM(E24:E27,E17:E20,E10:E13),2)</f>
        <v>0</v>
      </c>
      <c r="F28" s="455"/>
      <c r="G28" s="455"/>
    </row>
    <row r="30" spans="2:18" x14ac:dyDescent="0.3">
      <c r="E30" s="1131" t="s">
        <v>1455</v>
      </c>
      <c r="F30" s="1131"/>
      <c r="G30" s="1131"/>
      <c r="H30" s="1131"/>
      <c r="I30" s="1131"/>
    </row>
    <row r="31" spans="2:18" x14ac:dyDescent="0.3">
      <c r="E31" s="1131"/>
      <c r="F31" s="1131"/>
      <c r="G31" s="1131"/>
      <c r="H31" s="1131"/>
      <c r="I31" s="1131"/>
    </row>
  </sheetData>
  <protectedRanges>
    <protectedRange sqref="C17:I20 C24:I27 C10:I13" name="Bereik1"/>
  </protectedRanges>
  <mergeCells count="17">
    <mergeCell ref="A1:U1"/>
    <mergeCell ref="B4:AC4"/>
    <mergeCell ref="B6:M6"/>
    <mergeCell ref="B8:B9"/>
    <mergeCell ref="J8:N8"/>
    <mergeCell ref="C8:I8"/>
    <mergeCell ref="E30:I31"/>
    <mergeCell ref="J10:O13"/>
    <mergeCell ref="J24:O27"/>
    <mergeCell ref="C28:D28"/>
    <mergeCell ref="B15:B16"/>
    <mergeCell ref="J15:N15"/>
    <mergeCell ref="J17:O20"/>
    <mergeCell ref="B22:B23"/>
    <mergeCell ref="J22:N22"/>
    <mergeCell ref="C15:I15"/>
    <mergeCell ref="C22:I22"/>
  </mergeCells>
  <phoneticPr fontId="49"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2529" r:id="rId4" name="Button 17">
              <controlPr defaultSize="0" print="0" autoFill="0" autoPict="0" macro="[0]!BTAOpenen">
                <anchor moveWithCells="1" sizeWithCells="1">
                  <from>
                    <xdr:col>10</xdr:col>
                    <xdr:colOff>1173480</xdr:colOff>
                    <xdr:row>4</xdr:row>
                    <xdr:rowOff>60960</xdr:rowOff>
                  </from>
                  <to>
                    <xdr:col>15</xdr:col>
                    <xdr:colOff>342900</xdr:colOff>
                    <xdr:row>6</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errorStyle="warning" allowBlank="1" showInputMessage="1" showErrorMessage="1" prompt="Geef hier het BTW-tarief dat van toepassing is voor het project en de bijhorende kostensoort." xr:uid="{5A34DC82-D91D-46D2-B81D-03B84EDFAFC0}">
          <x14:formula1>
            <xm:f>Bron!$B$27:$B$29</xm:f>
          </x14:formula1>
          <xm:sqref>D10:D13 F24:F27 F17:F20 F10:F13 D24:D27 D17:D20</xm:sqref>
        </x14:dataValidation>
        <x14:dataValidation type="list" allowBlank="1" showInputMessage="1" showErrorMessage="1" prompt="Geef hier de kostensoort in die van toepassing is voor het project en de bijhorende zorgvorm." xr:uid="{074117A2-5F2A-49ED-9FE6-5AC239FE8132}">
          <x14:formula1>
            <xm:f>Bron!$A$7:$A$16</xm:f>
          </x14:formula1>
          <xm:sqref>H10:I13 H17:I20 H24:I27</xm:sqref>
        </x14:dataValidation>
        <x14:dataValidation type="list" allowBlank="1" showErrorMessage="1" xr:uid="{0D4F8F8E-8A83-4C3F-B423-0A37B659B684}">
          <x14:formula1>
            <xm:f>Bron!$A$7:$A$16</xm:f>
          </x14:formula1>
          <xm:sqref>C17:C20 C24:C27 C10:C13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42D51-7D5C-4D3C-B02F-637BA8119317}">
  <sheetPr codeName="Blad2"/>
  <dimension ref="A1:V716"/>
  <sheetViews>
    <sheetView showGridLines="0" zoomScaleNormal="100" workbookViewId="0">
      <selection activeCell="C30" sqref="C30"/>
    </sheetView>
  </sheetViews>
  <sheetFormatPr defaultRowHeight="14.4" outlineLevelCol="1" x14ac:dyDescent="0.3"/>
  <cols>
    <col min="1" max="1" width="2.5546875" style="106" customWidth="1"/>
    <col min="2" max="2" width="30.33203125" customWidth="1"/>
    <col min="3" max="3" width="16.109375" bestFit="1" customWidth="1"/>
    <col min="4" max="4" width="12.6640625" customWidth="1"/>
    <col min="5" max="5" width="19.44140625" customWidth="1"/>
    <col min="6" max="6" width="20.6640625" customWidth="1"/>
    <col min="7" max="7" width="1.33203125" customWidth="1"/>
    <col min="8" max="8" width="24.5546875" hidden="1" customWidth="1" outlineLevel="1"/>
    <col min="9" max="9" width="10.88671875" hidden="1" customWidth="1" outlineLevel="1"/>
    <col min="10" max="10" width="13.33203125" hidden="1" customWidth="1" outlineLevel="1"/>
    <col min="11" max="11" width="19.33203125" hidden="1" customWidth="1" outlineLevel="1"/>
    <col min="12" max="12" width="19.5546875" hidden="1" customWidth="1" outlineLevel="1"/>
    <col min="13" max="13" width="1.33203125" style="289" customWidth="1" collapsed="1"/>
    <col min="14" max="14" width="24.5546875" hidden="1" customWidth="1" outlineLevel="1"/>
    <col min="15" max="15" width="11.33203125" hidden="1" customWidth="1" outlineLevel="1"/>
    <col min="16" max="16" width="11.88671875" hidden="1" customWidth="1" outlineLevel="1"/>
    <col min="17" max="17" width="20.33203125" hidden="1" customWidth="1" outlineLevel="1"/>
    <col min="18" max="18" width="20.6640625" hidden="1" customWidth="1" outlineLevel="1"/>
    <col min="19" max="19" width="8.88671875" customWidth="1" collapsed="1"/>
    <col min="20" max="20" width="8.88671875" customWidth="1"/>
    <col min="22" max="22" width="8.88671875" hidden="1" customWidth="1"/>
  </cols>
  <sheetData>
    <row r="1" spans="1:20" ht="31.95" customHeight="1" x14ac:dyDescent="0.3">
      <c r="C1" s="191"/>
      <c r="F1" s="192"/>
      <c r="H1" s="191"/>
      <c r="R1" s="192"/>
    </row>
    <row r="2" spans="1:20" ht="15.6" customHeight="1" x14ac:dyDescent="0.3">
      <c r="A2" s="183">
        <v>1</v>
      </c>
      <c r="B2" s="183" t="s">
        <v>57</v>
      </c>
      <c r="C2" s="1171" t="s">
        <v>36</v>
      </c>
      <c r="D2" s="1172"/>
      <c r="E2" s="1172"/>
      <c r="F2" s="1181"/>
      <c r="H2" s="1171" t="s">
        <v>38</v>
      </c>
      <c r="I2" s="1172"/>
      <c r="J2" s="1172"/>
      <c r="K2" s="1172"/>
      <c r="L2" s="1181"/>
      <c r="N2" s="1171" t="s">
        <v>39</v>
      </c>
      <c r="O2" s="1172"/>
      <c r="P2" s="1172"/>
      <c r="Q2" s="1172"/>
      <c r="R2" s="1181"/>
    </row>
    <row r="3" spans="1:20" x14ac:dyDescent="0.3">
      <c r="B3" s="155" t="s">
        <v>58</v>
      </c>
      <c r="C3" s="1182" t="str">
        <f>'Overzicht project'!C40</f>
        <v>Kies de zorgvorm</v>
      </c>
      <c r="D3" s="1183"/>
      <c r="E3" s="1183"/>
      <c r="F3" s="1184"/>
      <c r="G3" s="180"/>
      <c r="H3" s="1182" t="str">
        <f>'Overzicht project'!C41</f>
        <v>Kies de zorgvorm</v>
      </c>
      <c r="I3" s="1183"/>
      <c r="J3" s="1183"/>
      <c r="K3" s="1183"/>
      <c r="L3" s="1184"/>
      <c r="M3" s="290"/>
      <c r="N3" s="1182" t="str">
        <f>'Overzicht project'!C42</f>
        <v>Kies de zorgvorm</v>
      </c>
      <c r="O3" s="1183"/>
      <c r="P3" s="1183"/>
      <c r="Q3" s="1183"/>
      <c r="R3" s="1184"/>
    </row>
    <row r="4" spans="1:20" x14ac:dyDescent="0.3">
      <c r="B4" s="155" t="s">
        <v>59</v>
      </c>
      <c r="C4" s="1173" t="e">
        <f>HYPERLINK(VLOOKUP(C3,'Capaciteiten &amp; forfaits'!$B$4:$J$76,9,FALSE))</f>
        <v>#N/A</v>
      </c>
      <c r="D4" s="1174"/>
      <c r="E4" s="1174"/>
      <c r="F4" s="1175"/>
      <c r="G4" s="180"/>
      <c r="H4" s="1173" t="e">
        <f>HYPERLINK(VLOOKUP(H3,'Capaciteiten &amp; forfaits'!$B$4:$J$76,9,FALSE))</f>
        <v>#N/A</v>
      </c>
      <c r="I4" s="1176"/>
      <c r="J4" s="1176"/>
      <c r="K4" s="1176"/>
      <c r="L4" s="1177"/>
      <c r="M4" s="290"/>
      <c r="N4" s="1173" t="e">
        <f>HYPERLINK(VLOOKUP(N3,'Capaciteiten &amp; forfaits'!$B$4:$J$76,9,FALSE))</f>
        <v>#N/A</v>
      </c>
      <c r="O4" s="1176"/>
      <c r="P4" s="1176"/>
      <c r="Q4" s="1176"/>
      <c r="R4" s="1177"/>
    </row>
    <row r="5" spans="1:20" ht="7.2" customHeight="1" thickBot="1" x14ac:dyDescent="0.35">
      <c r="A5" s="199"/>
      <c r="B5" s="285"/>
      <c r="C5" s="195"/>
      <c r="D5" s="190"/>
      <c r="E5" s="190"/>
      <c r="F5" s="196"/>
      <c r="H5" s="195"/>
      <c r="I5" s="190"/>
      <c r="J5" s="190"/>
      <c r="K5" s="190"/>
      <c r="L5" s="190"/>
      <c r="N5" s="190"/>
      <c r="O5" s="190"/>
      <c r="P5" s="190"/>
      <c r="Q5" s="190"/>
      <c r="R5" s="196"/>
    </row>
    <row r="6" spans="1:20" x14ac:dyDescent="0.3">
      <c r="A6" s="183">
        <v>2</v>
      </c>
      <c r="B6" s="185" t="s">
        <v>60</v>
      </c>
      <c r="C6" s="278" t="s">
        <v>61</v>
      </c>
      <c r="D6" s="279" t="s">
        <v>62</v>
      </c>
      <c r="E6" s="280" t="s">
        <v>47</v>
      </c>
      <c r="F6" s="403" t="s">
        <v>48</v>
      </c>
      <c r="H6" s="284" t="s">
        <v>60</v>
      </c>
      <c r="I6" s="283" t="s">
        <v>61</v>
      </c>
      <c r="J6" s="279" t="s">
        <v>62</v>
      </c>
      <c r="K6" s="280" t="s">
        <v>47</v>
      </c>
      <c r="L6" s="281" t="s">
        <v>48</v>
      </c>
      <c r="N6" s="185" t="s">
        <v>60</v>
      </c>
      <c r="O6" s="540" t="s">
        <v>61</v>
      </c>
      <c r="P6" s="541" t="s">
        <v>63</v>
      </c>
      <c r="Q6" s="280" t="s">
        <v>47</v>
      </c>
      <c r="R6" s="281" t="s">
        <v>48</v>
      </c>
    </row>
    <row r="7" spans="1:20" x14ac:dyDescent="0.3">
      <c r="B7" s="406" t="str">
        <f>VLOOKUP('Overzicht project'!$C48,Bron!$A$7:$B$16,2,FALSE)</f>
        <v>Kies kostensoort</v>
      </c>
      <c r="C7" s="793">
        <f>IF(OR(B7=Bron!$B$9,B7=Bron!$B$14),'Overzicht project'!E48+'Overzicht project'!G48,'Overzicht project'!E48)</f>
        <v>0</v>
      </c>
      <c r="D7" s="805">
        <v>0</v>
      </c>
      <c r="E7" s="618">
        <f>'Overzicht project'!H48</f>
        <v>0</v>
      </c>
      <c r="F7" s="408">
        <f>'Overzicht project'!I48</f>
        <v>0</v>
      </c>
      <c r="G7" s="287"/>
      <c r="H7" s="414" t="str">
        <f>VLOOKUP('Overzicht project'!$C55,Bron!$A$7:$B$16,2,FALSE)</f>
        <v>Kies kostensoort</v>
      </c>
      <c r="I7" s="807">
        <f>IF(OR(H7=Bron!$B$9,H7=Bron!$B$14),'Overzicht project'!E55,'Overzicht project'!E55)</f>
        <v>0</v>
      </c>
      <c r="J7" s="805">
        <v>0</v>
      </c>
      <c r="K7" s="407">
        <f>'Overzicht project'!$H55</f>
        <v>0</v>
      </c>
      <c r="L7" s="408">
        <f>'Overzicht project'!$I55</f>
        <v>0</v>
      </c>
      <c r="M7" s="291"/>
      <c r="N7" s="414" t="str">
        <f>VLOOKUP('Overzicht project'!$C62,Bron!$A$7:$B$16,2,FALSE)</f>
        <v>Kies kostensoort</v>
      </c>
      <c r="O7" s="807">
        <f>IF(OR(B7=Bron!$B$9,B7=Bron!$B$14),'Overzicht project'!$E62,'Overzicht project'!$E62)</f>
        <v>0</v>
      </c>
      <c r="P7" s="805">
        <v>0</v>
      </c>
      <c r="Q7" s="407">
        <f>'Overzicht project'!$H62</f>
        <v>0</v>
      </c>
      <c r="R7" s="408">
        <f>'Overzicht project'!$I62</f>
        <v>0</v>
      </c>
    </row>
    <row r="8" spans="1:20" hidden="1" x14ac:dyDescent="0.3">
      <c r="B8" s="406" t="str">
        <f>VLOOKUP('Overzicht project'!$C49,Bron!$A$7:$B$16,2,FALSE)</f>
        <v>Kies kostensoort</v>
      </c>
      <c r="C8" s="793">
        <f>IF(OR(B8=Bron!$B$9,B8=Bron!$B$14),'Overzicht project'!E49,'Overzicht project'!E49)</f>
        <v>0</v>
      </c>
      <c r="D8" s="805">
        <v>0</v>
      </c>
      <c r="E8" s="408">
        <f>'Overzicht project'!$H49</f>
        <v>0</v>
      </c>
      <c r="F8" s="408">
        <f>'Overzicht project'!$I49</f>
        <v>0</v>
      </c>
      <c r="G8" s="288"/>
      <c r="H8" s="414" t="str">
        <f>VLOOKUP('Overzicht project'!$C56,Bron!$A$7:$B$16,2,FALSE)</f>
        <v>Kies kostensoort</v>
      </c>
      <c r="I8" s="807">
        <f>IF(OR(H8=Bron!$B$9,H8=Bron!$B$14),'Overzicht project'!E56,'Overzicht project'!E56)</f>
        <v>0</v>
      </c>
      <c r="J8" s="805">
        <v>0</v>
      </c>
      <c r="K8" s="407">
        <f>'Overzicht project'!$H56</f>
        <v>0</v>
      </c>
      <c r="L8" s="408">
        <f>'Overzicht project'!$I56</f>
        <v>0</v>
      </c>
      <c r="M8" s="292"/>
      <c r="N8" s="414" t="str">
        <f>VLOOKUP('Overzicht project'!$C63,Bron!$A$7:$B$16,2,FALSE)</f>
        <v>Kies kostensoort</v>
      </c>
      <c r="O8" s="807">
        <f>IF(OR(B8=Bron!$B$9,B8=Bron!$B$14),'Overzicht project'!$E63,'Overzicht project'!$E63)</f>
        <v>0</v>
      </c>
      <c r="P8" s="805">
        <v>0</v>
      </c>
      <c r="Q8" s="407">
        <f>'Overzicht project'!$H63</f>
        <v>0</v>
      </c>
      <c r="R8" s="408">
        <f>'Overzicht project'!$I63</f>
        <v>0</v>
      </c>
    </row>
    <row r="9" spans="1:20" hidden="1" x14ac:dyDescent="0.3">
      <c r="B9" s="406" t="str">
        <f>VLOOKUP('Overzicht project'!$C50,Bron!$A$7:$B$16,2,FALSE)</f>
        <v>Kies kostensoort</v>
      </c>
      <c r="C9" s="793">
        <f>IF(OR(B9=Bron!$B$9,B9=Bron!$B$14),'Overzicht project'!E50,'Overzicht project'!E50)</f>
        <v>0</v>
      </c>
      <c r="D9" s="805">
        <v>0</v>
      </c>
      <c r="E9" s="407">
        <f>'Overzicht project'!$H50</f>
        <v>0</v>
      </c>
      <c r="F9" s="408">
        <f>'Overzicht project'!$I50</f>
        <v>0</v>
      </c>
      <c r="G9" s="288"/>
      <c r="H9" s="414" t="str">
        <f>VLOOKUP('Overzicht project'!$C57,Bron!$A$7:$B$16,2,FALSE)</f>
        <v>Kies kostensoort</v>
      </c>
      <c r="I9" s="807">
        <f>IF(OR(H9=Bron!$B$9,H9=Bron!$B$14),'Overzicht project'!E57,'Overzicht project'!E57)</f>
        <v>0</v>
      </c>
      <c r="J9" s="805">
        <v>0</v>
      </c>
      <c r="K9" s="407">
        <f>'Overzicht project'!$H57</f>
        <v>0</v>
      </c>
      <c r="L9" s="408">
        <f>'Overzicht project'!$I57</f>
        <v>0</v>
      </c>
      <c r="M9" s="292"/>
      <c r="N9" s="414" t="str">
        <f>VLOOKUP('Overzicht project'!$C64,Bron!$A$7:$B$16,2,FALSE)</f>
        <v>Kies kostensoort</v>
      </c>
      <c r="O9" s="807">
        <f>IF(OR(B9=Bron!$B$9,B9=Bron!$B$14),'Overzicht project'!$E64,'Overzicht project'!$E64)</f>
        <v>0</v>
      </c>
      <c r="P9" s="805">
        <v>0</v>
      </c>
      <c r="Q9" s="407">
        <f>'Overzicht project'!$H64</f>
        <v>0</v>
      </c>
      <c r="R9" s="408">
        <f>'Overzicht project'!$I64</f>
        <v>0</v>
      </c>
      <c r="T9" s="811">
        <f>SUM(P7:P10,J7:J10,D7:D10)</f>
        <v>0</v>
      </c>
    </row>
    <row r="10" spans="1:20" hidden="1" x14ac:dyDescent="0.3">
      <c r="B10" s="406" t="str">
        <f>VLOOKUP('Overzicht project'!$C51,Bron!$A$7:$B$16,2,FALSE)</f>
        <v>Kies kostensoort</v>
      </c>
      <c r="C10" s="793">
        <f>IF(OR(B10=Bron!$B$9,B10=Bron!$B$14),'Overzicht project'!E51,'Overzicht project'!E51)</f>
        <v>0</v>
      </c>
      <c r="D10" s="805">
        <v>0</v>
      </c>
      <c r="E10" s="407">
        <f>'Overzicht project'!$H51</f>
        <v>0</v>
      </c>
      <c r="F10" s="408">
        <f>'Overzicht project'!$I51</f>
        <v>0</v>
      </c>
      <c r="G10" s="288"/>
      <c r="H10" s="414" t="str">
        <f>VLOOKUP('Overzicht project'!$C58,Bron!$A$7:$B$16,2,FALSE)</f>
        <v>Kies kostensoort</v>
      </c>
      <c r="I10" s="807">
        <f>IF(OR(H10=Bron!$B$9,H10=Bron!$B$14),'Overzicht project'!E58,'Overzicht project'!E58)</f>
        <v>0</v>
      </c>
      <c r="J10" s="805">
        <v>0</v>
      </c>
      <c r="K10" s="407">
        <f>'Overzicht project'!$H58</f>
        <v>0</v>
      </c>
      <c r="L10" s="408">
        <f>'Overzicht project'!$I58</f>
        <v>0</v>
      </c>
      <c r="M10" s="292"/>
      <c r="N10" s="414" t="str">
        <f>VLOOKUP('Overzicht project'!$C65,Bron!$A$7:$B$16,2,FALSE)</f>
        <v>Kies kostensoort</v>
      </c>
      <c r="O10" s="807">
        <f>IF(OR(B10=Bron!$B$9,B10=Bron!$B$14),'Overzicht project'!$E65,'Overzicht project'!$E65)</f>
        <v>0</v>
      </c>
      <c r="P10" s="805">
        <v>0</v>
      </c>
      <c r="Q10" s="407">
        <f>'Overzicht project'!$H65</f>
        <v>0</v>
      </c>
      <c r="R10" s="408">
        <f>'Overzicht project'!$I65</f>
        <v>0</v>
      </c>
    </row>
    <row r="11" spans="1:20" ht="7.2" customHeight="1" thickBot="1" x14ac:dyDescent="0.35">
      <c r="A11" s="199"/>
      <c r="B11" s="190"/>
      <c r="C11" s="195"/>
      <c r="D11" s="190"/>
      <c r="E11" s="190"/>
      <c r="F11" s="196"/>
      <c r="H11" s="195"/>
      <c r="I11" s="190"/>
      <c r="J11" s="190"/>
      <c r="K11" s="190"/>
      <c r="L11" s="190"/>
      <c r="N11" s="190"/>
      <c r="O11" s="190"/>
      <c r="P11" s="190"/>
      <c r="Q11" s="190"/>
      <c r="R11" s="196"/>
    </row>
    <row r="12" spans="1:20" x14ac:dyDescent="0.3">
      <c r="A12" s="183">
        <v>3</v>
      </c>
      <c r="B12" s="185" t="s">
        <v>64</v>
      </c>
      <c r="C12" s="282" t="s">
        <v>65</v>
      </c>
      <c r="D12" s="827" t="s">
        <v>66</v>
      </c>
      <c r="E12" s="366" t="s">
        <v>67</v>
      </c>
      <c r="F12" s="403" t="s">
        <v>68</v>
      </c>
      <c r="H12" s="284" t="s">
        <v>60</v>
      </c>
      <c r="I12" s="366" t="s">
        <v>65</v>
      </c>
      <c r="J12" s="283" t="s">
        <v>66</v>
      </c>
      <c r="K12" s="366" t="s">
        <v>67</v>
      </c>
      <c r="L12" s="283" t="s">
        <v>68</v>
      </c>
      <c r="M12" s="289" t="s">
        <v>69</v>
      </c>
      <c r="N12" s="183"/>
      <c r="O12" s="194" t="s">
        <v>65</v>
      </c>
      <c r="P12" s="540" t="s">
        <v>66</v>
      </c>
      <c r="Q12" s="194" t="s">
        <v>65</v>
      </c>
      <c r="R12" s="540" t="s">
        <v>66</v>
      </c>
    </row>
    <row r="13" spans="1:20" x14ac:dyDescent="0.3">
      <c r="B13" s="155" t="s">
        <v>70</v>
      </c>
      <c r="C13" s="499">
        <f>IF(B13=B7,'Overzicht project'!$D$48,IF($B$13=$B$8,'Overzicht project'!$D$49,IF($B$13=$B$9,'Overzicht project'!$D$50,IF($B$13=$B$10,'Overzicht project'!$D$51,0))))</f>
        <v>0</v>
      </c>
      <c r="D13" s="409">
        <f>IF(B13=$B$7,'Overzicht project'!$E$48,IF(B13=$B$8,'Overzicht project'!$E$49,IF(B13=$B$9,'Overzicht project'!$E$50,IF(B13=$B$10,'Overzicht project'!$E$51,0))))</f>
        <v>0</v>
      </c>
      <c r="E13" s="545">
        <f>IF(B13=B7,'Overzicht project'!$F$48,IF($B$13=$B$8,'Overzicht project'!$F$49,IF($B$13=$B$9,'Overzicht project'!$F$50,IF($B$13=$B$10,'Overzicht project'!$F$51,0))))</f>
        <v>0</v>
      </c>
      <c r="F13" s="828">
        <f>IF($B$13=$B$7,'Overzicht project'!$G$48,IF($B$13=$B$8,'Overzicht project'!$G$49,IF($B$13=$B$9,'Overzicht project'!$G$50,IF($B$13=$B$10,'Overzicht project'!$G$51,0))))</f>
        <v>0</v>
      </c>
      <c r="G13" s="288"/>
      <c r="H13" s="415" t="s">
        <v>70</v>
      </c>
      <c r="I13" s="416">
        <f>IF(H13=$H$7,'Overzicht project'!$D$55,IF(H13=$H$8,'Overzicht project'!$D$56,IF(H13=$H$9,'Overzicht project'!$D$57,IF(H13=$H$10,'Overzicht project'!$D$58,0))))</f>
        <v>0</v>
      </c>
      <c r="J13" s="409">
        <f>IF(H13=$H$7,'Overzicht project'!$E$55,IF(H13=$H$8,'Overzicht project'!$E$56,IF(H13=$H$9,'Overzicht project'!$E$57,IF(H13=$H$10,'Overzicht project'!$E$58,0))))</f>
        <v>0</v>
      </c>
      <c r="K13" s="416">
        <f>IF(H13=$H$7,'Overzicht project'!$F$55,IF(H13=$H$8,'Overzicht project'!$F$56,IF(H13=$H$9,'Overzicht project'!$F$57,IF(H13=$H$10,'Overzicht project'!$F$58,0))))</f>
        <v>0</v>
      </c>
      <c r="L13" s="409">
        <f>IF($H$13=$H$7,'Overzicht project'!$G55,IF($H$13=$H$8,'Overzicht project'!$G56,IF($H$13=$H$9,'Overzicht project'!$G57,IF($H$13=$H$10,'Overzicht project'!$G58,0))))</f>
        <v>0</v>
      </c>
      <c r="M13" s="292"/>
      <c r="N13" s="155" t="s">
        <v>70</v>
      </c>
      <c r="O13" s="416">
        <f>IF($N13=$N$7,'Overzicht project'!$D$62,IF($N13=$N$8,'Overzicht project'!$D$63,IF($N13=$N$9,'Overzicht project'!$D$64,IF($N13=$N$10,'Overzicht project'!$D$65,0))))</f>
        <v>0</v>
      </c>
      <c r="P13" s="409">
        <f>IF($N$13=$N$7,'Overzicht project'!$E$62,IF($N$13=$N$8,'Overzicht project'!$E63,IF($N$13=$N$9,'Overzicht project'!$E64,IF($N$13=$N$10,'Overzicht project'!$E65,0))))</f>
        <v>0</v>
      </c>
      <c r="Q13" s="416">
        <f>IF($N13=$N$7,'Overzicht project'!$F$62,IF($N13=$N$8,'Overzicht project'!$F$63,IF($N13=$N$9,'Overzicht project'!$F$64,IF($N13=$N$10,'Overzicht project'!$F$65,0))))</f>
        <v>0</v>
      </c>
      <c r="R13" s="828">
        <f>IF($N$13=$N$7,'Overzicht project'!$G$62,IF($N$13=$N$8,'Overzicht project'!$G63,IF($N$13=$N$9,'Overzicht project'!$G64,IF($N$13=$N$10,'Overzicht project'!$G65,0))))</f>
        <v>0</v>
      </c>
    </row>
    <row r="14" spans="1:20" x14ac:dyDescent="0.3">
      <c r="B14" s="155" t="s">
        <v>71</v>
      </c>
      <c r="C14" s="499">
        <f>IF($B14=$B$7,'Overzicht project'!$D$48,IF($B14=$B$8,'Overzicht project'!$D$49,IF($B14=$B$9,'Overzicht project'!$D$50,IF($B14=$B$10,'Overzicht project'!$D$51,0))))</f>
        <v>0</v>
      </c>
      <c r="D14" s="236">
        <f>IF(B$7=Bron!$B$8,'Overzicht BTA'!C7,IF('Overzicht BTA'!B$8=Bron!$B$8,'Overzicht BTA'!C8,IF('Overzicht BTA'!B$9=Bron!$B$8,'Overzicht BTA'!C9,IF('Overzicht BTA'!B$10=Bron!$B$8,'Overzicht BTA'!C10,0))))</f>
        <v>0</v>
      </c>
      <c r="E14" s="829"/>
      <c r="F14" s="581"/>
      <c r="G14" s="288"/>
      <c r="H14" s="415" t="s">
        <v>71</v>
      </c>
      <c r="I14" s="416">
        <f>IF(H14=$H$7,'Overzicht project'!$D$55,IF(H14=$H$8,'Overzicht project'!$D$56,IF(H14=$H$9,'Overzicht project'!$D$57,IF(H14=$H$10,'Overzicht project'!$D$58,0))))</f>
        <v>0</v>
      </c>
      <c r="J14" s="236">
        <f>IF(H$7=Bron!$B$8,'Overzicht BTA'!I7,IF('Overzicht BTA'!H$8=Bron!$B$8,'Overzicht BTA'!I8,IF('Overzicht BTA'!H$9=Bron!$B$8,'Overzicht BTA'!I9,IF('Overzicht BTA'!H$10=Bron!$B$8,'Overzicht BTA'!I10,0))))</f>
        <v>0</v>
      </c>
      <c r="K14" s="829"/>
      <c r="L14" s="581"/>
      <c r="M14" s="292"/>
      <c r="N14" s="155" t="s">
        <v>71</v>
      </c>
      <c r="O14" s="416">
        <f>IF($N14=$N$7,'Overzicht project'!$D$62,IF($N14=$N$8,'Overzicht project'!$D$63,IF($N14=$N$9,'Overzicht project'!$D$64,IF($N14=$N$10,'Overzicht project'!$D$65,0))))</f>
        <v>0</v>
      </c>
      <c r="P14" s="236">
        <f>IF(N$7=Bron!$B$8,'Overzicht BTA'!O7,IF('Overzicht BTA'!N$8=Bron!$B$8,'Overzicht BTA'!O8,IF('Overzicht BTA'!N$9=Bron!$B$8,'Overzicht BTA'!O9,IF('Overzicht BTA'!N$10=Bron!$B$8,'Overzicht BTA'!O10,0))))</f>
        <v>0</v>
      </c>
      <c r="Q14" s="829"/>
      <c r="R14" s="830"/>
    </row>
    <row r="15" spans="1:20" x14ac:dyDescent="0.3">
      <c r="B15" s="155" t="s">
        <v>72</v>
      </c>
      <c r="C15" s="499">
        <f>IF($B15=$B$7,'Overzicht project'!$D$48,IF($B15=$B$8,'Overzicht project'!$D$49,IF($B15=$B$9,'Overzicht project'!$D$50,IF($B15=$B$10,'Overzicht project'!$D$51,0))))</f>
        <v>0</v>
      </c>
      <c r="D15" s="236">
        <f>IF(B$7=Bron!$B$10,'Overzicht BTA'!C7,IF('Overzicht BTA'!B$8=Bron!$B$10,'Overzicht BTA'!C8,IF('Overzicht BTA'!B$9=Bron!$B$10,'Overzicht BTA'!C9,IF('Overzicht BTA'!B$10=Bron!$B$10,'Overzicht BTA'!C10,0))))</f>
        <v>0</v>
      </c>
      <c r="E15" s="829"/>
      <c r="F15" s="581"/>
      <c r="G15" s="288"/>
      <c r="H15" s="415" t="s">
        <v>72</v>
      </c>
      <c r="I15" s="416">
        <f>IF(H15=$H$7,'Overzicht project'!$D$55,IF(H15=$H$8,'Overzicht project'!$D$56,IF(H15=$H$9,'Overzicht project'!$D$57,IF(H15=$H$10,'Overzicht project'!$D$58,0))))</f>
        <v>0</v>
      </c>
      <c r="J15" s="236">
        <f>IF(H$7=Bron!$B$10,'Overzicht BTA'!I7,IF('Overzicht BTA'!H$8=Bron!$B$10,'Overzicht BTA'!I8,IF('Overzicht BTA'!H$9=Bron!$B$10,'Overzicht BTA'!I9,IF('Overzicht BTA'!H$10=Bron!$B$10,'Overzicht BTA'!I10,0))))</f>
        <v>0</v>
      </c>
      <c r="K15" s="829"/>
      <c r="L15" s="581"/>
      <c r="M15" s="292"/>
      <c r="N15" s="155" t="s">
        <v>72</v>
      </c>
      <c r="O15" s="416">
        <f>IF($N15=$N$7,'Overzicht project'!$D$62,IF($N15=$N$8,'Overzicht project'!$D$63,IF($N15=$N$9,'Overzicht project'!$D$64,IF($N15=$N$10,'Overzicht project'!$D$65,0))))</f>
        <v>0</v>
      </c>
      <c r="P15" s="236">
        <f>IF(N$7=Bron!$B$10,'Overzicht BTA'!O7,IF('Overzicht BTA'!N$8=Bron!$B$10,'Overzicht BTA'!O8,IF('Overzicht BTA'!N$9=Bron!$B$10,'Overzicht BTA'!O9,IF('Overzicht BTA'!N$10=Bron!$B$10,'Overzicht BTA'!O10,0))))</f>
        <v>0</v>
      </c>
      <c r="Q15" s="829"/>
      <c r="R15" s="830"/>
    </row>
    <row r="16" spans="1:20" x14ac:dyDescent="0.3">
      <c r="B16" s="155" t="s">
        <v>73</v>
      </c>
      <c r="C16" s="499">
        <f>IF($B16=$B$7,'Overzicht project'!$D$48,IF($B16=$B$8,'Overzicht project'!$D$49,IF($B16=$B$9,'Overzicht project'!$D$50,IF($B16=$B$10,'Overzicht project'!$D$51,0))))</f>
        <v>0</v>
      </c>
      <c r="D16" s="236">
        <f>IF(B$7=Bron!$B$12,'Overzicht BTA'!C7,IF('Overzicht BTA'!B$8=Bron!$B$12,'Overzicht BTA'!C8,IF('Overzicht BTA'!B$9=Bron!$B$12,'Overzicht BTA'!C9,IF('Overzicht BTA'!B$10=Bron!$B$12,'Overzicht BTA'!C10,0))))</f>
        <v>0</v>
      </c>
      <c r="E16" s="829"/>
      <c r="F16" s="581"/>
      <c r="G16" s="288"/>
      <c r="H16" s="415" t="s">
        <v>73</v>
      </c>
      <c r="I16" s="416">
        <f>IF(H16=$H$7,'Overzicht project'!$D$55,IF(H16=$H$8,'Overzicht project'!$D$56,IF(H16=$H$9,'Overzicht project'!$D$57,IF(H16=$H$10,'Overzicht project'!$D$58,0))))</f>
        <v>0</v>
      </c>
      <c r="J16" s="236">
        <f>IF(H$7=Bron!$B$12,'Overzicht BTA'!I7,IF('Overzicht BTA'!H$8=Bron!$B$12,'Overzicht BTA'!I8,IF('Overzicht BTA'!H$9=Bron!$B$12,'Overzicht BTA'!I9,IF('Overzicht BTA'!H$10=Bron!$B$12,'Overzicht BTA'!I10,0))))</f>
        <v>0</v>
      </c>
      <c r="K16" s="829"/>
      <c r="L16" s="581"/>
      <c r="M16" s="292"/>
      <c r="N16" s="155" t="s">
        <v>73</v>
      </c>
      <c r="O16" s="416">
        <f>IF($N16=$N$7,'Overzicht project'!$D$62,IF($N16=$N$8,'Overzicht project'!$D$63,IF($N16=$N$9,'Overzicht project'!$D$64,IF($N16=$N$10,'Overzicht project'!$D$65,0))))</f>
        <v>0</v>
      </c>
      <c r="P16" s="236">
        <f>IF(N$7=Bron!$B$12,'Overzicht BTA'!O7,IF('Overzicht BTA'!N$8=Bron!$B$12,'Overzicht BTA'!O8,IF('Overzicht BTA'!N$9=Bron!$B$12,'Overzicht BTA'!O9,IF('Overzicht BTA'!N$10=Bron!$B$12,'Overzicht BTA'!O10,0))))</f>
        <v>0</v>
      </c>
      <c r="Q16" s="829"/>
      <c r="R16" s="830"/>
    </row>
    <row r="17" spans="1:22" x14ac:dyDescent="0.3">
      <c r="B17" s="155" t="s">
        <v>74</v>
      </c>
      <c r="C17" s="499">
        <f>IF(OR($B17=$B$7,$B$7=Bron!$B$16),'Overzicht project'!$D$48,IF(OR($B17=$B$8,$B$8=Bron!$B$16),'Overzicht project'!$D$49,IF(OR($B17=$B$9,$B$9=Bron!$B$16),'Overzicht project'!$D$50,IF(OR($B17=$B$10,$B$10=Bron!$B$16),'Overzicht project'!$D$51,0))))</f>
        <v>0</v>
      </c>
      <c r="D17" s="236">
        <f>IF(B$7=Bron!$B$11,'Overzicht BTA'!C7,IF('Overzicht BTA'!B$8=Bron!$B$11,'Overzicht BTA'!C8,IF('Overzicht BTA'!B$9=Bron!$B$11,'Overzicht BTA'!C9,IF('Overzicht BTA'!B$10=Bron!$B$11,'Overzicht BTA'!C10,0))))</f>
        <v>0</v>
      </c>
      <c r="E17" s="829"/>
      <c r="F17" s="581"/>
      <c r="G17" s="288"/>
      <c r="H17" s="415" t="s">
        <v>74</v>
      </c>
      <c r="I17" s="499">
        <f>IF(OR($H17=$H$7,$H$7=Bron!$B$16),'Overzicht project'!$D$55,IF(OR($H17=$H$8,$H$8=Bron!$B$16),'Overzicht project'!$D$56,IF(OR($H17=$H$9,$H$9=Bron!$B$16),'Overzicht project'!$D$57,IF(OR($H17=$H$10,$H$10=Bron!$B$16),'Overzicht project'!$D$58,0))))</f>
        <v>0</v>
      </c>
      <c r="J17" s="236">
        <f>IF(H$7=Bron!$B$11,'Overzicht BTA'!I7,IF('Overzicht BTA'!H$8=Bron!$B$11,'Overzicht BTA'!I8,IF('Overzicht BTA'!H$9=Bron!$B$11,'Overzicht BTA'!I9,IF('Overzicht BTA'!H$10=Bron!$B$11,'Overzicht BTA'!I10,0))))</f>
        <v>0</v>
      </c>
      <c r="K17" s="829"/>
      <c r="L17" s="581"/>
      <c r="M17" s="292"/>
      <c r="N17" s="155" t="s">
        <v>74</v>
      </c>
      <c r="O17" s="499">
        <f>IF(OR($N17=$N$7,$N$7=Bron!$B$16),'Overzicht project'!$D$62,IF(OR($N17=$N$8,$N$8=Bron!$B$16),'Overzicht project'!$D$63,IF(OR($N17=$N$9,$N$9=Bron!$B$16),'Overzicht project'!$D$64,IF(OR($N17=$N$10,$N$10=Bron!$B$16),'Overzicht project'!$D$65,0))))</f>
        <v>0</v>
      </c>
      <c r="P17" s="236">
        <f>IF(N$7=Bron!$B$11,'Overzicht BTA'!O7,IF('Overzicht BTA'!N$8=Bron!$B$11,'Overzicht BTA'!O8,IF('Overzicht BTA'!N$9=Bron!$B$11,'Overzicht BTA'!O9,IF('Overzicht BTA'!N$10=Bron!$B$11,'Overzicht BTA'!O10,0))))</f>
        <v>0</v>
      </c>
      <c r="Q17" s="829"/>
      <c r="R17" s="830"/>
      <c r="V17">
        <f>ROUND(IF(ISNUMBER((SEARCH("kinderzorg",A3))),BJB!$D$73,IF(ISNUMBER(SEARCH("categorie 8",A3)),BJB!$D$34,IF(ISNUMBER(SEARCH("beveiligd verblijf",A3)),BJB!$D$39,IF(OR(ISNUMBER(SEARCH("jeugdzorg",A3)),ISNUMBER(SEARCH("afhandeling",A3)),ISNUMBER(SEARCH("gezinszorg",A3)),ISNUMBER(SEARCH("oriëntatie",A3))),BJB!$D$81,IF(ISNUMBER(SEARCH("welzijnswerk",A3)),CAW!$C$8,"0"))))),2)</f>
        <v>0</v>
      </c>
    </row>
    <row r="18" spans="1:22" x14ac:dyDescent="0.3">
      <c r="B18" s="155" t="s">
        <v>75</v>
      </c>
      <c r="C18" s="499">
        <f>IF($B18=$B$7,'Overzicht project'!$D$48,IF($B18=$B$8,'Overzicht project'!$D$49,IF($B18=$B$9,'Overzicht project'!$D$50,IF($B18=$B$10,'Overzicht project'!$D$51,0))))</f>
        <v>0</v>
      </c>
      <c r="D18" s="585">
        <f>IF(B$7=Bron!$B$13,'Overzicht BTA'!C7,IF('Overzicht BTA'!B$8=Bron!$B$13,'Overzicht BTA'!C8,IF('Overzicht BTA'!B$9=Bron!$B$13,'Overzicht BTA'!C9,IF('Overzicht BTA'!B$10=Bron!$B$13,'Overzicht BTA'!C10,0))))</f>
        <v>0</v>
      </c>
      <c r="E18" s="829"/>
      <c r="F18" s="581"/>
      <c r="G18" s="288"/>
      <c r="H18" s="617" t="s">
        <v>75</v>
      </c>
      <c r="I18" s="416">
        <f>IF(H18=$H$7,'Overzicht project'!$D$55,IF(H18=$H$8,'Overzicht project'!$D$56,IF(H18=$H$9,'Overzicht project'!$D$57,IF(H18=$H$10,'Overzicht project'!$D$58,0))))</f>
        <v>0</v>
      </c>
      <c r="J18" s="585">
        <f>IF(H$7=Bron!$B$13,'Overzicht BTA'!I7,IF('Overzicht BTA'!H$8=Bron!$B$13,'Overzicht BTA'!I8,IF('Overzicht BTA'!H$9=Bron!$B$13,'Overzicht BTA'!I9,IF('Overzicht BTA'!H$10=Bron!$B$13,'Overzicht BTA'!I10,0))))</f>
        <v>0</v>
      </c>
      <c r="K18" s="829"/>
      <c r="L18" s="584"/>
      <c r="M18" s="292"/>
      <c r="N18" s="155" t="s">
        <v>75</v>
      </c>
      <c r="O18" s="416">
        <f>IF($N18=$N$7,'Overzicht project'!$D$62,IF($N18=$N$8,'Overzicht project'!$D$63,IF($N18=$N$9,'Overzicht project'!$D$64,IF($N18=$N$10,'Overzicht project'!$D$65,0))))</f>
        <v>0</v>
      </c>
      <c r="P18" s="585">
        <f>IF(N$7=Bron!$B$13,'Overzicht BTA'!O7,IF('Overzicht BTA'!N$8=Bron!$B$13,'Overzicht BTA'!O8,IF('Overzicht BTA'!N$9=Bron!$B$13,'Overzicht BTA'!O9,IF('Overzicht BTA'!N$10=Bron!$B$13,'Overzicht BTA'!O10,0))))</f>
        <v>0</v>
      </c>
      <c r="Q18" s="829"/>
      <c r="R18" s="830"/>
    </row>
    <row r="19" spans="1:22" x14ac:dyDescent="0.3">
      <c r="B19" s="155" t="s">
        <v>76</v>
      </c>
      <c r="C19" s="499">
        <f>IF($B19=$B$7,'Overzicht project'!$D$48,IF($B19=$B$8,'Overzicht project'!$D$49,IF($B19=$B$9,'Overzicht project'!$D$50,IF($B19=$B$10,'Overzicht project'!$D$51,0))))</f>
        <v>0</v>
      </c>
      <c r="D19" s="409">
        <f>IF($B$19=$B$7,'Overzicht project'!$E$48,IF($B$19=$B$8,'Overzicht project'!$E$49,IF($B$19=$B$9,'Overzicht project'!$E$50,IF($B$19=$B$10,'Overzicht project'!$E$51,0))))</f>
        <v>0</v>
      </c>
      <c r="E19" s="545">
        <f>IF($B19=$B$7,'Overzicht project'!$F$48,IF($B19=$B$8,'Overzicht project'!$F$49,IF($B19=$B$9,'Overzicht project'!$F$50,IF($B19=$B$10,'Overzicht project'!$F$51,0))))</f>
        <v>0</v>
      </c>
      <c r="F19" s="828">
        <f>IF($B$19=$B$7,'Overzicht project'!$G$48,IF($B$19=$B$8,'Overzicht project'!$G$49,IF($B$19=$B$9,'Overzicht project'!$G$50,IF($B$19=$B$10,'Overzicht project'!$G$51,0))))</f>
        <v>0</v>
      </c>
      <c r="G19" s="288"/>
      <c r="H19" s="617" t="s">
        <v>76</v>
      </c>
      <c r="I19" s="416">
        <f>IF(H19=$H$7,'Overzicht project'!$D$55,IF(H19=$H$8,'Overzicht project'!$D$56,IF(H19=$H$9,'Overzicht project'!$D$57,IF(H19=$H$10,'Overzicht project'!$D$58,0))))</f>
        <v>0</v>
      </c>
      <c r="J19" s="409">
        <f>IF($H$19=$H$7,'Overzicht project'!$E$55,IF($H$19=$H$8,'Overzicht project'!$E$56,IF($H$19=$H$9,'Overzicht project'!$E$57,IF($H$19=$H$10,'Overzicht project'!$E$58,0))))</f>
        <v>0</v>
      </c>
      <c r="K19" s="416">
        <f>IF(H19=$H$7,'Overzicht project'!$F$55,IF(H19=$H$8,'Overzicht project'!$F$56,IF(H19=$H$9,'Overzicht project'!$F$57,IF(H19=$H$10,'Overzicht project'!$F$58,0))))</f>
        <v>0</v>
      </c>
      <c r="L19" s="409">
        <f>IF($H$19=$H$7,'Overzicht project'!$E$55,IF($H$19=$H$8,'Overzicht project'!$E$56,IF($H$19=$H$9,'Overzicht project'!$E$57,IF($H$19=$H$10,'Overzicht project'!$E$58,0))))</f>
        <v>0</v>
      </c>
      <c r="M19" s="292"/>
      <c r="N19" s="155" t="s">
        <v>76</v>
      </c>
      <c r="O19" s="416">
        <f>IF($N19=$N$7,'Overzicht project'!$D$62,IF($N19=$N$8,'Overzicht project'!$D$63,IF($N19=$N$9,'Overzicht project'!$D$64,IF($N19=$N$10,'Overzicht project'!$D$65,0))))</f>
        <v>0</v>
      </c>
      <c r="P19" s="409">
        <f>IF($N$19=$N$7,'Overzicht project'!$E$62,IF($N$19=$N$8,'Overzicht project'!$E69,IF($N$19=$N$9,'Overzicht project'!$E70,IF($N$19=$N$10,'Overzicht project'!$E71,0))))</f>
        <v>0</v>
      </c>
      <c r="Q19" s="416">
        <f>IF($N19=$N$7,'Overzicht project'!$F$62,IF($N19=$N$8,'Overzicht project'!$F$63,IF($N19=$N$9,'Overzicht project'!$F$64,IF($N19=$N$10,'Overzicht project'!$F$65,0))))</f>
        <v>0</v>
      </c>
      <c r="R19" s="828">
        <f>IF($N$19=$N$7,'Overzicht project'!$G$62,IF($N$19=$N$8,'Overzicht project'!$G69,IF($N$19=$N$9,'Overzicht project'!$G70,IF($N$19=$N$10,'Overzicht project'!$G71,0))))</f>
        <v>0</v>
      </c>
    </row>
    <row r="20" spans="1:22" ht="7.2" customHeight="1" thickBot="1" x14ac:dyDescent="0.35">
      <c r="A20" s="199"/>
      <c r="B20" s="190"/>
      <c r="C20" s="195"/>
      <c r="D20" s="190"/>
      <c r="E20" s="190"/>
      <c r="F20" s="196"/>
      <c r="H20" s="195"/>
      <c r="I20" s="190"/>
      <c r="J20" s="190"/>
      <c r="K20" s="190"/>
      <c r="L20" s="190"/>
      <c r="N20" s="190"/>
      <c r="O20" s="190"/>
      <c r="P20" s="190"/>
      <c r="Q20" s="190"/>
      <c r="R20" s="196"/>
    </row>
    <row r="21" spans="1:22" x14ac:dyDescent="0.3">
      <c r="A21" s="183">
        <v>2</v>
      </c>
      <c r="B21" s="183" t="s">
        <v>77</v>
      </c>
      <c r="C21" s="194"/>
      <c r="D21" s="184"/>
      <c r="E21" s="184"/>
      <c r="F21" s="193"/>
      <c r="H21" s="194"/>
      <c r="I21" s="184"/>
      <c r="J21" s="184"/>
      <c r="K21" s="184"/>
      <c r="L21" s="184"/>
      <c r="N21" s="184"/>
      <c r="O21" s="184"/>
      <c r="P21" s="184"/>
      <c r="Q21" s="184"/>
      <c r="R21" s="193"/>
    </row>
    <row r="22" spans="1:22" ht="46.95" hidden="1" customHeight="1" x14ac:dyDescent="0.3">
      <c r="A22" s="1185" t="s">
        <v>78</v>
      </c>
      <c r="B22" s="1185"/>
      <c r="C22" s="510" t="b">
        <v>0</v>
      </c>
      <c r="F22" s="192"/>
      <c r="H22" s="191"/>
      <c r="R22" s="192"/>
    </row>
    <row r="23" spans="1:22" ht="7.2" customHeight="1" x14ac:dyDescent="0.3">
      <c r="B23" s="106"/>
      <c r="C23" s="191"/>
      <c r="F23" s="192"/>
      <c r="H23" s="191"/>
      <c r="R23" s="192"/>
    </row>
    <row r="24" spans="1:22" ht="15" customHeight="1" x14ac:dyDescent="0.3">
      <c r="A24" s="183">
        <v>4</v>
      </c>
      <c r="B24" s="183" t="s">
        <v>79</v>
      </c>
      <c r="C24" s="194"/>
      <c r="D24" s="184"/>
      <c r="E24" s="184"/>
      <c r="F24" s="193"/>
      <c r="H24" s="1169" t="s">
        <v>79</v>
      </c>
      <c r="I24" s="1170"/>
      <c r="J24" s="185"/>
      <c r="K24" s="183"/>
      <c r="L24" s="184"/>
      <c r="N24" s="1171" t="s">
        <v>79</v>
      </c>
      <c r="O24" s="1172"/>
      <c r="P24" s="183"/>
      <c r="Q24" s="183"/>
      <c r="R24" s="193"/>
    </row>
    <row r="25" spans="1:22" ht="14.4" customHeight="1" x14ac:dyDescent="0.3">
      <c r="B25" s="465" t="s">
        <v>80</v>
      </c>
      <c r="C25" s="1112">
        <f>ROUND(IF(ISNUMBER((SEARCH("kinderzorg",C3))),BJB!$D$73,IF(ISNUMBER((SEARCH("Vertrouwenscentra",C3))),BJB!$D$78,IF(ISNUMBER((SEARCH("Kinderopvang",C3))),'Gezinnen met kinderen'!$C$3,IF(ISNUMBER(SEARCH("categorie 8",C3)),BJB!$D$34,IF(ISNUMBER(SEARCH("beveiligend verblijf",C3)),BJB!$D$39,IF(OR(ISNUMBER(SEARCH("jeugdzorg",C3)),ISNUMBER(SEARCH("afhandeling",C3)),ISNUMBER(SEARCH("gezinszorg",C3)),ISNUMBER(SEARCH("oriëntatie",C3))),BJB!$D$48,IF(ISNUMBER(SEARCH("welzijnswerk",C3)),CAW!$C$8,IF(ISNUMBER(SEARCH("geestelijke",C3)),'Preventieve en ambulante'!$C$3,IF(ISNUMBER(SEARCH("Aanloopadres",C3)),'Preventieve en ambulante'!$C$10+'Preventieve en ambulante'!$C$11,IF(ISNUMBER(SEARCH("Wijkgezondheid",C3)),SUM('Preventieve en ambulante'!C4:C9),IF(ISNUMBER(SEARCH("Observatie",C3)),PH!$D$10,IF(ISNUMBER(SEARCH("geïnterneerde",C3)),PH!$D$9,IF(ISNUMBER(SEARCH("Personen met een handicap",C3)),PH!$D$11-PH!$D$9-PH!$D$10,IF(ISNUMBER(SEARCH("Revalidatieovereenkomst",C3)),Revalidatieovereenkomst!C6,IF(C3="Woonzorg - Centra voor dagverzorging",1,IF(C3="Woonzorg - Lokaal dienstencentrum",1,0)))))))))))))))),2)</f>
        <v>0</v>
      </c>
      <c r="D25" t="e">
        <f>IF(ISNUMBER(SEARCH("kinderzorg",$C$3)),"opvangplaatsen/VTE",VLOOKUP($C$3,'Capaciteiten &amp; forfaits'!$B$4:$H$79,3,FALSE))</f>
        <v>#N/A</v>
      </c>
      <c r="E25" s="1180" t="s">
        <v>1452</v>
      </c>
      <c r="F25" s="1168"/>
      <c r="H25" s="191"/>
      <c r="I25" s="155" t="s">
        <v>81</v>
      </c>
      <c r="J25" s="520">
        <f>ROUND(IF(ISNUMBER((SEARCH("kinderzorg",H3))),BJB!$D$73,IF(ISNUMBER((SEARCH("Vertrouwenscentra",H3))),BJB!$D$78,IF(ISNUMBER((SEARCH("Kinderopvang",H3))),'Gezinnen met kinderen'!$C$3,IF(ISNUMBER(SEARCH("categorie 8",H3)),BJB!$D$34,IF(ISNUMBER(SEARCH("beveiligend verblijf",H3)),BJB!$D$39,IF(OR(ISNUMBER(SEARCH("jeugdzorg",H3)),ISNUMBER(SEARCH("afhandeling",H3)),ISNUMBER(SEARCH("gezinszorg",H3)),ISNUMBER(SEARCH("oriëntatie",H3))),BJB!$D$48,IF(ISNUMBER(SEARCH("welzijnswerk",H3)),CAW!$C$8,IF(ISNUMBER(SEARCH("geestelijke",H3)),'Preventieve en ambulante'!$C$3,IF(ISNUMBER(SEARCH("Aanloopadres",H3)),'Preventieve en ambulante'!$C$10+'Preventieve en ambulante'!$C$11,IF(ISNUMBER(SEARCH("Observatie",H3)),PH!$D$10,IF(ISNUMBER(SEARCH("geïnterneerde",H3)),PH!$D$9,IF(ISNUMBER(SEARCH("Personen met een handicap",H3)),PH!$D$11-PH!$D$9-PH!$D$10,IF(ISNUMBER(SEARCH("Revalidatieovereenkomst",H3)),Revalidatieovereenkomst!G6,IF(H3="Woonzorg - Centra voor dagverzorging",1,IF(H3="Woonzorg - Lokaal dienstencentrum",1,0))))))))))))))),2)</f>
        <v>0</v>
      </c>
      <c r="K25" t="e">
        <f>IF(ISNUMBER(SEARCH("kinderzorg",$H$3)),"opvangplaatsen/VTE",VLOOKUP($H$3,'Capaciteiten &amp; forfaits'!$B$4:$H$66,3,FALSE))</f>
        <v>#N/A</v>
      </c>
      <c r="L25" s="1180"/>
      <c r="O25" s="155" t="s">
        <v>81</v>
      </c>
      <c r="P25" s="520">
        <f>ROUND(IF(ISNUMBER((SEARCH("kinderzorg",N3))),BJB!$D$73,IF(ISNUMBER((SEARCH("Vertrouwenscentra",N3))),BJB!$D$78,IF(ISNUMBER((SEARCH("Kinderopvang",N3))),'Gezinnen met kinderen'!$C$3,IF(ISNUMBER(SEARCH("categorie 8",N3)),BJB!$D$34,IF(ISNUMBER(SEARCH("beveiligend verblijf",N3)),BJB!$D$39,IF(OR(ISNUMBER(SEARCH("jeugdzorg",N3)),ISNUMBER(SEARCH("afhandeling",N3)),ISNUMBER(SEARCH("gezinszorg",N3)),ISNUMBER(SEARCH("oriëntatie",N3))),BJB!$D$48,IF(ISNUMBER(SEARCH("welzijnswerk",N3)),CAW!$C$8,IF(ISNUMBER(SEARCH("geestelijke",N3)),'Preventieve en ambulante'!$C$3,IF(ISNUMBER(SEARCH("Aanloopadres",N3)),'Preventieve en ambulante'!$C$10+'Preventieve en ambulante'!$C$11,IF(ISNUMBER(SEARCH("Observatie",N3)),PH!$D$10,IF(ISNUMBER(SEARCH("geïnterneerde",N3)),PH!$D$9,IF(ISNUMBER(SEARCH("Personen met een handicap",N3)),PH!$D$11-PH!$D$9-PH!$D$10,IF(ISNUMBER(SEARCH("Revalidatieovereenkomst",N3)),Revalidatieovereenkomst!G6,IF(N3="Woonzorg - Centra voor dagverzorging",1,IF(N3="Woonzorg - Lokaal dienstencentrum",1,0))))))))))))))),2)</f>
        <v>0</v>
      </c>
      <c r="Q25" t="e">
        <f>IF(ISNUMBER(SEARCH("kinderzorg",$N$3)),"opvangplaatsen/VTE",VLOOKUP($N$3,'Capaciteiten &amp; forfaits'!$B$4:$H$66,3,FALSE))</f>
        <v>#N/A</v>
      </c>
      <c r="R25" s="1168"/>
      <c r="T25" s="358"/>
    </row>
    <row r="26" spans="1:22" x14ac:dyDescent="0.3">
      <c r="B26" s="155" t="s">
        <v>47</v>
      </c>
      <c r="C26" s="504">
        <f>SUM(E7:E10)</f>
        <v>0</v>
      </c>
      <c r="D26" t="e">
        <f>IF(ISNUMBER(SEARCH("kinderzorg",$C$3)),"opvangplaatsen/VTE",VLOOKUP($C$3,'Capaciteiten &amp; forfaits'!$B$4:$H$79,3,FALSE))</f>
        <v>#N/A</v>
      </c>
      <c r="E26" s="1180"/>
      <c r="F26" s="1168"/>
      <c r="H26" s="191"/>
      <c r="I26" s="155" t="s">
        <v>47</v>
      </c>
      <c r="J26" s="505">
        <f>SUM(K7:K10)</f>
        <v>0</v>
      </c>
      <c r="K26" t="e">
        <f>IF(ISNUMBER(SEARCH("kinderzorg",$H$3)),"opvangplaatsen/VTE",VLOOKUP($H$3,'Capaciteiten &amp; forfaits'!$B$4:$H$66,3,FALSE))</f>
        <v>#N/A</v>
      </c>
      <c r="L26" s="1180"/>
      <c r="O26" s="155" t="s">
        <v>47</v>
      </c>
      <c r="P26" s="505">
        <f>SUM(Q7:Q10)</f>
        <v>0</v>
      </c>
      <c r="Q26" t="e">
        <f>IF(ISNUMBER(SEARCH("kinderzorg",$N$3)),"opvangplaatsen/VTE",VLOOKUP($N$3,'Capaciteiten &amp; forfaits'!$B$4:$H$66,3,FALSE))</f>
        <v>#N/A</v>
      </c>
      <c r="R26" s="1168"/>
    </row>
    <row r="27" spans="1:22" x14ac:dyDescent="0.3">
      <c r="B27" s="155" t="s">
        <v>48</v>
      </c>
      <c r="C27" s="504">
        <f>SUM(F7:F10)</f>
        <v>0</v>
      </c>
      <c r="D27" t="e">
        <f>IF(ISNUMBER(SEARCH("kinderzorg",$C$3)),"opvangplaatsen/VTE",VLOOKUP($C$3,'Capaciteiten &amp; forfaits'!$B$4:$H$79,3,FALSE))</f>
        <v>#N/A</v>
      </c>
      <c r="E27" s="1180"/>
      <c r="F27" s="1168"/>
      <c r="H27" s="589"/>
      <c r="I27" s="155" t="s">
        <v>48</v>
      </c>
      <c r="J27" s="505">
        <f>SUM(L7:L10)</f>
        <v>0</v>
      </c>
      <c r="K27" t="e">
        <f>IF(ISNUMBER(SEARCH("kinderzorg",$H$3)),"opvangplaatsen/VTE",VLOOKUP($H$3,'Capaciteiten &amp; forfaits'!$B$4:$H$66,3,FALSE))</f>
        <v>#N/A</v>
      </c>
      <c r="L27" s="1180"/>
      <c r="O27" s="155" t="s">
        <v>48</v>
      </c>
      <c r="P27" s="505">
        <f>SUM(R7:R10)</f>
        <v>0</v>
      </c>
      <c r="Q27" t="e">
        <f>IF(ISNUMBER(SEARCH("kinderzorg",$N$3)),"opvangplaatsen/VTE",VLOOKUP($N$3,'Capaciteiten &amp; forfaits'!$B$4:$H$66,3,FALSE))</f>
        <v>#N/A</v>
      </c>
      <c r="R27" s="1168"/>
    </row>
    <row r="28" spans="1:22" ht="7.2" customHeight="1" thickBot="1" x14ac:dyDescent="0.35">
      <c r="A28" s="199"/>
      <c r="B28" s="286"/>
      <c r="C28" s="195"/>
      <c r="D28" s="190"/>
      <c r="E28" s="190"/>
      <c r="F28" s="196"/>
      <c r="H28" s="195"/>
      <c r="I28" s="190"/>
      <c r="J28" s="190"/>
      <c r="K28" s="190"/>
      <c r="L28" s="190"/>
      <c r="N28" s="190"/>
      <c r="O28" s="190"/>
      <c r="P28" s="190"/>
      <c r="Q28" s="190"/>
      <c r="R28" s="196"/>
    </row>
    <row r="29" spans="1:22" x14ac:dyDescent="0.3">
      <c r="A29" s="183">
        <v>5</v>
      </c>
      <c r="B29" s="185" t="s">
        <v>82</v>
      </c>
      <c r="C29" s="194"/>
      <c r="D29" s="184"/>
      <c r="E29" s="184"/>
      <c r="F29" s="193"/>
      <c r="H29" s="1169" t="s">
        <v>82</v>
      </c>
      <c r="I29" s="1170"/>
      <c r="J29" s="185"/>
      <c r="K29" s="185"/>
      <c r="L29" s="184"/>
      <c r="N29" s="1169" t="s">
        <v>82</v>
      </c>
      <c r="O29" s="1170"/>
      <c r="P29" s="185"/>
      <c r="Q29" s="185"/>
      <c r="R29" s="193"/>
    </row>
    <row r="30" spans="1:22" x14ac:dyDescent="0.3">
      <c r="B30" s="155" t="s">
        <v>83</v>
      </c>
      <c r="C30" s="420">
        <f>SUM(C7:C10)</f>
        <v>0</v>
      </c>
      <c r="D30" s="186"/>
      <c r="E30" s="186"/>
      <c r="F30" s="192"/>
      <c r="H30" s="191"/>
      <c r="I30" s="155" t="s">
        <v>83</v>
      </c>
      <c r="J30" s="236">
        <f>SUM(I7:I10)</f>
        <v>0</v>
      </c>
      <c r="K30" s="186"/>
      <c r="O30" s="155" t="s">
        <v>83</v>
      </c>
      <c r="P30" s="236">
        <f>SUM(O7:O10)</f>
        <v>0</v>
      </c>
      <c r="Q30" s="186"/>
      <c r="R30" s="192"/>
    </row>
    <row r="31" spans="1:22" x14ac:dyDescent="0.3">
      <c r="B31" s="155" t="s">
        <v>84</v>
      </c>
      <c r="C31" s="799">
        <f>ROUND(IF(ISNUMBER(SEARCH("kinderzorg",C3)),BJB!$H$73,IF(ISNUMBER(SEARCH("categorie 8",C3)),BJB!$H$34,IF(ISNUMBER(SEARCH("beveiligend verblijf",C3)),BJB!$H$39,IF(OR(ISNUMBER(SEARCH("jeugdzorg",C3)),ISNUMBER(SEARCH("afhandeling",C3)),ISNUMBER(SEARCH("gezinszorg",C3)),ISNUMBER(SEARCH("oriëntatie",C3))),BJB!$H$81,IF(ISNUMBER(SEARCH("welzijnswerk",C3)),CAW!$H$8,IF(ISNUMBER(SEARCH("geestelijke",C3)),'Preventieve en ambulante'!$G$3,IF(ISNUMBER(SEARCH("Wijkgezondheid",C3)),SUM('Preventieve en ambulante'!G4:G9),IF(ISNUMBER(SEARCH("Aanloopadres",C3)),'Preventieve en ambulante'!$G$10+'Preventieve en ambulante'!$G$11,IF(ISNUMBER(SEARCH("Observatie",C3)),PH!$F$10,IF(ISNUMBER(SEARCH("geïnterneerde",C3)),PH!$F$9,IF(ISNUMBER(SEARCH("Personen met een handicap",C3)),PH!$F$11-PH!$F$9-PH!$F$10,IF(ISNUMBER(SEARCH("Revalidatieovereenkomst",C3)),Revalidatieovereenkomst!G6,IF(ISNUMBER(SEARCH("Lokaal dienstencentrum",C3)),Woonzorg!K3,IF(ISNUMBER(SEARCH("dagverzorging",C3)),Woonzorg!K7,IF(ISNUMBER(SEARCH("dagopvang",C3)),Woonzorg!K11,IF(ISNUMBER(SEARCH("kortverblijf type 2",C3)),Woonzorg!K15,IF(ISNUMBER(SEARCH("kortverblijf type 3",C3)),Woonzorg!K19,VLOOKUP(C3,'Capaciteiten &amp; forfaits'!$B$3:$H$73,2,FALSE)*C25))))))))))))))))),2)</f>
        <v>0</v>
      </c>
      <c r="D31" s="837"/>
      <c r="E31" s="186"/>
      <c r="F31" s="192"/>
      <c r="H31" s="191"/>
      <c r="I31" s="155" t="s">
        <v>84</v>
      </c>
      <c r="J31" s="800">
        <f>IF(ISNUMBER((SEARCH("kinderzorg",H3))),BJB!$H$73,IF(ISNUMBER(SEARCH("categorie 8",H3)),BJB!$H$34,IF(ISNUMBER(SEARCH("beveiligend verblijf",H3)),BJB!$H$39,IF(OR(ISNUMBER(SEARCH("jeugdzorg",H3)),ISNUMBER(SEARCH("afhandeling",H3)),ISNUMBER(SEARCH("gezinszorg",H3)),ISNUMBER(SEARCH("oriëntatie",H3)),ISNUMBER(SEARCH("dienst voor",H3))),BJB!$H$81,IF(ISNUMBER(SEARCH("welzijnswerk",H3)),CAW!$H$8,IF(ISNUMBER(SEARCH("geestelijke",H3)),'Preventieve en ambulante'!$G$3,IF(ISNUMBER(SEARCH("Aanloopadres",H3)),'Preventieve en ambulante'!$G$10+'Preventieve en ambulante'!$G$11,IF(ISNUMBER(SEARCH("Observatie",H3)),PH!$F$10,IF(ISNUMBER(SEARCH("geïnterneerde",H3)),PH!$F$9,IF(ISNUMBER(SEARCH("Personen met een handicap",H3)),PH!$F$11-PH!$F$9-PH!$F$10,VLOOKUP(H3,'Capaciteiten &amp; forfaits'!$B$3:$H$73,2,FALSE)*J25))))))))))</f>
        <v>0</v>
      </c>
      <c r="K31" s="186"/>
      <c r="O31" s="155" t="s">
        <v>84</v>
      </c>
      <c r="P31" s="800">
        <f>IF(ISNUMBER((SEARCH("kinderzorg",N3))),BJB!$H$73,IF(ISNUMBER(SEARCH("categorie 8",N3)),BJB!$H$34,IF(ISNUMBER(SEARCH("beveiligend verblijf",N3)),BJB!$H$39,IF(OR(ISNUMBER(SEARCH("jeugdzorg",N3)),ISNUMBER(SEARCH("afhandeling",N3)),ISNUMBER(SEARCH("gezinszorg",N3)),ISNUMBER(SEARCH("oriëntatie",N3)),ISNUMBER(SEARCH("dienst voor",N3))),BJB!$H$81,IF(ISNUMBER(SEARCH("welzijnswerk",N3)),CAW!$H$8,IF(ISNUMBER(SEARCH("geestelijke",N3)),'Preventieve en ambulante'!$G$3,IF(ISNUMBER(SEARCH("Aanloopadres",N3)),'Preventieve en ambulante'!$G$10+'Preventieve en ambulante'!$G$11,IF(ISNUMBER(SEARCH("Observatie",N3)),PH!$F$10,IF(ISNUMBER(SEARCH("geïnterneerde",N3)),PH!$F$9,IF(ISNUMBER(SEARCH("Personen met een handicap",N3)),PH!$F$11-PH!$F$9-PH!$F$10,VLOOKUP(N3,'Capaciteiten &amp; forfaits'!$B$3:$H$73,2,FALSE)*P25))))))))))</f>
        <v>0</v>
      </c>
      <c r="Q31" s="186"/>
      <c r="R31" s="192"/>
    </row>
    <row r="32" spans="1:22" ht="15" customHeight="1" thickBot="1" x14ac:dyDescent="0.35">
      <c r="A32" s="189"/>
      <c r="B32" s="182" t="s">
        <v>85</v>
      </c>
      <c r="C32" s="587">
        <f>IF('Overzicht project'!$J$23='Overzicht BTA'!C3,'Overzicht project'!$D$23,0)+IF('Overzicht project'!$J$24='Overzicht BTA'!C3,'Overzicht project'!$D$24,0)+IF('Overzicht project'!$J$25='Overzicht BTA'!C3,'Overzicht project'!$D$25,0)+IF('Overzicht project'!$J$26='Overzicht BTA'!C3,'Overzicht project'!$D$26,0)+IF('Overzicht project'!$J$27='Overzicht BTA'!C3,'Overzicht project'!$D$27,0)+IF('Overzicht project'!$J$28='Overzicht BTA'!C3,'Overzicht project'!$D$28,0)+IF('Overzicht project'!$J$29='Overzicht BTA'!C3,'Overzicht project'!$D$29,0)</f>
        <v>0</v>
      </c>
      <c r="D32" s="588"/>
      <c r="F32" s="192"/>
      <c r="H32" s="371"/>
      <c r="I32" s="182" t="s">
        <v>85</v>
      </c>
      <c r="J32" s="587">
        <f>IF('Overzicht project'!$J$23='Overzicht BTA'!H3,'Overzicht project'!$D$23,0)+IF('Overzicht project'!$J$24='Overzicht BTA'!H3,'Overzicht project'!$D$24,0)+IF('Overzicht project'!$J$25='Overzicht BTA'!H3,'Overzicht project'!$D$25,0)+IF('Overzicht project'!$J$26='Overzicht BTA'!H3,'Overzicht project'!$D$26,0)+IF('Overzicht project'!$J$27='Overzicht BTA'!H3,'Overzicht project'!$D$27,0)+IF('Overzicht project'!$J$28='Overzicht BTA'!H3,'Overzicht project'!$D$28,0)+IF('Overzicht project'!$J$29='Overzicht BTA'!H3,'Overzicht project'!$D$29,0)</f>
        <v>0</v>
      </c>
      <c r="K32" s="588" t="s">
        <v>86</v>
      </c>
      <c r="N32" s="371"/>
      <c r="O32" s="182" t="s">
        <v>85</v>
      </c>
      <c r="P32" s="587">
        <f>IF('Overzicht project'!$J$23='Overzicht BTA'!N3,'Overzicht project'!$D$23,0)+IF('Overzicht project'!$J$24='Overzicht BTA'!N3,'Overzicht project'!$D$24,0)+IF('Overzicht project'!$J$25='Overzicht BTA'!N3,'Overzicht project'!$D$25,0)+IF('Overzicht project'!$J$26='Overzicht BTA'!N3,'Overzicht project'!$D$26,0)+IF('Overzicht project'!$J$27='Overzicht BTA'!N3,'Overzicht project'!$D$27,0)+IF('Overzicht project'!$J$28='Overzicht BTA'!N3,'Overzicht project'!$D$28,0)+IF('Overzicht project'!$J$29='Overzicht BTA'!N3,'Overzicht project'!$D$29,0)</f>
        <v>0</v>
      </c>
      <c r="Q32" s="588" t="s">
        <v>86</v>
      </c>
      <c r="R32" s="192"/>
    </row>
    <row r="33" spans="1:18" ht="15" thickTop="1" x14ac:dyDescent="0.3">
      <c r="B33" s="155" t="s">
        <v>82</v>
      </c>
      <c r="C33" s="426">
        <f>IF(MIN(C31-C32,C30)&lt;0,0,MIN(C31-C32,C30))</f>
        <v>0</v>
      </c>
      <c r="D33" s="200"/>
      <c r="E33" s="187"/>
      <c r="F33" s="192"/>
      <c r="H33" s="191"/>
      <c r="I33" s="155" t="s">
        <v>82</v>
      </c>
      <c r="J33" s="426">
        <f>IF(MIN(J31-J32,J30)&lt;0,0,MIN(J31-J32,J30))</f>
        <v>0</v>
      </c>
      <c r="K33" s="187"/>
      <c r="O33" s="155" t="s">
        <v>82</v>
      </c>
      <c r="P33" s="426">
        <f>IF(MIN(P31-P32,P30)&lt;0,0,MIN(P31-P32,P30))</f>
        <v>0</v>
      </c>
      <c r="Q33" s="187"/>
      <c r="R33" s="192"/>
    </row>
    <row r="34" spans="1:18" ht="7.2" customHeight="1" thickBot="1" x14ac:dyDescent="0.35">
      <c r="A34" s="199"/>
      <c r="B34" s="190"/>
      <c r="C34" s="195"/>
      <c r="D34" s="190"/>
      <c r="E34" s="190"/>
      <c r="F34" s="196"/>
      <c r="H34" s="195"/>
      <c r="I34" s="190"/>
      <c r="J34" s="190"/>
      <c r="K34" s="190"/>
      <c r="L34" s="190"/>
      <c r="N34" s="195"/>
      <c r="O34" s="190"/>
      <c r="P34" s="190"/>
      <c r="Q34" s="190"/>
      <c r="R34" s="196"/>
    </row>
    <row r="35" spans="1:18" ht="14.4" customHeight="1" x14ac:dyDescent="0.3">
      <c r="A35" s="183">
        <v>6</v>
      </c>
      <c r="B35" s="183" t="s">
        <v>87</v>
      </c>
      <c r="C35" s="197" t="s">
        <v>88</v>
      </c>
      <c r="D35" s="198" t="s">
        <v>89</v>
      </c>
      <c r="E35" s="184"/>
      <c r="F35" s="193"/>
      <c r="H35" s="197" t="s">
        <v>88</v>
      </c>
      <c r="I35" s="198" t="s">
        <v>89</v>
      </c>
      <c r="J35" s="198"/>
      <c r="K35" s="184"/>
      <c r="L35" s="184"/>
      <c r="N35" s="198" t="s">
        <v>88</v>
      </c>
      <c r="O35" s="198" t="s">
        <v>89</v>
      </c>
      <c r="P35" s="198"/>
      <c r="Q35" s="184"/>
      <c r="R35" s="193"/>
    </row>
    <row r="36" spans="1:18" ht="14.4" customHeight="1" x14ac:dyDescent="0.3">
      <c r="B36" s="155" t="s">
        <v>90</v>
      </c>
      <c r="C36" s="1085">
        <v>2026</v>
      </c>
      <c r="D36" s="1050">
        <f>VLOOKUP('Overzicht BTA'!C36,Bouwindex_ABEX!$Q$3:$R$340,2,FALSE)</f>
        <v>2.3958200000000001</v>
      </c>
      <c r="E36" s="358"/>
      <c r="F36" s="192"/>
      <c r="H36" s="1054">
        <f>C36</f>
        <v>2026</v>
      </c>
      <c r="I36" s="1050">
        <f>VLOOKUP('Overzicht BTA'!H36,Bouwindex_ABEX!$Q$3:$R$340,2,FALSE)</f>
        <v>2.3958200000000001</v>
      </c>
      <c r="N36" s="1054">
        <f>C36</f>
        <v>2026</v>
      </c>
      <c r="O36" s="1050">
        <f>VLOOKUP('Overzicht BTA'!N36,Bouwindex_ABEX!$Q$3:$R$340,2,FALSE)</f>
        <v>2.3958200000000001</v>
      </c>
      <c r="R36" s="192"/>
    </row>
    <row r="37" spans="1:18" x14ac:dyDescent="0.3">
      <c r="B37" s="435" t="s">
        <v>91</v>
      </c>
      <c r="C37" s="1085">
        <v>2026</v>
      </c>
      <c r="D37" s="1050">
        <f>VLOOKUP('Overzicht BTA'!C37,Bouwindex_ABEX!$Q$3:$R$340,2,FALSE)</f>
        <v>2.3958200000000001</v>
      </c>
      <c r="E37" s="1178" t="b">
        <v>0</v>
      </c>
      <c r="F37" s="1179"/>
      <c r="H37" s="1054">
        <f t="shared" ref="H37:H38" si="0">C37</f>
        <v>2026</v>
      </c>
      <c r="I37" s="1050">
        <f>VLOOKUP('Overzicht BTA'!H37,Bouwindex_ABEX!$Q$3:$R$340,2,FALSE)</f>
        <v>2.3958200000000001</v>
      </c>
      <c r="J37" s="436"/>
      <c r="K37" s="436"/>
      <c r="L37" s="436"/>
      <c r="M37" s="446"/>
      <c r="N37" s="1054">
        <f t="shared" ref="N37:N38" si="1">C37</f>
        <v>2026</v>
      </c>
      <c r="O37" s="1050">
        <f>VLOOKUP('Overzicht BTA'!N37,Bouwindex_ABEX!$Q$3:$R$340,2,FALSE)</f>
        <v>2.3958200000000001</v>
      </c>
      <c r="R37" s="192"/>
    </row>
    <row r="38" spans="1:18" ht="14.4" customHeight="1" x14ac:dyDescent="0.3">
      <c r="B38" s="155" t="s">
        <v>92</v>
      </c>
      <c r="C38" s="1085">
        <v>2026</v>
      </c>
      <c r="D38" s="1050">
        <f>VLOOKUP('Overzicht BTA'!C38,Bouwindex_ABEX!$Q$3:$R$340,2,FALSE)</f>
        <v>2.3958200000000001</v>
      </c>
      <c r="E38" s="735" t="b">
        <v>0</v>
      </c>
      <c r="F38" s="192"/>
      <c r="H38" s="1054">
        <f t="shared" si="0"/>
        <v>2026</v>
      </c>
      <c r="I38" s="1050">
        <f>VLOOKUP('Overzicht BTA'!H38,Bouwindex_ABEX!$Q$3:$R$340,2,FALSE)</f>
        <v>2.3958200000000001</v>
      </c>
      <c r="N38" s="1054">
        <f t="shared" si="1"/>
        <v>2026</v>
      </c>
      <c r="O38" s="1050">
        <f>VLOOKUP('Overzicht BTA'!N38,Bouwindex_ABEX!$Q$3:$R$340,2,FALSE)</f>
        <v>2.3958200000000001</v>
      </c>
      <c r="R38" s="192"/>
    </row>
    <row r="39" spans="1:18" ht="7.2" customHeight="1" thickBot="1" x14ac:dyDescent="0.35">
      <c r="A39" s="199"/>
      <c r="B39" s="190"/>
      <c r="C39" s="859" t="b">
        <v>0</v>
      </c>
      <c r="D39" s="190"/>
      <c r="E39" s="190"/>
      <c r="F39" s="196"/>
      <c r="H39" s="195"/>
      <c r="I39" s="190"/>
      <c r="J39" s="190"/>
      <c r="K39" s="190"/>
      <c r="L39" s="190"/>
      <c r="N39" s="190"/>
      <c r="O39" s="190"/>
      <c r="P39" s="190"/>
      <c r="Q39" s="190"/>
      <c r="R39" s="196"/>
    </row>
    <row r="40" spans="1:18" x14ac:dyDescent="0.3">
      <c r="A40" s="183">
        <v>7</v>
      </c>
      <c r="B40" s="183" t="s">
        <v>93</v>
      </c>
      <c r="C40" s="194"/>
      <c r="D40" s="184"/>
      <c r="E40" s="184"/>
      <c r="F40" s="193"/>
      <c r="H40" s="194"/>
      <c r="I40" s="184"/>
      <c r="J40" s="184"/>
      <c r="K40" s="184"/>
      <c r="L40" s="184"/>
      <c r="N40" s="184"/>
      <c r="O40" s="184"/>
      <c r="P40" s="184"/>
      <c r="Q40" s="184"/>
      <c r="R40" s="193"/>
    </row>
    <row r="41" spans="1:18" ht="15" thickBot="1" x14ac:dyDescent="0.35">
      <c r="B41" s="155" t="s">
        <v>94</v>
      </c>
      <c r="C41" s="1097">
        <f>'uitgebreide raming'!J26</f>
        <v>0</v>
      </c>
      <c r="D41" s="190"/>
      <c r="E41" s="190"/>
      <c r="F41" s="196"/>
      <c r="H41" s="1097">
        <f>'uitgebreide raming'!J53</f>
        <v>0</v>
      </c>
      <c r="I41" s="190"/>
      <c r="J41" s="190"/>
      <c r="K41" s="190"/>
      <c r="L41" s="196"/>
      <c r="N41" s="1097">
        <f>'uitgebreide raming'!J80</f>
        <v>0</v>
      </c>
      <c r="O41" s="190"/>
      <c r="P41" s="190"/>
      <c r="Q41" s="190"/>
      <c r="R41" s="196"/>
    </row>
    <row r="42" spans="1:18" ht="28.2" customHeight="1" thickBot="1" x14ac:dyDescent="0.35">
      <c r="A42" s="474">
        <v>8</v>
      </c>
      <c r="B42" s="475" t="s">
        <v>1421</v>
      </c>
      <c r="C42" s="859" t="b">
        <v>0</v>
      </c>
      <c r="D42" s="190"/>
      <c r="E42" s="190"/>
      <c r="F42" s="196"/>
      <c r="H42" s="1165"/>
      <c r="I42" s="1166"/>
      <c r="J42" s="1166"/>
      <c r="K42" s="1166"/>
      <c r="L42" s="1167"/>
      <c r="N42" s="1165"/>
      <c r="O42" s="1166"/>
      <c r="P42" s="1166"/>
      <c r="Q42" s="1166"/>
      <c r="R42" s="1167"/>
    </row>
    <row r="43" spans="1:18" ht="28.2" customHeight="1" thickBot="1" x14ac:dyDescent="0.35">
      <c r="A43" s="1099"/>
      <c r="B43" s="1098" t="s">
        <v>1423</v>
      </c>
      <c r="C43" s="1100">
        <f>IFERROR('Upload AXI - CONF'!D752,0)</f>
        <v>0</v>
      </c>
      <c r="D43" s="190"/>
      <c r="E43" s="190"/>
      <c r="F43" s="196"/>
      <c r="H43" s="1096"/>
      <c r="I43" s="922"/>
      <c r="J43" s="922"/>
      <c r="K43" s="922"/>
      <c r="L43" s="926"/>
      <c r="N43" s="1096"/>
      <c r="O43" s="922"/>
      <c r="P43" s="922"/>
      <c r="Q43" s="922"/>
      <c r="R43" s="926"/>
    </row>
    <row r="44" spans="1:18" ht="16.8" customHeight="1" thickBot="1" x14ac:dyDescent="0.35">
      <c r="B44" s="1095" t="s">
        <v>1424</v>
      </c>
      <c r="C44" s="1101" t="str">
        <f>'Upload AXI - CONF'!D840</f>
        <v/>
      </c>
      <c r="D44" s="190"/>
      <c r="E44" s="190"/>
      <c r="F44" s="196"/>
      <c r="H44" s="1096"/>
      <c r="I44" s="922"/>
      <c r="J44" s="922"/>
      <c r="K44" s="922"/>
      <c r="L44" s="926"/>
      <c r="N44" s="1096"/>
      <c r="O44" s="922"/>
      <c r="P44" s="922"/>
      <c r="Q44" s="922"/>
      <c r="R44" s="926"/>
    </row>
    <row r="45" spans="1:18" ht="31.95" customHeight="1" thickBot="1" x14ac:dyDescent="0.35">
      <c r="A45" s="474">
        <v>9</v>
      </c>
      <c r="B45" s="475" t="s">
        <v>1425</v>
      </c>
      <c r="C45" s="560" t="b">
        <v>0</v>
      </c>
      <c r="D45" s="476"/>
      <c r="E45" s="476"/>
      <c r="F45" s="477"/>
      <c r="G45" s="168"/>
      <c r="H45" s="478"/>
      <c r="I45" s="476"/>
      <c r="J45" s="476"/>
      <c r="K45" s="476"/>
      <c r="L45" s="477"/>
      <c r="M45" s="556"/>
      <c r="N45" s="478"/>
      <c r="O45" s="476"/>
      <c r="P45" s="476"/>
      <c r="Q45" s="476"/>
      <c r="R45" s="477"/>
    </row>
    <row r="46" spans="1:18" ht="28.2" customHeight="1" thickBot="1" x14ac:dyDescent="0.35">
      <c r="A46" s="1099"/>
      <c r="B46" s="1098" t="s">
        <v>1426</v>
      </c>
      <c r="C46" s="1100">
        <f>'Upload AXI - CONF'!D757</f>
        <v>0</v>
      </c>
      <c r="D46" s="190"/>
      <c r="E46" s="190"/>
      <c r="F46" s="196"/>
      <c r="H46" s="1096"/>
      <c r="I46" s="922"/>
      <c r="J46" s="922"/>
      <c r="K46" s="922"/>
      <c r="L46" s="926"/>
      <c r="N46" s="1096"/>
      <c r="O46" s="922"/>
      <c r="P46" s="922"/>
      <c r="Q46" s="922"/>
      <c r="R46" s="926"/>
    </row>
    <row r="47" spans="1:18" ht="16.8" customHeight="1" thickBot="1" x14ac:dyDescent="0.35">
      <c r="A47" s="1099"/>
      <c r="B47" s="1098" t="s">
        <v>1424</v>
      </c>
      <c r="C47" s="1101">
        <f>'Upload AXI - CONF'!D753</f>
        <v>0</v>
      </c>
      <c r="D47" s="190"/>
      <c r="E47" s="190"/>
      <c r="F47" s="196"/>
      <c r="H47" s="1096"/>
      <c r="I47" s="922"/>
      <c r="J47" s="922"/>
      <c r="K47" s="922"/>
      <c r="L47" s="926"/>
      <c r="N47" s="1096"/>
      <c r="O47" s="922"/>
      <c r="P47" s="922"/>
      <c r="Q47" s="922"/>
      <c r="R47" s="926"/>
    </row>
    <row r="48" spans="1:18" ht="10.199999999999999" customHeight="1" x14ac:dyDescent="0.3">
      <c r="M48"/>
    </row>
    <row r="49" spans="1:22" ht="15.6" hidden="1" x14ac:dyDescent="0.3">
      <c r="A49" s="546">
        <v>9</v>
      </c>
      <c r="B49" s="546" t="s">
        <v>91</v>
      </c>
      <c r="C49" s="547"/>
      <c r="D49" s="548"/>
      <c r="E49" s="548"/>
      <c r="F49" s="548"/>
      <c r="G49" s="548"/>
      <c r="H49" s="548"/>
      <c r="I49" s="548"/>
      <c r="J49" s="548"/>
      <c r="K49" s="548"/>
      <c r="L49" s="548"/>
      <c r="M49" s="548"/>
      <c r="N49" s="548"/>
      <c r="O49" s="548"/>
      <c r="P49" s="548"/>
      <c r="Q49" s="548"/>
      <c r="R49" s="548"/>
    </row>
    <row r="50" spans="1:22" hidden="1" x14ac:dyDescent="0.3">
      <c r="A50" s="183" t="s">
        <v>95</v>
      </c>
      <c r="B50" s="185" t="s">
        <v>60</v>
      </c>
      <c r="C50" s="278" t="s">
        <v>61</v>
      </c>
      <c r="D50" s="279" t="s">
        <v>61</v>
      </c>
      <c r="E50" s="280" t="s">
        <v>47</v>
      </c>
      <c r="F50" s="281" t="s">
        <v>48</v>
      </c>
      <c r="H50" s="284" t="s">
        <v>60</v>
      </c>
      <c r="I50" s="283" t="s">
        <v>61</v>
      </c>
      <c r="J50" s="279" t="s">
        <v>61</v>
      </c>
      <c r="K50" s="280" t="s">
        <v>47</v>
      </c>
      <c r="L50" s="281" t="s">
        <v>48</v>
      </c>
      <c r="N50" s="185" t="s">
        <v>60</v>
      </c>
      <c r="O50" s="540" t="s">
        <v>61</v>
      </c>
      <c r="P50" s="541" t="s">
        <v>61</v>
      </c>
      <c r="Q50" s="280" t="s">
        <v>47</v>
      </c>
      <c r="R50" s="281" t="s">
        <v>48</v>
      </c>
    </row>
    <row r="51" spans="1:22" hidden="1" x14ac:dyDescent="0.3">
      <c r="B51" s="406" t="str">
        <f>VLOOKUP('Overzicht project_gewijzigd'!C10,Bron!$A$7:$B$16,2,FALSE)</f>
        <v>Kies kostensoort</v>
      </c>
      <c r="C51" s="793">
        <f>IF(OR(B51=Bron!$B$9,B51=Bron!$B$14),'Overzicht project_gewijzigd'!E10,'Overzicht project_gewijzigd'!E10)</f>
        <v>0</v>
      </c>
      <c r="D51" s="805">
        <v>0</v>
      </c>
      <c r="E51" s="407">
        <f>'Overzicht project_gewijzigd'!H10</f>
        <v>0</v>
      </c>
      <c r="F51" s="408">
        <f>'Overzicht project_gewijzigd'!I10</f>
        <v>0</v>
      </c>
      <c r="G51" s="287"/>
      <c r="H51" s="414" t="str">
        <f>VLOOKUP('Overzicht project_gewijzigd'!C17,Bron!$A$7:$B$16,2,FALSE)</f>
        <v>Kies kostensoort</v>
      </c>
      <c r="I51" s="807">
        <f>IF(OR(H51=Bron!$B$9,H51=Bron!$B$14),'Overzicht project_gewijzigd'!E17,'Overzicht project_gewijzigd'!E17)</f>
        <v>0</v>
      </c>
      <c r="J51" s="805">
        <v>0</v>
      </c>
      <c r="K51" s="407">
        <f>'Overzicht project_gewijzigd'!H17</f>
        <v>0</v>
      </c>
      <c r="L51" s="408">
        <f>'Overzicht project_gewijzigd'!I17</f>
        <v>0</v>
      </c>
      <c r="M51" s="291"/>
      <c r="N51" s="414" t="str">
        <f>VLOOKUP('Overzicht project_gewijzigd'!C24,Bron!$A$7:$B$16,2,FALSE)</f>
        <v>Kies kostensoort</v>
      </c>
      <c r="O51" s="807">
        <f>IF(OR(B51=Bron!$B$9,B51=Bron!$B$14),'Overzicht project_gewijzigd'!E24,'Overzicht project_gewijzigd'!E24)</f>
        <v>0</v>
      </c>
      <c r="P51" s="805">
        <v>0</v>
      </c>
      <c r="Q51" s="407">
        <f>'Overzicht project_gewijzigd'!H24</f>
        <v>0</v>
      </c>
      <c r="R51" s="408">
        <f>'Overzicht project_gewijzigd'!I24</f>
        <v>0</v>
      </c>
    </row>
    <row r="52" spans="1:22" hidden="1" x14ac:dyDescent="0.3">
      <c r="B52" s="406" t="str">
        <f>VLOOKUP('Overzicht project_gewijzigd'!C11,Bron!$A$7:$B$16,2,FALSE)</f>
        <v>Kies kostensoort</v>
      </c>
      <c r="C52" s="793">
        <f>IF(OR(B52=Bron!$B$9,B52=Bron!$B$14),'Overzicht project_gewijzigd'!E11,'Overzicht project_gewijzigd'!E11)</f>
        <v>0</v>
      </c>
      <c r="D52" s="805">
        <v>0</v>
      </c>
      <c r="E52" s="407">
        <f>'Overzicht project_gewijzigd'!H11</f>
        <v>0</v>
      </c>
      <c r="F52" s="408">
        <f>'Overzicht project_gewijzigd'!I11</f>
        <v>0</v>
      </c>
      <c r="G52" s="288"/>
      <c r="H52" s="414" t="str">
        <f>VLOOKUP('Overzicht project_gewijzigd'!C18,Bron!$A$7:$B$16,2,FALSE)</f>
        <v>Kies kostensoort</v>
      </c>
      <c r="I52" s="807">
        <f>IF(OR(H52=Bron!$B$9,H52=Bron!$B$14),'Overzicht project_gewijzigd'!E18,'Overzicht project_gewijzigd'!E18)</f>
        <v>0</v>
      </c>
      <c r="J52" s="805">
        <v>0</v>
      </c>
      <c r="K52" s="407">
        <f>'Overzicht project_gewijzigd'!H18</f>
        <v>0</v>
      </c>
      <c r="L52" s="408">
        <f>'Overzicht project_gewijzigd'!I18</f>
        <v>0</v>
      </c>
      <c r="M52" s="292"/>
      <c r="N52" s="414" t="str">
        <f>VLOOKUP('Overzicht project_gewijzigd'!C25,Bron!$A$7:$B$16,2,FALSE)</f>
        <v>Kies kostensoort</v>
      </c>
      <c r="O52" s="807">
        <f>IF(OR(B52=Bron!$B$9,B52=Bron!$B$14),'Overzicht project_gewijzigd'!E25,'Overzicht project_gewijzigd'!E25)</f>
        <v>0</v>
      </c>
      <c r="P52" s="805">
        <v>0</v>
      </c>
      <c r="Q52" s="407">
        <f>'Overzicht project_gewijzigd'!H25</f>
        <v>0</v>
      </c>
      <c r="R52" s="408">
        <f>'Overzicht project_gewijzigd'!I25</f>
        <v>0</v>
      </c>
    </row>
    <row r="53" spans="1:22" hidden="1" x14ac:dyDescent="0.3">
      <c r="B53" s="406" t="str">
        <f>VLOOKUP('Overzicht project_gewijzigd'!C12,Bron!$A$7:$B$16,2,FALSE)</f>
        <v>Kies kostensoort</v>
      </c>
      <c r="C53" s="793">
        <f>IF(OR(B53=Bron!$B$9,B53=Bron!$B$14),'Overzicht project_gewijzigd'!E12,'Overzicht project_gewijzigd'!E12)</f>
        <v>0</v>
      </c>
      <c r="D53" s="805">
        <v>0</v>
      </c>
      <c r="E53" s="407">
        <f>'Overzicht project_gewijzigd'!H12</f>
        <v>0</v>
      </c>
      <c r="F53" s="408">
        <f>'Overzicht project_gewijzigd'!I12</f>
        <v>0</v>
      </c>
      <c r="G53" s="288"/>
      <c r="H53" s="414" t="str">
        <f>VLOOKUP('Overzicht project_gewijzigd'!C19,Bron!$A$7:$B$16,2,FALSE)</f>
        <v>Kies kostensoort</v>
      </c>
      <c r="I53" s="807">
        <f>IF(OR(H53=Bron!$B$9,H53=Bron!$B$14),'Overzicht project_gewijzigd'!E19,'Overzicht project_gewijzigd'!E19)</f>
        <v>0</v>
      </c>
      <c r="J53" s="805">
        <v>0</v>
      </c>
      <c r="K53" s="407">
        <f>'Overzicht project_gewijzigd'!H19</f>
        <v>0</v>
      </c>
      <c r="L53" s="408">
        <f>'Overzicht project_gewijzigd'!I19</f>
        <v>0</v>
      </c>
      <c r="M53" s="292"/>
      <c r="N53" s="414" t="str">
        <f>VLOOKUP('Overzicht project_gewijzigd'!C26,Bron!$A$7:$B$16,2,FALSE)</f>
        <v>Kies kostensoort</v>
      </c>
      <c r="O53" s="807">
        <f>IF(OR(B53=Bron!$B$9,B53=Bron!$B$14),'Overzicht project_gewijzigd'!E26,'Overzicht project_gewijzigd'!E26)</f>
        <v>0</v>
      </c>
      <c r="P53" s="805">
        <v>0</v>
      </c>
      <c r="Q53" s="407">
        <f>'Overzicht project_gewijzigd'!H26</f>
        <v>0</v>
      </c>
      <c r="R53" s="408">
        <f>'Overzicht project_gewijzigd'!I26</f>
        <v>0</v>
      </c>
    </row>
    <row r="54" spans="1:22" hidden="1" x14ac:dyDescent="0.3">
      <c r="B54" s="406" t="str">
        <f>VLOOKUP('Overzicht project_gewijzigd'!C13,Bron!$A$7:$B$16,2,FALSE)</f>
        <v>Kies kostensoort</v>
      </c>
      <c r="C54" s="793">
        <f>IF(OR(B54=Bron!$B$9,B54=Bron!$B$14),'Overzicht project_gewijzigd'!E13,'Overzicht project_gewijzigd'!E13)</f>
        <v>0</v>
      </c>
      <c r="D54" s="805">
        <v>0</v>
      </c>
      <c r="E54" s="407">
        <f>'Overzicht project_gewijzigd'!H13</f>
        <v>0</v>
      </c>
      <c r="F54" s="408">
        <f>'Overzicht project_gewijzigd'!I13</f>
        <v>0</v>
      </c>
      <c r="G54" s="288"/>
      <c r="H54" s="414" t="str">
        <f>VLOOKUP('Overzicht project_gewijzigd'!C20,Bron!$A$7:$B$16,2,FALSE)</f>
        <v>Kies kostensoort</v>
      </c>
      <c r="I54" s="807">
        <f>IF(OR(H54=Bron!$B$9,H54=Bron!$B$14),'Overzicht project_gewijzigd'!E20,'Overzicht project_gewijzigd'!E20)</f>
        <v>0</v>
      </c>
      <c r="J54" s="805">
        <v>0</v>
      </c>
      <c r="K54" s="407">
        <f>'Overzicht project_gewijzigd'!H20</f>
        <v>0</v>
      </c>
      <c r="L54" s="408">
        <f>'Overzicht project_gewijzigd'!I20</f>
        <v>0</v>
      </c>
      <c r="M54" s="292"/>
      <c r="N54" s="414" t="str">
        <f>VLOOKUP('Overzicht project_gewijzigd'!C27,Bron!$A$7:$B$16,2,FALSE)</f>
        <v>Kies kostensoort</v>
      </c>
      <c r="O54" s="807">
        <f>IF(OR(B54=Bron!$B$9,B54=Bron!$B$14),'Overzicht project_gewijzigd'!E27,'Overzicht project_gewijzigd'!E27)</f>
        <v>0</v>
      </c>
      <c r="P54" s="805">
        <v>0</v>
      </c>
      <c r="Q54" s="407">
        <f>'Overzicht project_gewijzigd'!H27</f>
        <v>0</v>
      </c>
      <c r="R54" s="408">
        <f>'Overzicht project_gewijzigd'!I27</f>
        <v>0</v>
      </c>
    </row>
    <row r="55" spans="1:22" ht="7.2" hidden="1" customHeight="1" thickBot="1" x14ac:dyDescent="0.35">
      <c r="A55" s="199"/>
      <c r="B55" s="190"/>
      <c r="C55" s="195"/>
      <c r="D55" s="190"/>
      <c r="E55" s="190"/>
      <c r="F55" s="196"/>
      <c r="H55" s="195"/>
      <c r="I55" s="190"/>
      <c r="J55" s="190"/>
      <c r="K55" s="190"/>
      <c r="L55" s="190"/>
      <c r="N55" s="190"/>
      <c r="O55" s="190"/>
      <c r="P55" s="190"/>
      <c r="Q55" s="190"/>
      <c r="R55" s="196"/>
    </row>
    <row r="56" spans="1:22" hidden="1" x14ac:dyDescent="0.3">
      <c r="A56" s="183" t="s">
        <v>96</v>
      </c>
      <c r="B56" s="185" t="s">
        <v>64</v>
      </c>
      <c r="C56" s="282" t="s">
        <v>65</v>
      </c>
      <c r="D56" s="283" t="s">
        <v>66</v>
      </c>
      <c r="E56" s="282" t="s">
        <v>65</v>
      </c>
      <c r="F56" s="283" t="s">
        <v>66</v>
      </c>
      <c r="H56" s="284" t="s">
        <v>60</v>
      </c>
      <c r="I56" s="366" t="s">
        <v>65</v>
      </c>
      <c r="J56" s="283" t="s">
        <v>66</v>
      </c>
      <c r="K56" s="282" t="s">
        <v>65</v>
      </c>
      <c r="L56" s="283" t="s">
        <v>66</v>
      </c>
      <c r="M56" s="289" t="s">
        <v>69</v>
      </c>
      <c r="N56" s="183"/>
      <c r="O56" s="557" t="s">
        <v>65</v>
      </c>
      <c r="P56" s="540" t="s">
        <v>66</v>
      </c>
      <c r="Q56" s="282" t="s">
        <v>65</v>
      </c>
      <c r="R56" s="283" t="s">
        <v>66</v>
      </c>
    </row>
    <row r="57" spans="1:22" hidden="1" x14ac:dyDescent="0.3">
      <c r="B57" s="155" t="s">
        <v>70</v>
      </c>
      <c r="C57" s="499">
        <f>IF($B$57=B$51,'Overzicht project_gewijzigd'!$D$10,IF($B$57=B$52,'Overzicht project_gewijzigd'!$D$11,IF($B$57=B$53,'Overzicht project_gewijzigd'!$D$12,IF($B$57=B$54,'Overzicht project_gewijzigd'!$D$13,0))))</f>
        <v>0</v>
      </c>
      <c r="D57" s="409">
        <f>IF($B$57=$B$51,'Overzicht project_gewijzigd'!$E$10,IF($B$57=$B$52,'Overzicht project_gewijzigd'!$E$11,IF($B$57=$B$53,'Overzicht project_gewijzigd'!$E$12,IF($B$57=$B$54,'Overzicht project_gewijzigd'!$E$13,0))))</f>
        <v>0</v>
      </c>
      <c r="E57" s="545">
        <f>IF(B$57=B$51,'Overzicht project_gewijzigd'!$F$10,IF(B$57=B$52,'Overzicht project_gewijzigd'!$F$11,IF(B$57=B$53,'Overzicht project_gewijzigd'!$F$12,IF(B$57=B$54,'Overzicht project_gewijzigd'!$F$13,0))))</f>
        <v>0</v>
      </c>
      <c r="F57" s="828">
        <f>IF(B$57=B$51,'Overzicht project_gewijzigd'!$G$10,IF(B$57=B$52,'Overzicht project_gewijzigd'!$G$11,IF(B$57=B$53,'Overzicht project_gewijzigd'!$G$12,IF(B$57=B$54,'Overzicht project_gewijzigd'!$G$13,0))))</f>
        <v>0</v>
      </c>
      <c r="G57" s="288"/>
      <c r="H57" s="415" t="s">
        <v>70</v>
      </c>
      <c r="I57" s="545">
        <f>IF(H57=$H$51,'Overzicht project_gewijzigd'!$D$17,IF(H57=$H$52,'Overzicht project_gewijzigd'!$D$18,IF(H57=$H$53,'Overzicht project_gewijzigd'!$D$19,IF(H57=$H$54,'Overzicht project_gewijzigd'!$D$20,0))))</f>
        <v>0</v>
      </c>
      <c r="J57" s="409">
        <f>IF(H57=$H$51,'Overzicht project_gewijzigd'!$E$17,IF(H57=$H$52,'Overzicht project_gewijzigd'!$E$18,IF(H57=$H$53,'Overzicht project_gewijzigd'!$E$19,IF(H57=$H$54,'Overzicht project_gewijzigd'!$E$20,0))))</f>
        <v>0</v>
      </c>
      <c r="K57" s="545">
        <f>IF(H$57=H$51,'Overzicht project_gewijzigd'!$F$17,IF(H$57=H$52,'Overzicht project_gewijzigd'!$F$18,IF(H$57=H$53,'Overzicht project_gewijzigd'!$F$19,IF(H$57=H$54,'Overzicht project_gewijzigd'!$F$20,0))))</f>
        <v>0</v>
      </c>
      <c r="L57" s="828">
        <f>IF(H$57=H$51,'Overzicht project_gewijzigd'!$G$17,IF(H$57=H$52,'Overzicht project_gewijzigd'!$G$18,IF(H$57=H$53,'Overzicht project_gewijzigd'!$G$19,IF(H$57=H$54,'Overzicht project_gewijzigd'!$G$20,0))))</f>
        <v>0</v>
      </c>
      <c r="M57" s="292"/>
      <c r="N57" s="155" t="s">
        <v>70</v>
      </c>
      <c r="O57" s="545">
        <f>IF(N57=$N$51,'Overzicht project_gewijzigd'!$D$24,IF(N57=$N$52,'Overzicht project_gewijzigd'!$D$25,IF(N57=$N$53,'Overzicht project_gewijzigd'!$D$26,IF(N57=$N$54,'Overzicht project_gewijzigd'!$D$27,0))))</f>
        <v>0</v>
      </c>
      <c r="P57" s="409">
        <f>IF(N57=$N$51,'Overzicht project_gewijzigd'!$E$24,IF(N57=$N$52,'Overzicht project_gewijzigd'!$E$25,IF(N57=$N$53,'Overzicht project_gewijzigd'!$E$26,IF(N57=$N$54,'Overzicht project_gewijzigd'!$E$27,0))))</f>
        <v>0</v>
      </c>
      <c r="Q57" s="545">
        <f>IF(N$57=N$51,'Overzicht project_gewijzigd'!$F$24,IF(N$57=N$52,'Overzicht project_gewijzigd'!$F$25,IF(N$57=N$53,'Overzicht project_gewijzigd'!$F$26,IF(N$57=N$54,'Overzicht project_gewijzigd'!$F$27,0))))</f>
        <v>0</v>
      </c>
      <c r="R57" s="828">
        <f>IF(N$57=N$51,'Overzicht project_gewijzigd'!$G$24,IF(N$57=N$52,'Overzicht project_gewijzigd'!$G$25,IF(N$57=N$53,'Overzicht project_gewijzigd'!$G$26,IF(N$57=N$54,'Overzicht project_gewijzigd'!$G$27,0))))</f>
        <v>0</v>
      </c>
    </row>
    <row r="58" spans="1:22" hidden="1" x14ac:dyDescent="0.3">
      <c r="B58" s="155" t="s">
        <v>71</v>
      </c>
      <c r="C58" s="499">
        <f>IF(B58=$B$51,'Overzicht project_gewijzigd'!$D$10,IF(B58=$B$52,'Overzicht project_gewijzigd'!$D$11,IF(B58=$B$53,'Overzicht project_gewijzigd'!$D$12,IF(B58=$B$54,'Overzicht project_gewijzigd'!$D$13,0))))</f>
        <v>0</v>
      </c>
      <c r="D58" s="409">
        <f>IF(B58=$B$51,'Overzicht project_gewijzigd'!$E$10,IF(B58=$B$52,'Overzicht project_gewijzigd'!$E$11,IF(B58=$B$53,'Overzicht project_gewijzigd'!$E$12,IF(B58=$B$54,'Overzicht project_gewijzigd'!$E$13,0))))</f>
        <v>0</v>
      </c>
      <c r="E58" s="413"/>
      <c r="F58" s="830"/>
      <c r="G58" s="288"/>
      <c r="H58" s="415" t="s">
        <v>71</v>
      </c>
      <c r="I58" s="545">
        <f>IF(H58=$H$51,'Overzicht project_gewijzigd'!$D$17,IF(H58=$H$52,'Overzicht project_gewijzigd'!$D$18,IF(H58=$H$53,'Overzicht project_gewijzigd'!$D$19,IF(H58=$H$54,'Overzicht project_gewijzigd'!$D$20,0))))</f>
        <v>0</v>
      </c>
      <c r="J58" s="409">
        <f>IF(H58=$H$51,'Overzicht project_gewijzigd'!$E$17,IF(H58=$H$52,'Overzicht project_gewijzigd'!$E$18,IF(H58=$H$53,'Overzicht project_gewijzigd'!$E$19,IF(H58=$H$54,'Overzicht project_gewijzigd'!$E$20,0))))</f>
        <v>0</v>
      </c>
      <c r="K58" s="413"/>
      <c r="L58" s="830"/>
      <c r="M58" s="292"/>
      <c r="N58" s="155" t="s">
        <v>71</v>
      </c>
      <c r="O58" s="545">
        <f>IF(N58=$N$51,'Overzicht project_gewijzigd'!$D$24,IF(N58=$N$52,'Overzicht project_gewijzigd'!$D$25,IF(N58=$N$53,'Overzicht project_gewijzigd'!$D$26,IF(N58=$N$54,'Overzicht project_gewijzigd'!$D$27,0))))</f>
        <v>0</v>
      </c>
      <c r="P58" s="409">
        <f>IF(N58=$N$51,'Overzicht project_gewijzigd'!$E$24,IF(N58=$N$52,'Overzicht project_gewijzigd'!$E$25,IF(N58=$N$53,'Overzicht project_gewijzigd'!$E$26,IF(N58=$N$54,'Overzicht project_gewijzigd'!$E$27,0))))</f>
        <v>0</v>
      </c>
      <c r="Q58" s="413"/>
      <c r="R58" s="830"/>
    </row>
    <row r="59" spans="1:22" hidden="1" x14ac:dyDescent="0.3">
      <c r="B59" s="155" t="s">
        <v>72</v>
      </c>
      <c r="C59" s="499">
        <f>IF(B59=$B$51,'Overzicht project_gewijzigd'!$D$10,IF(B59=$B$52,'Overzicht project_gewijzigd'!$D$11,IF(B59=$B$53,'Overzicht project_gewijzigd'!$D$12,IF(B59=$B$54,'Overzicht project_gewijzigd'!$D$13,0))))</f>
        <v>0</v>
      </c>
      <c r="D59" s="409">
        <f>IF(B59=$B$51,'Overzicht project_gewijzigd'!$E$10,IF(B59=$B$52,'Overzicht project_gewijzigd'!$E$11,IF(B59=$B$53,'Overzicht project_gewijzigd'!$E$12,IF(B59=$B$54,'Overzicht project_gewijzigd'!$E$13,0))))</f>
        <v>0</v>
      </c>
      <c r="E59" s="413"/>
      <c r="F59" s="830"/>
      <c r="G59" s="288"/>
      <c r="H59" s="415" t="s">
        <v>72</v>
      </c>
      <c r="I59" s="545">
        <f>IF(H59=$H$51,'Overzicht project_gewijzigd'!$D$17,IF(H59=$H$52,'Overzicht project_gewijzigd'!$D$18,IF(H59=$H$53,'Overzicht project_gewijzigd'!$D$19,IF(H59=$H$54,'Overzicht project_gewijzigd'!$D$20,0))))</f>
        <v>0</v>
      </c>
      <c r="J59" s="409">
        <f>IF(H59=$H$51,'Overzicht project_gewijzigd'!$E$17,IF(H59=$H$52,'Overzicht project_gewijzigd'!$E$18,IF(H59=$H$53,'Overzicht project_gewijzigd'!$E$19,IF(H59=$H$54,'Overzicht project_gewijzigd'!$E$20,0))))</f>
        <v>0</v>
      </c>
      <c r="K59" s="413"/>
      <c r="L59" s="830"/>
      <c r="M59" s="292"/>
      <c r="N59" s="155" t="s">
        <v>72</v>
      </c>
      <c r="O59" s="545">
        <f>IF(N59=$N$51,'Overzicht project_gewijzigd'!$D$24,IF(N59=$N$52,'Overzicht project_gewijzigd'!$D$25,IF(N59=$N$53,'Overzicht project_gewijzigd'!$D$26,IF(N59=$N$54,'Overzicht project_gewijzigd'!$D$27,0))))</f>
        <v>0</v>
      </c>
      <c r="P59" s="409">
        <f>IF(N59=$N$51,'Overzicht project_gewijzigd'!$E$24,IF(N59=$N$52,'Overzicht project_gewijzigd'!$E$25,IF(N59=$N$53,'Overzicht project_gewijzigd'!$E$26,IF(N59=$N$54,'Overzicht project_gewijzigd'!$E$27,0))))</f>
        <v>0</v>
      </c>
      <c r="Q59" s="413"/>
      <c r="R59" s="830"/>
    </row>
    <row r="60" spans="1:22" hidden="1" x14ac:dyDescent="0.3">
      <c r="B60" s="155" t="s">
        <v>73</v>
      </c>
      <c r="C60" s="499">
        <f>IF(B60=$B$51,'Overzicht project_gewijzigd'!$D$10,IF(B60=$B$52,'Overzicht project_gewijzigd'!$D$11,IF(B60=$B$53,'Overzicht project_gewijzigd'!$D$12,IF(B60=$B$54,'Overzicht project_gewijzigd'!$D$13,0))))</f>
        <v>0</v>
      </c>
      <c r="D60" s="409">
        <f>IF(B60=$B$51,'Overzicht project_gewijzigd'!$E$10,IF(B60=$B$52,'Overzicht project_gewijzigd'!$E$11,IF(B60=$B$53,'Overzicht project_gewijzigd'!$E$12,IF(B60=$B$54,'Overzicht project_gewijzigd'!$E$13,0))))</f>
        <v>0</v>
      </c>
      <c r="E60" s="413"/>
      <c r="F60" s="830"/>
      <c r="G60" s="288"/>
      <c r="H60" s="415" t="s">
        <v>73</v>
      </c>
      <c r="I60" s="545">
        <f>IF(H60=$H$51,'Overzicht project_gewijzigd'!$D$17,IF(H60=$H$52,'Overzicht project_gewijzigd'!$D$18,IF(H60=$H$53,'Overzicht project_gewijzigd'!$D$19,IF(H60=$H$54,'Overzicht project_gewijzigd'!$D$20,0))))</f>
        <v>0</v>
      </c>
      <c r="J60" s="409">
        <f>IF(H60=$H$51,'Overzicht project_gewijzigd'!$E$17,IF(H60=$H$52,'Overzicht project_gewijzigd'!$E$18,IF(H60=$H$53,'Overzicht project_gewijzigd'!$E$19,IF(H60=$H$54,'Overzicht project_gewijzigd'!$E$20,0))))</f>
        <v>0</v>
      </c>
      <c r="K60" s="413"/>
      <c r="L60" s="830"/>
      <c r="M60" s="292"/>
      <c r="N60" s="155" t="s">
        <v>73</v>
      </c>
      <c r="O60" s="545">
        <f>IF(N60=$N$51,'Overzicht project_gewijzigd'!$D$24,IF(N60=$N$52,'Overzicht project_gewijzigd'!$D$25,IF(N60=$N$53,'Overzicht project_gewijzigd'!$D$26,IF(N60=$N$54,'Overzicht project_gewijzigd'!$D$27,0))))</f>
        <v>0</v>
      </c>
      <c r="P60" s="409">
        <f>IF(N60=$N$51,'Overzicht project_gewijzigd'!$E$24,IF(N60=$N$52,'Overzicht project_gewijzigd'!$E$25,IF(N60=$N$53,'Overzicht project_gewijzigd'!$E$26,IF(N60=$N$54,'Overzicht project_gewijzigd'!$E$27,0))))</f>
        <v>0</v>
      </c>
      <c r="Q60" s="413"/>
      <c r="R60" s="830"/>
    </row>
    <row r="61" spans="1:22" hidden="1" x14ac:dyDescent="0.3">
      <c r="B61" s="155" t="s">
        <v>74</v>
      </c>
      <c r="C61" s="499">
        <f>IF(OR(B61=$B$51,B51=Bron!$A$16),'Overzicht project_gewijzigd'!$D$10,IF(OR(B61=$B$52,B52=Bron!$A$16),'Overzicht project_gewijzigd'!$D$11,IF(OR(B61=$B$53,B53=Bron!$A$16),'Overzicht project_gewijzigd'!$D$12,IF(OR(B61=$B$54,B54=Bron!$A$16),'Overzicht project_gewijzigd'!$D$13,0))))</f>
        <v>0</v>
      </c>
      <c r="D61" s="409">
        <f>IF(B61=$B$51,'Overzicht project_gewijzigd'!$E$10,IF(B61=$B$52,'Overzicht project_gewijzigd'!$E$11,IF(B61=$B$53,'Overzicht project_gewijzigd'!$E$12,IF(B61=$B$54,'Overzicht project_gewijzigd'!$E$13,0))))</f>
        <v>0</v>
      </c>
      <c r="E61" s="413"/>
      <c r="F61" s="830"/>
      <c r="G61" s="288"/>
      <c r="H61" s="415" t="s">
        <v>74</v>
      </c>
      <c r="I61" s="545">
        <f>IF(H61=$H$51,'Overzicht project_gewijzigd'!$D$17,IF(H61=$H$52,'Overzicht project_gewijzigd'!$D$18,IF(H61=$H$53,'Overzicht project_gewijzigd'!$D$19,IF(H61=$H$54,'Overzicht project_gewijzigd'!$D$20,0))))</f>
        <v>0</v>
      </c>
      <c r="J61" s="409">
        <f>IF(H61=$H$51,'Overzicht project_gewijzigd'!$E$17,IF(H61=$H$52,'Overzicht project_gewijzigd'!$E$18,IF(H61=$H$53,'Overzicht project_gewijzigd'!$E$19,IF(H61=$H$54,'Overzicht project_gewijzigd'!$E$20,0))))</f>
        <v>0</v>
      </c>
      <c r="K61" s="413"/>
      <c r="L61" s="830"/>
      <c r="M61" s="292"/>
      <c r="N61" s="155" t="s">
        <v>74</v>
      </c>
      <c r="O61" s="545">
        <f>IF(N61=$N$51,'Overzicht project_gewijzigd'!$D$24,IF(N61=$N$52,'Overzicht project_gewijzigd'!$D$25,IF(N61=$N$53,'Overzicht project_gewijzigd'!$D$26,IF(N61=$N$54,'Overzicht project_gewijzigd'!$D$27,0))))</f>
        <v>0</v>
      </c>
      <c r="P61" s="409">
        <f>IF(N61=$N$51,'Overzicht project_gewijzigd'!$E$24,IF(N61=$N$52,'Overzicht project_gewijzigd'!$E$25,IF(N61=$N$53,'Overzicht project_gewijzigd'!$E$26,IF(N61=$N$54,'Overzicht project_gewijzigd'!$E$27,0))))</f>
        <v>0</v>
      </c>
      <c r="Q61" s="413"/>
      <c r="R61" s="830"/>
      <c r="V61">
        <f>ROUND(IF(ISNUMBER((SEARCH("kinderzorg",A45))),BJB!$D$73,IF(ISNUMBER(SEARCH("categorie 8",A45)),BJB!$D$34,IF(ISNUMBER(SEARCH("beveiligd verblijf",A45)),BJB!$D$39,IF(OR(ISNUMBER(SEARCH("jeugdzorg",A45)),ISNUMBER(SEARCH("afhandeling",A45)),ISNUMBER(SEARCH("gezinszorg",A45)),ISNUMBER(SEARCH("oriëntatie",A45))),BJB!$D$81,IF(ISNUMBER(SEARCH("welzijnswerk",A45)),CAW!$C$8,"0"))))),2)</f>
        <v>0</v>
      </c>
    </row>
    <row r="62" spans="1:22" hidden="1" x14ac:dyDescent="0.3">
      <c r="B62" s="155" t="s">
        <v>75</v>
      </c>
      <c r="C62" s="499">
        <f>IF(B62=$B$51,'Overzicht project_gewijzigd'!$D$10,IF(B62=$B$52,'Overzicht project_gewijzigd'!$D$11,IF(B62=$B$53,'Overzicht project_gewijzigd'!$D$12,IF(B62=$B$54,'Overzicht project_gewijzigd'!$D$13,0))))</f>
        <v>0</v>
      </c>
      <c r="D62" s="409">
        <f>IF(B62=$B$51,'Overzicht project_gewijzigd'!$E$10,IF(B62=$B$52,'Overzicht project_gewijzigd'!$E$11,IF(B62=$B$53,'Overzicht project_gewijzigd'!$E$12,IF(B62=$B$54,'Overzicht project_gewijzigd'!$E$13,0))))</f>
        <v>0</v>
      </c>
      <c r="E62" s="413"/>
      <c r="F62" s="830"/>
      <c r="G62" s="288"/>
      <c r="H62" s="415" t="s">
        <v>75</v>
      </c>
      <c r="I62" s="545">
        <f>IF(H62=$H$51,'Overzicht project_gewijzigd'!$D$17,IF(H62=$H$52,'Overzicht project_gewijzigd'!$D$18,IF(H62=$H$53,'Overzicht project_gewijzigd'!$D$19,IF(H62=$H$54,'Overzicht project_gewijzigd'!$D$20,0))))</f>
        <v>0</v>
      </c>
      <c r="J62" s="413">
        <f>IF(H62=$H$51,'Overzicht project_gewijzigd'!$E$17,IF(H62=$H$52,'Overzicht project_gewijzigd'!$E$18,IF(H62=$H$53,'Overzicht project_gewijzigd'!$E$19,IF(H62=$H$54,'Overzicht project_gewijzigd'!$E$20,0))))</f>
        <v>0</v>
      </c>
      <c r="K62" s="413"/>
      <c r="L62" s="830"/>
      <c r="M62" s="292"/>
      <c r="N62" s="155" t="s">
        <v>75</v>
      </c>
      <c r="O62" s="545">
        <f>IF(N62=$N$51,'Overzicht project_gewijzigd'!$D$24,IF(N62=$N$52,'Overzicht project_gewijzigd'!$D$25,IF(N62=$N$53,'Overzicht project_gewijzigd'!$D$26,IF(N62=$N$54,'Overzicht project_gewijzigd'!$D$27,0))))</f>
        <v>0</v>
      </c>
      <c r="P62" s="413">
        <f>IF(N62=$N$51,'Overzicht project_gewijzigd'!$E$24,IF(N62=$N$52,'Overzicht project_gewijzigd'!$E$25,IF(N62=$N$53,'Overzicht project_gewijzigd'!$E$26,IF(N62=$N$54,'Overzicht project_gewijzigd'!$E$27,0))))</f>
        <v>0</v>
      </c>
      <c r="Q62" s="413"/>
      <c r="R62" s="830"/>
    </row>
    <row r="63" spans="1:22" hidden="1" x14ac:dyDescent="0.3">
      <c r="B63" s="155" t="s">
        <v>76</v>
      </c>
      <c r="C63" s="499">
        <f>IF($B$63=$B$51,'Overzicht project_gewijzigd'!$D$10,IF($B$63=$B$52,'Overzicht project_gewijzigd'!$D$11,IF($B$63=$B$53,'Overzicht project_gewijzigd'!$D$12,IF($B$63=$B$54,'Overzicht project_gewijzigd'!$D$13,0))))</f>
        <v>0</v>
      </c>
      <c r="D63" s="409">
        <f>IF($B$63=$B$51,'Overzicht project_gewijzigd'!$E$10,IF($B$63=$B$52,'Overzicht project_gewijzigd'!$E$11,IF($B$63=$B$53,'Overzicht project_gewijzigd'!$E$12,IF($B$63=$B$54,'Overzicht project_gewijzigd'!$E$13,0))))</f>
        <v>0</v>
      </c>
      <c r="E63" s="545">
        <f>IF(B$63=B$51,'Overzicht project_gewijzigd'!$F$10,IF(B$63=B$52,'Overzicht project_gewijzigd'!$F$11,IF(B$63=B$53,'Overzicht project_gewijzigd'!$F$12,IF(B$63=B$54,'Overzicht project_gewijzigd'!$F$13,0))))</f>
        <v>0</v>
      </c>
      <c r="F63" s="828">
        <f>IF(B$63=B$51,'Overzicht project_gewijzigd'!$G$10,IF(B$63=B$52,'Overzicht project_gewijzigd'!$G$11,IF(B$63=B$53,'Overzicht project_gewijzigd'!$G$12,IF(B$63=B$54,'Overzicht project_gewijzigd'!$G$13,0))))</f>
        <v>0</v>
      </c>
      <c r="G63" s="288"/>
      <c r="H63" s="415" t="s">
        <v>76</v>
      </c>
      <c r="I63" s="545">
        <f>IF(H63=$H$51,'Overzicht project_gewijzigd'!$D$17,IF(H63=$H$52,'Overzicht project_gewijzigd'!$D$18,IF(H63=$H$53,'Overzicht project_gewijzigd'!$D$19,IF(H63=$H$54,'Overzicht project_gewijzigd'!$D$20,0))))</f>
        <v>0</v>
      </c>
      <c r="J63" s="413">
        <f>IF(H63=$H$51,'Overzicht project_gewijzigd'!$E$17,IF(H63=$H$52,'Overzicht project_gewijzigd'!$E$18,IF(H63=$H$53,'Overzicht project_gewijzigd'!$E$19,IF(H63=$H$54,'Overzicht project_gewijzigd'!$E$20,0))))</f>
        <v>0</v>
      </c>
      <c r="K63" s="545">
        <f>IF(H$63=H$51,'Overzicht project_gewijzigd'!$F$17,IF(H$63=H$52,'Overzicht project_gewijzigd'!$F$18,IF(H$63=H$53,'Overzicht project_gewijzigd'!$F$19,IF(H$63=H$54,'Overzicht project_gewijzigd'!$F$20,0))))</f>
        <v>0</v>
      </c>
      <c r="L63" s="828">
        <f>IF(H$63=H$51,'Overzicht project_gewijzigd'!$G$17,IF(H$63=H$52,'Overzicht project_gewijzigd'!$G$18,IF(H$63=H$53,'Overzicht project_gewijzigd'!$G$19,IF(H$63=H$54,'Overzicht project_gewijzigd'!$G$20,0))))</f>
        <v>0</v>
      </c>
      <c r="M63" s="292"/>
      <c r="N63" s="155" t="s">
        <v>76</v>
      </c>
      <c r="O63" s="545">
        <f>IF(N63=$N$51,'Overzicht project_gewijzigd'!$D$24,IF(N63=$N$52,'Overzicht project_gewijzigd'!$D$25,IF(N63=$N$53,'Overzicht project_gewijzigd'!$D$26,IF(N63=$N$54,'Overzicht project_gewijzigd'!$D$27,0))))</f>
        <v>0</v>
      </c>
      <c r="P63" s="413">
        <f>IF(N63=$N$51,'Overzicht project_gewijzigd'!$E$24,IF(N63=$N$52,'Overzicht project_gewijzigd'!$E$25,IF(N63=$N$53,'Overzicht project_gewijzigd'!$E$26,IF(N63=$N$54,'Overzicht project_gewijzigd'!$E$27,0))))</f>
        <v>0</v>
      </c>
      <c r="Q63" s="545">
        <f>IF(N$63=N$51,'Overzicht project_gewijzigd'!$F$24,IF(N$63=N$52,'Overzicht project_gewijzigd'!$F$25,IF(N$63=N$53,'Overzicht project_gewijzigd'!$F$26,IF(N$63=N$54,'Overzicht project_gewijzigd'!$F$27,0))))</f>
        <v>0</v>
      </c>
      <c r="R63" s="828">
        <f>IF(N$63=N$51,'Overzicht project_gewijzigd'!$G$24,IF(N$63=N$52,'Overzicht project_gewijzigd'!$G$25,IF(N$63=N$53,'Overzicht project_gewijzigd'!$G$26,IF(N$63=N$54,'Overzicht project_gewijzigd'!$G$27,0))))</f>
        <v>0</v>
      </c>
    </row>
    <row r="64" spans="1:22" ht="7.2" hidden="1" customHeight="1" thickBot="1" x14ac:dyDescent="0.35">
      <c r="A64" s="199"/>
      <c r="B64" s="190"/>
      <c r="C64" s="195"/>
      <c r="D64" s="190"/>
      <c r="E64" s="190"/>
      <c r="F64" s="196"/>
      <c r="H64" s="195"/>
      <c r="I64" s="190"/>
      <c r="J64" s="190"/>
      <c r="K64" s="190"/>
      <c r="L64" s="190"/>
      <c r="N64" s="190"/>
      <c r="O64" s="190"/>
      <c r="P64" s="190"/>
      <c r="Q64" s="190"/>
      <c r="R64" s="196"/>
    </row>
    <row r="65" spans="1:20" ht="15" hidden="1" customHeight="1" x14ac:dyDescent="0.3">
      <c r="A65" s="183" t="s">
        <v>97</v>
      </c>
      <c r="B65" s="183" t="s">
        <v>79</v>
      </c>
      <c r="C65" s="194"/>
      <c r="D65" s="184"/>
      <c r="E65" s="184"/>
      <c r="F65" s="193"/>
      <c r="H65" s="1169" t="s">
        <v>79</v>
      </c>
      <c r="I65" s="1170"/>
      <c r="J65" s="185"/>
      <c r="K65" s="183"/>
      <c r="L65" s="184"/>
      <c r="N65" s="183" t="s">
        <v>79</v>
      </c>
      <c r="O65" s="183"/>
      <c r="P65" s="183"/>
      <c r="Q65" s="183"/>
      <c r="R65" s="193"/>
    </row>
    <row r="66" spans="1:20" ht="14.4" hidden="1" customHeight="1" x14ac:dyDescent="0.3">
      <c r="B66" s="465" t="s">
        <v>80</v>
      </c>
      <c r="C66" s="520">
        <f>ROUND(IF(ISNUMBER((SEARCH("kinderzorg",C3))),BJB!#REF!,IF(ISNUMBER(SEARCH("categorie 8",C3)),BJB!$L$34,IF(ISNUMBER(SEARCH("beveiligend verblijf",C3)),BJB!$L$39,IF(OR(ISNUMBER(SEARCH("jeugdzorg",C3)),ISNUMBER(SEARCH("afhandeling",C3)),ISNUMBER(SEARCH("gezinszorg",C3)),ISNUMBER(SEARCH("oriëntatie",C3))),BJB!$J$48,IF(ISNUMBER(SEARCH("welzijnswerk",C3)),CAW!$J$8,IF(ISNUMBER(SEARCH("geestelijke",C3)),'Preventieve en ambulante'!$I$3,IF(ISNUMBER(SEARCH("Aanloopadres",C3)),'Preventieve en ambulante'!$I$10+'Preventieve en ambulante'!$I$11,IF(ISNUMBER(SEARCH("Personen met een handicap",C3)),PH!$H$11-PH!$H$10-PH!$H$9,IF(ISNUMBER(SEARCH("Observatie",C3)),PH!$H$10,IF(ISNUMBER(SEARCH("geïnterneerde",C3)),PH!$H$9,C25)))))))))),2)</f>
        <v>0</v>
      </c>
      <c r="D66" t="e">
        <f>IF(ISNUMBER(SEARCH("kinderzorg",$C$3)),"opvangplaatsen/VTE",VLOOKUP($C$3,'Capaciteiten &amp; forfaits'!$B$4:$H$76,3,FALSE))</f>
        <v>#N/A</v>
      </c>
      <c r="E66" s="1180" t="s">
        <v>98</v>
      </c>
      <c r="F66" s="1168"/>
      <c r="H66" s="191"/>
      <c r="I66" s="155" t="s">
        <v>81</v>
      </c>
      <c r="J66" s="520">
        <f>ROUND(IF(ISNUMBER((SEARCH("kinderzorg",H3))),BJB!#REF!,IF(ISNUMBER(SEARCH("categorie 8",H3)),BJB!$L$34,IF(ISNUMBER(SEARCH("beveiligend verblijf",H3)),BJB!$L$39,IF(OR(ISNUMBER(SEARCH("jeugdzorg",H3)),ISNUMBER(SEARCH("afhandeling",H3)),ISNUMBER(SEARCH("gezinszorg",H3)),ISNUMBER(SEARCH("oriëntatie",H3))),BJB!$J$48,IF(ISNUMBER(SEARCH("welzijnswerk",H3)),CAW!$J$8,IF(ISNUMBER(SEARCH("geestelijke",H3)),'Preventieve en ambulante'!$I$3,IF(ISNUMBER(SEARCH("Aanloopadres",H3)),'Preventieve en ambulante'!$I$10+'Preventieve en ambulante'!$I$11,IF(ISNUMBER(SEARCH("Personen met een handicap",H3)),PH!$H$11-PH!$H$9-PH!$H$10,IF(ISNUMBER(SEARCH("Observatie",H3)),PH!$H$10,IF(ISNUMBER(SEARCH("geïnterneerde",H3)),PH!$H$9,J25)))))))))),2)</f>
        <v>0</v>
      </c>
      <c r="K66" t="e">
        <f>IF(ISNUMBER(SEARCH("kinderzorg",$H$3)),"opvangplaatsen/VTE",VLOOKUP($H$3,'Capaciteiten &amp; forfaits'!$B$4:$H$76,3,FALSE))</f>
        <v>#N/A</v>
      </c>
      <c r="L66" s="1180"/>
      <c r="O66" s="155" t="s">
        <v>81</v>
      </c>
      <c r="P66" s="520">
        <f>ROUND(IF(ISNUMBER((SEARCH("kinderzorg",N3))),BJB!#REF!,IF(ISNUMBER(SEARCH("categorie 8",N3)),BJB!$L$34,IF(ISNUMBER(SEARCH("beveiligend verblijf",N3)),BJB!$L$39,IF(OR(ISNUMBER(SEARCH("jeugdzorg",N3)),ISNUMBER(SEARCH("afhandeling",N3)),ISNUMBER(SEARCH("gezinszorg",N3)),ISNUMBER(SEARCH("oriëntatie",N3))),BJB!$J$48,IF(ISNUMBER(SEARCH("welzijnswerk",N3)),CAW!$J$8,IF(ISNUMBER(SEARCH("geestelijke",N3)),'Preventieve en ambulante'!$I$3,IF(ISNUMBER(SEARCH("Aanloopadres",N3)),'Preventieve en ambulante'!$I$10+'Preventieve en ambulante'!$I$11,IF(ISNUMBER(SEARCH("Personen met een handicap",N3)),PH!$H$11-PH!$H$9-PH!$H$10,IF(ISNUMBER(SEARCH("Observatie",N3)),PH!$H$10,IF(ISNUMBER(SEARCH("geïnterneerde",N3)),PH!$H$9,P25)))))))))),2)</f>
        <v>0</v>
      </c>
      <c r="Q66" t="e">
        <f>IF(ISNUMBER(SEARCH("kinderzorg",$N$3)),"opvangplaatsen/VTE",VLOOKUP($N$3,'Capaciteiten &amp; forfaits'!$B$4:$H$76,3,FALSE))</f>
        <v>#N/A</v>
      </c>
      <c r="R66" s="1168"/>
      <c r="T66" s="358"/>
    </row>
    <row r="67" spans="1:20" hidden="1" x14ac:dyDescent="0.3">
      <c r="B67" s="155" t="s">
        <v>47</v>
      </c>
      <c r="C67" s="504">
        <f>SUM(E51:E54)</f>
        <v>0</v>
      </c>
      <c r="D67" t="e">
        <f>IF(ISNUMBER(SEARCH("kinderzorg",$C$3)),"opvangplaatsen/VTE",VLOOKUP($C$3,'Capaciteiten &amp; forfaits'!$B$4:$H$76,3,FALSE))</f>
        <v>#N/A</v>
      </c>
      <c r="E67" s="1180"/>
      <c r="F67" s="1168"/>
      <c r="H67" s="191"/>
      <c r="I67" s="155" t="s">
        <v>47</v>
      </c>
      <c r="J67" s="505">
        <f>SUM(K51:K54)</f>
        <v>0</v>
      </c>
      <c r="K67" t="e">
        <f>IF(ISNUMBER(SEARCH("kinderzorg",$H$3)),"opvangplaatsen/VTE",VLOOKUP($H$3,'Capaciteiten &amp; forfaits'!$B$4:$H$76,3,FALSE))</f>
        <v>#N/A</v>
      </c>
      <c r="L67" s="1180"/>
      <c r="O67" s="155" t="s">
        <v>47</v>
      </c>
      <c r="P67" s="505">
        <f>SUM(Q51:Q54)</f>
        <v>0</v>
      </c>
      <c r="Q67" t="e">
        <f>IF(ISNUMBER(SEARCH("kinderzorg",$N$3)),"opvangplaatsen/VTE",VLOOKUP($N$3,'Capaciteiten &amp; forfaits'!$B$4:$H$76,3,FALSE))</f>
        <v>#N/A</v>
      </c>
      <c r="R67" s="1168"/>
    </row>
    <row r="68" spans="1:20" hidden="1" x14ac:dyDescent="0.3">
      <c r="B68" s="155" t="s">
        <v>48</v>
      </c>
      <c r="C68" s="504">
        <f>SUM(F51:F54)</f>
        <v>0</v>
      </c>
      <c r="D68" t="e">
        <f>IF(ISNUMBER(SEARCH("kinderzorg",$C$3)),"opvangplaatsen/VTE",VLOOKUP($C$3,'Capaciteiten &amp; forfaits'!$B$4:$H$76,3,FALSE))</f>
        <v>#N/A</v>
      </c>
      <c r="E68" s="1180"/>
      <c r="F68" s="1168"/>
      <c r="H68" s="589"/>
      <c r="I68" s="155" t="s">
        <v>48</v>
      </c>
      <c r="J68" s="505">
        <f>SUM(L51:L54)</f>
        <v>0</v>
      </c>
      <c r="K68" t="e">
        <f>IF(ISNUMBER(SEARCH("kinderzorg",$H$3)),"opvangplaatsen/VTE",VLOOKUP($H$3,'Capaciteiten &amp; forfaits'!$B$4:$H$76,3,FALSE))</f>
        <v>#N/A</v>
      </c>
      <c r="L68" s="1180"/>
      <c r="O68" s="155" t="s">
        <v>48</v>
      </c>
      <c r="P68" s="505">
        <f>SUM(R51:R54)</f>
        <v>0</v>
      </c>
      <c r="Q68" t="e">
        <f>IF(ISNUMBER(SEARCH("kinderzorg",$N$3)),"opvangplaatsen/VTE",VLOOKUP($N$3,'Capaciteiten &amp; forfaits'!$B$4:$H$76,3,FALSE))</f>
        <v>#N/A</v>
      </c>
      <c r="R68" s="1168"/>
    </row>
    <row r="69" spans="1:20" ht="7.2" hidden="1" customHeight="1" thickBot="1" x14ac:dyDescent="0.35">
      <c r="A69" s="199"/>
      <c r="B69" s="286"/>
      <c r="C69" s="195"/>
      <c r="D69" s="190"/>
      <c r="E69" s="190"/>
      <c r="F69" s="196"/>
      <c r="H69" s="195"/>
      <c r="I69" s="190"/>
      <c r="J69" s="190"/>
      <c r="K69" s="190"/>
      <c r="L69" s="190"/>
      <c r="N69" s="190"/>
      <c r="O69" s="190"/>
      <c r="P69" s="190"/>
      <c r="Q69" s="190"/>
      <c r="R69" s="196"/>
    </row>
    <row r="70" spans="1:20" hidden="1" x14ac:dyDescent="0.3">
      <c r="A70" s="183" t="s">
        <v>99</v>
      </c>
      <c r="B70" s="185" t="s">
        <v>82</v>
      </c>
      <c r="C70" s="194"/>
      <c r="D70" s="184"/>
      <c r="E70" s="184"/>
      <c r="F70" s="193"/>
      <c r="H70" s="1169" t="s">
        <v>82</v>
      </c>
      <c r="I70" s="1170"/>
      <c r="J70" s="185"/>
      <c r="K70" s="185"/>
      <c r="L70" s="184"/>
      <c r="N70" s="1169" t="s">
        <v>82</v>
      </c>
      <c r="O70" s="1170"/>
      <c r="P70" s="185"/>
      <c r="Q70" s="185"/>
      <c r="R70" s="193"/>
    </row>
    <row r="71" spans="1:20" hidden="1" x14ac:dyDescent="0.3">
      <c r="B71" s="155" t="s">
        <v>83</v>
      </c>
      <c r="C71" s="420">
        <f>SUM(C51:C54)</f>
        <v>0</v>
      </c>
      <c r="D71" s="186"/>
      <c r="E71" s="186"/>
      <c r="F71" s="192"/>
      <c r="H71" s="191"/>
      <c r="I71" s="155" t="s">
        <v>83</v>
      </c>
      <c r="J71" s="236">
        <f>SUM(I51:I54)</f>
        <v>0</v>
      </c>
      <c r="K71" s="186"/>
      <c r="O71" s="155" t="s">
        <v>83</v>
      </c>
      <c r="P71" s="236">
        <f>SUM(O51:O54)</f>
        <v>0</v>
      </c>
      <c r="Q71" s="186"/>
      <c r="R71" s="192"/>
    </row>
    <row r="72" spans="1:20" hidden="1" x14ac:dyDescent="0.3">
      <c r="B72" s="155" t="s">
        <v>84</v>
      </c>
      <c r="C72" s="421">
        <f>ROUND(IF(ISNUMBER(SEARCH("kinderzorg",C3)),BJB!$K$73,IF(ISNUMBER(SEARCH("categorie 8",C3)),BJB!K34,IF(ISNUMBER(SEARCH("beveiligend verblijf",C3)),BJB!$K$39,IF(OR(ISNUMBER(SEARCH("jeugdzorg",C3)),ISNUMBER(SEARCH("afhandeling",C3)),ISNUMBER(SEARCH("gezinszorg",C3)),ISNUMBER(SEARCH("oriëntatie",C3))),BJB!$K$81,IF(ISNUMBER(SEARCH("welzijnswerk",C3)),CAW!$K$8,IF(ISNUMBER(SEARCH("geestelijke",C3)),'Preventieve en ambulante'!$J$3,IF(ISNUMBER(SEARCH("Aanloopadres",C3)),'Preventieve en ambulante'!$J$10+'Preventieve en ambulante'!$J$11,IF(ISNUMBER(SEARCH("Personen met een handicap",C3)),PH!$I$11-PH!$I$10-PH!$I$9,IF(ISNUMBER(SEARCH("Observatie",C3)),PH!$I$48,IF(ISNUMBER(SEARCH("geïnterneerde",C3)),PH!$I$47,IF(ISNUMBER(SEARCH("Revalidatieovereenkomst",C3)),Revalidatieovereenkomst!J6,VLOOKUP(C3,'Capaciteiten &amp; forfaits'!$B$3:$H$73,2,FALSE)*C66))))))))))),2)</f>
        <v>0</v>
      </c>
      <c r="D72" s="186"/>
      <c r="E72" s="186"/>
      <c r="F72" s="192"/>
      <c r="H72" s="191"/>
      <c r="I72" s="155" t="s">
        <v>84</v>
      </c>
      <c r="J72" s="422">
        <f>ROUND(IF(ISNUMBER(SEARCH("kinderzorg",H3)),BJB!$K$73,IF(ISNUMBER(SEARCH("categorie 8",H3)),BJB!K34,IF(ISNUMBER(SEARCH("beveiligend verblijf",H3)),BJB!$K$39,IF(OR(ISNUMBER(SEARCH("jeugdzorg",H3)),ISNUMBER(SEARCH("afhandeling",H3)),ISNUMBER(SEARCH("gezinszorg",H3)),ISNUMBER(SEARCH("oriëntatie",H3))),BJB!$K$81,IF(ISNUMBER(SEARCH("welzijnswerk",H3)),CAW!$K$8,IF(ISNUMBER(SEARCH("geestelijke",H3)),'Preventieve en ambulante'!$J$3,IF(ISNUMBER(SEARCH("Aanloopadres",H3)),'Preventieve en ambulante'!$J$10+'Preventieve en ambulante'!$J$11,IF(ISNUMBER(SEARCH("Personen met een handicap",H3)),PH!$I$11-PH!$I$10-PH!$I$9,IF(ISNUMBER(SEARCH("Observatie",H3)),PH!$I$48,IF(ISNUMBER(SEARCH("geïnterneerde",H3)),PH!$I$47,VLOOKUP(H3,'Capaciteiten &amp; forfaits'!$B$3:$H$73,2,FALSE)*J66)))))))))),2)</f>
        <v>0</v>
      </c>
      <c r="K72" s="186"/>
      <c r="O72" s="155" t="s">
        <v>84</v>
      </c>
      <c r="P72" s="422">
        <f>ROUND(IF(ISNUMBER(SEARCH("kinderzorg",N3)),BJB!$K$73,IF(ISNUMBER(SEARCH("categorie 8",N3)),BJB!K34,IF(ISNUMBER(SEARCH("beveiligend verblijf",N3)),BJB!$K$39,IF(OR(ISNUMBER(SEARCH("jeugdzorg",N3)),ISNUMBER(SEARCH("afhandeling",N3)),ISNUMBER(SEARCH("gezinszorg",N3)),ISNUMBER(SEARCH("oriëntatie",N3))),BJB!$K$81,IF(ISNUMBER(SEARCH("welzijnswerk",N3)),CAW!$K$8,IF(ISNUMBER(SEARCH("geestelijke",N3)),'Preventieve en ambulante'!$J$3,IF(ISNUMBER(SEARCH("Aanloopadres",N3)),'Preventieve en ambulante'!$J$10+'Preventieve en ambulante'!$J$11,IF(ISNUMBER(SEARCH("Personen met een handicap",N3)),PH!$I$11-PH!$I$10-PH!$I$9,IF(ISNUMBER(SEARCH("Observatie",N3)),PH!$I$48,IF(ISNUMBER(SEARCH("geïnterneerde",N3)),PH!$I$47,VLOOKUP(N3,'Capaciteiten &amp; forfaits'!$B$3:$H$73,2,FALSE)*P66)))))))))),2)</f>
        <v>0</v>
      </c>
      <c r="Q72" s="186"/>
      <c r="R72" s="192"/>
    </row>
    <row r="73" spans="1:20" ht="15" hidden="1" thickBot="1" x14ac:dyDescent="0.35">
      <c r="A73" s="189"/>
      <c r="B73" s="182" t="s">
        <v>85</v>
      </c>
      <c r="C73" s="506">
        <f>C32</f>
        <v>0</v>
      </c>
      <c r="D73" s="186"/>
      <c r="E73" s="186"/>
      <c r="F73" s="192"/>
      <c r="H73" s="371"/>
      <c r="I73" s="182" t="s">
        <v>85</v>
      </c>
      <c r="J73" s="506">
        <f>J32</f>
        <v>0</v>
      </c>
      <c r="K73" s="186"/>
      <c r="N73" s="371"/>
      <c r="O73" s="182" t="s">
        <v>85</v>
      </c>
      <c r="P73" s="506">
        <f>P32</f>
        <v>0</v>
      </c>
      <c r="Q73" s="186"/>
      <c r="R73" s="192"/>
    </row>
    <row r="74" spans="1:20" ht="15.6" hidden="1" thickTop="1" thickBot="1" x14ac:dyDescent="0.35">
      <c r="A74" s="199"/>
      <c r="B74" s="286" t="s">
        <v>82</v>
      </c>
      <c r="C74" s="553">
        <f>IF(MIN(C72-C73,C71)&lt;0,0,MIN(C72-C73,C71))</f>
        <v>0</v>
      </c>
      <c r="D74" s="554"/>
      <c r="E74" s="555"/>
      <c r="F74" s="196"/>
      <c r="H74" s="195"/>
      <c r="I74" s="286" t="s">
        <v>82</v>
      </c>
      <c r="J74" s="553">
        <f>IF(MIN(J72-J73,J71)&lt;0,0,MIN(J72-J73,J71))</f>
        <v>0</v>
      </c>
      <c r="K74" s="555"/>
      <c r="L74" s="196"/>
      <c r="N74" s="190"/>
      <c r="O74" s="286" t="s">
        <v>82</v>
      </c>
      <c r="P74" s="553">
        <f>IF(MIN(P72-P73,P71)&lt;0,0,MIN(P72-P73,P71))</f>
        <v>0</v>
      </c>
      <c r="Q74" s="555"/>
      <c r="R74" s="196"/>
    </row>
    <row r="75" spans="1:20" hidden="1" x14ac:dyDescent="0.3">
      <c r="A75" s="183">
        <v>7</v>
      </c>
      <c r="B75" s="183" t="s">
        <v>93</v>
      </c>
      <c r="C75" s="194"/>
      <c r="D75" s="184"/>
      <c r="E75" s="184"/>
      <c r="F75" s="193"/>
      <c r="H75" s="194"/>
      <c r="I75" s="184"/>
      <c r="J75" s="184"/>
      <c r="K75" s="184"/>
      <c r="L75" s="184"/>
      <c r="N75" s="184"/>
      <c r="O75" s="184"/>
      <c r="P75" s="184"/>
      <c r="Q75" s="184"/>
      <c r="R75" s="193"/>
    </row>
    <row r="76" spans="1:20" hidden="1" x14ac:dyDescent="0.3">
      <c r="B76" s="155" t="s">
        <v>94</v>
      </c>
      <c r="C76" s="449">
        <f>'uitgebreide raming_gewijzigd'!J26</f>
        <v>0</v>
      </c>
      <c r="F76" s="192"/>
      <c r="H76" s="449">
        <f>'uitgebreide raming_gewijzigd'!J53</f>
        <v>0</v>
      </c>
      <c r="N76" s="450">
        <f>'uitgebreide raming_gewijzigd'!J80</f>
        <v>0</v>
      </c>
      <c r="R76" s="192"/>
    </row>
    <row r="77" spans="1:20" ht="31.2" hidden="1" customHeight="1" thickBot="1" x14ac:dyDescent="0.35">
      <c r="A77" s="199"/>
      <c r="B77" s="207"/>
      <c r="C77" s="195"/>
      <c r="D77" s="190"/>
      <c r="E77" s="190"/>
      <c r="F77" s="196"/>
      <c r="H77" s="1165"/>
      <c r="I77" s="1166"/>
      <c r="J77" s="1166"/>
      <c r="K77" s="1166"/>
      <c r="L77" s="1167"/>
      <c r="N77" s="1165"/>
      <c r="O77" s="1166"/>
      <c r="P77" s="1166"/>
      <c r="Q77" s="1166"/>
      <c r="R77" s="1167"/>
    </row>
    <row r="78" spans="1:20" x14ac:dyDescent="0.3">
      <c r="M78"/>
    </row>
    <row r="79" spans="1:20" x14ac:dyDescent="0.3">
      <c r="M79"/>
    </row>
    <row r="80" spans="1:20" x14ac:dyDescent="0.3">
      <c r="M80"/>
    </row>
    <row r="81" spans="13:13" x14ac:dyDescent="0.3">
      <c r="M81"/>
    </row>
    <row r="82" spans="13:13" x14ac:dyDescent="0.3">
      <c r="M82"/>
    </row>
    <row r="83" spans="13:13" x14ac:dyDescent="0.3">
      <c r="M83"/>
    </row>
    <row r="84" spans="13:13" x14ac:dyDescent="0.3">
      <c r="M84"/>
    </row>
    <row r="85" spans="13:13" x14ac:dyDescent="0.3">
      <c r="M85"/>
    </row>
    <row r="86" spans="13:13" x14ac:dyDescent="0.3">
      <c r="M86"/>
    </row>
    <row r="87" spans="13:13" x14ac:dyDescent="0.3">
      <c r="M87"/>
    </row>
    <row r="88" spans="13:13" x14ac:dyDescent="0.3">
      <c r="M88"/>
    </row>
    <row r="89" spans="13:13" x14ac:dyDescent="0.3">
      <c r="M89"/>
    </row>
    <row r="90" spans="13:13" x14ac:dyDescent="0.3">
      <c r="M90"/>
    </row>
    <row r="91" spans="13:13" x14ac:dyDescent="0.3">
      <c r="M91"/>
    </row>
    <row r="92" spans="13:13" x14ac:dyDescent="0.3">
      <c r="M92"/>
    </row>
    <row r="93" spans="13:13" x14ac:dyDescent="0.3">
      <c r="M93"/>
    </row>
    <row r="94" spans="13:13" x14ac:dyDescent="0.3">
      <c r="M94"/>
    </row>
    <row r="95" spans="13:13" x14ac:dyDescent="0.3">
      <c r="M95"/>
    </row>
    <row r="96" spans="13:13" x14ac:dyDescent="0.3">
      <c r="M96"/>
    </row>
    <row r="97" spans="13:13" x14ac:dyDescent="0.3">
      <c r="M97"/>
    </row>
    <row r="98" spans="13:13" x14ac:dyDescent="0.3">
      <c r="M98"/>
    </row>
    <row r="99" spans="13:13" x14ac:dyDescent="0.3">
      <c r="M99"/>
    </row>
    <row r="100" spans="13:13" x14ac:dyDescent="0.3">
      <c r="M100"/>
    </row>
    <row r="101" spans="13:13" x14ac:dyDescent="0.3">
      <c r="M101"/>
    </row>
    <row r="102" spans="13:13" x14ac:dyDescent="0.3">
      <c r="M102"/>
    </row>
    <row r="103" spans="13:13" x14ac:dyDescent="0.3">
      <c r="M103"/>
    </row>
    <row r="104" spans="13:13" x14ac:dyDescent="0.3">
      <c r="M104"/>
    </row>
    <row r="105" spans="13:13" x14ac:dyDescent="0.3">
      <c r="M105"/>
    </row>
    <row r="106" spans="13:13" x14ac:dyDescent="0.3">
      <c r="M106"/>
    </row>
    <row r="107" spans="13:13" x14ac:dyDescent="0.3">
      <c r="M107"/>
    </row>
    <row r="108" spans="13:13" x14ac:dyDescent="0.3">
      <c r="M108"/>
    </row>
    <row r="109" spans="13:13" x14ac:dyDescent="0.3">
      <c r="M109"/>
    </row>
    <row r="110" spans="13:13" x14ac:dyDescent="0.3">
      <c r="M110"/>
    </row>
    <row r="111" spans="13:13" x14ac:dyDescent="0.3">
      <c r="M111"/>
    </row>
    <row r="112" spans="13:13" x14ac:dyDescent="0.3">
      <c r="M112"/>
    </row>
    <row r="113" spans="13:13" x14ac:dyDescent="0.3">
      <c r="M113"/>
    </row>
    <row r="114" spans="13:13" x14ac:dyDescent="0.3">
      <c r="M114"/>
    </row>
    <row r="115" spans="13:13" x14ac:dyDescent="0.3">
      <c r="M115"/>
    </row>
    <row r="116" spans="13:13" x14ac:dyDescent="0.3">
      <c r="M116"/>
    </row>
    <row r="117" spans="13:13" x14ac:dyDescent="0.3">
      <c r="M117"/>
    </row>
    <row r="118" spans="13:13" x14ac:dyDescent="0.3">
      <c r="M118"/>
    </row>
    <row r="119" spans="13:13" x14ac:dyDescent="0.3">
      <c r="M119"/>
    </row>
    <row r="120" spans="13:13" x14ac:dyDescent="0.3">
      <c r="M120"/>
    </row>
    <row r="121" spans="13:13" x14ac:dyDescent="0.3">
      <c r="M121"/>
    </row>
    <row r="122" spans="13:13" x14ac:dyDescent="0.3">
      <c r="M122"/>
    </row>
    <row r="123" spans="13:13" x14ac:dyDescent="0.3">
      <c r="M123"/>
    </row>
    <row r="124" spans="13:13" x14ac:dyDescent="0.3">
      <c r="M124"/>
    </row>
    <row r="125" spans="13:13" x14ac:dyDescent="0.3">
      <c r="M125"/>
    </row>
    <row r="126" spans="13:13" x14ac:dyDescent="0.3">
      <c r="M126"/>
    </row>
    <row r="127" spans="13:13" x14ac:dyDescent="0.3">
      <c r="M127"/>
    </row>
    <row r="128" spans="13:13" x14ac:dyDescent="0.3">
      <c r="M128"/>
    </row>
    <row r="129" spans="13:13" x14ac:dyDescent="0.3">
      <c r="M129"/>
    </row>
    <row r="130" spans="13:13" x14ac:dyDescent="0.3">
      <c r="M130"/>
    </row>
    <row r="131" spans="13:13" x14ac:dyDescent="0.3">
      <c r="M131"/>
    </row>
    <row r="132" spans="13:13" x14ac:dyDescent="0.3">
      <c r="M132"/>
    </row>
    <row r="133" spans="13:13" x14ac:dyDescent="0.3">
      <c r="M133"/>
    </row>
    <row r="134" spans="13:13" x14ac:dyDescent="0.3">
      <c r="M134"/>
    </row>
    <row r="135" spans="13:13" x14ac:dyDescent="0.3">
      <c r="M135"/>
    </row>
    <row r="136" spans="13:13" x14ac:dyDescent="0.3">
      <c r="M136"/>
    </row>
    <row r="137" spans="13:13" x14ac:dyDescent="0.3">
      <c r="M137"/>
    </row>
    <row r="138" spans="13:13" x14ac:dyDescent="0.3">
      <c r="M138"/>
    </row>
    <row r="139" spans="13:13" x14ac:dyDescent="0.3">
      <c r="M139"/>
    </row>
    <row r="140" spans="13:13" x14ac:dyDescent="0.3">
      <c r="M140"/>
    </row>
    <row r="141" spans="13:13" x14ac:dyDescent="0.3">
      <c r="M141"/>
    </row>
    <row r="142" spans="13:13" x14ac:dyDescent="0.3">
      <c r="M142"/>
    </row>
    <row r="143" spans="13:13" x14ac:dyDescent="0.3">
      <c r="M143"/>
    </row>
    <row r="144" spans="13:13" x14ac:dyDescent="0.3">
      <c r="M144"/>
    </row>
    <row r="145" spans="13:13" x14ac:dyDescent="0.3">
      <c r="M145"/>
    </row>
    <row r="146" spans="13:13" x14ac:dyDescent="0.3">
      <c r="M146"/>
    </row>
    <row r="147" spans="13:13" x14ac:dyDescent="0.3">
      <c r="M147"/>
    </row>
    <row r="148" spans="13:13" x14ac:dyDescent="0.3">
      <c r="M148"/>
    </row>
    <row r="149" spans="13:13" x14ac:dyDescent="0.3">
      <c r="M149"/>
    </row>
    <row r="150" spans="13:13" x14ac:dyDescent="0.3">
      <c r="M150"/>
    </row>
    <row r="151" spans="13:13" x14ac:dyDescent="0.3">
      <c r="M151"/>
    </row>
    <row r="152" spans="13:13" x14ac:dyDescent="0.3">
      <c r="M152"/>
    </row>
    <row r="153" spans="13:13" x14ac:dyDescent="0.3">
      <c r="M153"/>
    </row>
    <row r="154" spans="13:13" x14ac:dyDescent="0.3">
      <c r="M154"/>
    </row>
    <row r="155" spans="13:13" x14ac:dyDescent="0.3">
      <c r="M155"/>
    </row>
    <row r="156" spans="13:13" x14ac:dyDescent="0.3">
      <c r="M156"/>
    </row>
    <row r="157" spans="13:13" x14ac:dyDescent="0.3">
      <c r="M157"/>
    </row>
    <row r="158" spans="13:13" x14ac:dyDescent="0.3">
      <c r="M158"/>
    </row>
    <row r="159" spans="13:13" x14ac:dyDescent="0.3">
      <c r="M159"/>
    </row>
    <row r="160" spans="13:13" x14ac:dyDescent="0.3">
      <c r="M160"/>
    </row>
    <row r="161" spans="13:13" x14ac:dyDescent="0.3">
      <c r="M161"/>
    </row>
    <row r="162" spans="13:13" x14ac:dyDescent="0.3">
      <c r="M162"/>
    </row>
    <row r="163" spans="13:13" x14ac:dyDescent="0.3">
      <c r="M163"/>
    </row>
    <row r="164" spans="13:13" x14ac:dyDescent="0.3">
      <c r="M164"/>
    </row>
    <row r="165" spans="13:13" x14ac:dyDescent="0.3">
      <c r="M165"/>
    </row>
    <row r="166" spans="13:13" x14ac:dyDescent="0.3">
      <c r="M166"/>
    </row>
    <row r="167" spans="13:13" x14ac:dyDescent="0.3">
      <c r="M167"/>
    </row>
    <row r="168" spans="13:13" x14ac:dyDescent="0.3">
      <c r="M168"/>
    </row>
    <row r="169" spans="13:13" x14ac:dyDescent="0.3">
      <c r="M169"/>
    </row>
    <row r="170" spans="13:13" x14ac:dyDescent="0.3">
      <c r="M170"/>
    </row>
    <row r="171" spans="13:13" x14ac:dyDescent="0.3">
      <c r="M171"/>
    </row>
    <row r="172" spans="13:13" x14ac:dyDescent="0.3">
      <c r="M172"/>
    </row>
    <row r="173" spans="13:13" x14ac:dyDescent="0.3">
      <c r="M173"/>
    </row>
    <row r="174" spans="13:13" x14ac:dyDescent="0.3">
      <c r="M174"/>
    </row>
    <row r="175" spans="13:13" x14ac:dyDescent="0.3">
      <c r="M175"/>
    </row>
    <row r="176" spans="13:13" x14ac:dyDescent="0.3">
      <c r="M176"/>
    </row>
    <row r="177" spans="13:13" x14ac:dyDescent="0.3">
      <c r="M177"/>
    </row>
    <row r="178" spans="13:13" x14ac:dyDescent="0.3">
      <c r="M178"/>
    </row>
    <row r="179" spans="13:13" x14ac:dyDescent="0.3">
      <c r="M179"/>
    </row>
    <row r="180" spans="13:13" x14ac:dyDescent="0.3">
      <c r="M180"/>
    </row>
    <row r="181" spans="13:13" x14ac:dyDescent="0.3">
      <c r="M181"/>
    </row>
    <row r="182" spans="13:13" x14ac:dyDescent="0.3">
      <c r="M182"/>
    </row>
    <row r="183" spans="13:13" x14ac:dyDescent="0.3">
      <c r="M183"/>
    </row>
    <row r="184" spans="13:13" x14ac:dyDescent="0.3">
      <c r="M184"/>
    </row>
    <row r="185" spans="13:13" x14ac:dyDescent="0.3">
      <c r="M185"/>
    </row>
    <row r="186" spans="13:13" x14ac:dyDescent="0.3">
      <c r="M186"/>
    </row>
    <row r="187" spans="13:13" x14ac:dyDescent="0.3">
      <c r="M187"/>
    </row>
    <row r="188" spans="13:13" x14ac:dyDescent="0.3">
      <c r="M188"/>
    </row>
    <row r="189" spans="13:13" x14ac:dyDescent="0.3">
      <c r="M189"/>
    </row>
    <row r="190" spans="13:13" x14ac:dyDescent="0.3">
      <c r="M190"/>
    </row>
    <row r="191" spans="13:13" x14ac:dyDescent="0.3">
      <c r="M191"/>
    </row>
    <row r="192" spans="13:13" x14ac:dyDescent="0.3">
      <c r="M192"/>
    </row>
    <row r="193" spans="13:13" x14ac:dyDescent="0.3">
      <c r="M193"/>
    </row>
    <row r="194" spans="13:13" x14ac:dyDescent="0.3">
      <c r="M194"/>
    </row>
    <row r="195" spans="13:13" x14ac:dyDescent="0.3">
      <c r="M195"/>
    </row>
    <row r="196" spans="13:13" x14ac:dyDescent="0.3">
      <c r="M196"/>
    </row>
    <row r="197" spans="13:13" x14ac:dyDescent="0.3">
      <c r="M197"/>
    </row>
    <row r="198" spans="13:13" x14ac:dyDescent="0.3">
      <c r="M198"/>
    </row>
    <row r="199" spans="13:13" x14ac:dyDescent="0.3">
      <c r="M199"/>
    </row>
    <row r="200" spans="13:13" x14ac:dyDescent="0.3">
      <c r="M200"/>
    </row>
    <row r="201" spans="13:13" x14ac:dyDescent="0.3">
      <c r="M201"/>
    </row>
    <row r="202" spans="13:13" x14ac:dyDescent="0.3">
      <c r="M202"/>
    </row>
    <row r="203" spans="13:13" x14ac:dyDescent="0.3">
      <c r="M203"/>
    </row>
    <row r="204" spans="13:13" x14ac:dyDescent="0.3">
      <c r="M204"/>
    </row>
    <row r="205" spans="13:13" x14ac:dyDescent="0.3">
      <c r="M205"/>
    </row>
    <row r="206" spans="13:13" x14ac:dyDescent="0.3">
      <c r="M206"/>
    </row>
    <row r="207" spans="13:13" x14ac:dyDescent="0.3">
      <c r="M207"/>
    </row>
    <row r="208" spans="13:13" x14ac:dyDescent="0.3">
      <c r="M208"/>
    </row>
    <row r="209" spans="13:13" x14ac:dyDescent="0.3">
      <c r="M209"/>
    </row>
    <row r="210" spans="13:13" x14ac:dyDescent="0.3">
      <c r="M210"/>
    </row>
    <row r="211" spans="13:13" x14ac:dyDescent="0.3">
      <c r="M211"/>
    </row>
    <row r="212" spans="13:13" x14ac:dyDescent="0.3">
      <c r="M212"/>
    </row>
    <row r="213" spans="13:13" x14ac:dyDescent="0.3">
      <c r="M213"/>
    </row>
    <row r="214" spans="13:13" x14ac:dyDescent="0.3">
      <c r="M214"/>
    </row>
    <row r="215" spans="13:13" x14ac:dyDescent="0.3">
      <c r="M215"/>
    </row>
    <row r="216" spans="13:13" x14ac:dyDescent="0.3">
      <c r="M216"/>
    </row>
    <row r="217" spans="13:13" x14ac:dyDescent="0.3">
      <c r="M217"/>
    </row>
    <row r="218" spans="13:13" x14ac:dyDescent="0.3">
      <c r="M218"/>
    </row>
    <row r="219" spans="13:13" x14ac:dyDescent="0.3">
      <c r="M219"/>
    </row>
    <row r="220" spans="13:13" x14ac:dyDescent="0.3">
      <c r="M220"/>
    </row>
    <row r="221" spans="13:13" x14ac:dyDescent="0.3">
      <c r="M221"/>
    </row>
    <row r="222" spans="13:13" x14ac:dyDescent="0.3">
      <c r="M222"/>
    </row>
    <row r="223" spans="13:13" x14ac:dyDescent="0.3">
      <c r="M223"/>
    </row>
    <row r="224" spans="13:13" x14ac:dyDescent="0.3">
      <c r="M224"/>
    </row>
    <row r="225" spans="13:13" x14ac:dyDescent="0.3">
      <c r="M225"/>
    </row>
    <row r="226" spans="13:13" x14ac:dyDescent="0.3">
      <c r="M226"/>
    </row>
    <row r="227" spans="13:13" x14ac:dyDescent="0.3">
      <c r="M227"/>
    </row>
    <row r="228" spans="13:13" x14ac:dyDescent="0.3">
      <c r="M228"/>
    </row>
    <row r="229" spans="13:13" x14ac:dyDescent="0.3">
      <c r="M229"/>
    </row>
    <row r="230" spans="13:13" x14ac:dyDescent="0.3">
      <c r="M230"/>
    </row>
    <row r="231" spans="13:13" x14ac:dyDescent="0.3">
      <c r="M231"/>
    </row>
    <row r="232" spans="13:13" x14ac:dyDescent="0.3">
      <c r="M232"/>
    </row>
    <row r="233" spans="13:13" x14ac:dyDescent="0.3">
      <c r="M233"/>
    </row>
    <row r="234" spans="13:13" x14ac:dyDescent="0.3">
      <c r="M234"/>
    </row>
    <row r="235" spans="13:13" x14ac:dyDescent="0.3">
      <c r="M235"/>
    </row>
    <row r="236" spans="13:13" x14ac:dyDescent="0.3">
      <c r="M236"/>
    </row>
    <row r="237" spans="13:13" x14ac:dyDescent="0.3">
      <c r="M237"/>
    </row>
    <row r="238" spans="13:13" x14ac:dyDescent="0.3">
      <c r="M238"/>
    </row>
    <row r="239" spans="13:13" x14ac:dyDescent="0.3">
      <c r="M239"/>
    </row>
    <row r="240" spans="13:13" x14ac:dyDescent="0.3">
      <c r="M240"/>
    </row>
    <row r="241" spans="13:13" x14ac:dyDescent="0.3">
      <c r="M241"/>
    </row>
    <row r="242" spans="13:13" x14ac:dyDescent="0.3">
      <c r="M242"/>
    </row>
    <row r="243" spans="13:13" x14ac:dyDescent="0.3">
      <c r="M243"/>
    </row>
    <row r="244" spans="13:13" x14ac:dyDescent="0.3">
      <c r="M244"/>
    </row>
    <row r="245" spans="13:13" x14ac:dyDescent="0.3">
      <c r="M245"/>
    </row>
    <row r="246" spans="13:13" x14ac:dyDescent="0.3">
      <c r="M246"/>
    </row>
    <row r="247" spans="13:13" x14ac:dyDescent="0.3">
      <c r="M247"/>
    </row>
    <row r="248" spans="13:13" x14ac:dyDescent="0.3">
      <c r="M248"/>
    </row>
    <row r="249" spans="13:13" x14ac:dyDescent="0.3">
      <c r="M249"/>
    </row>
    <row r="250" spans="13:13" x14ac:dyDescent="0.3">
      <c r="M250"/>
    </row>
    <row r="251" spans="13:13" x14ac:dyDescent="0.3">
      <c r="M251"/>
    </row>
    <row r="252" spans="13:13" x14ac:dyDescent="0.3">
      <c r="M252"/>
    </row>
    <row r="253" spans="13:13" x14ac:dyDescent="0.3">
      <c r="M253"/>
    </row>
    <row r="254" spans="13:13" x14ac:dyDescent="0.3">
      <c r="M254"/>
    </row>
    <row r="255" spans="13:13" x14ac:dyDescent="0.3">
      <c r="M255"/>
    </row>
    <row r="256" spans="13:13" x14ac:dyDescent="0.3">
      <c r="M256"/>
    </row>
    <row r="257" spans="13:13" x14ac:dyDescent="0.3">
      <c r="M257"/>
    </row>
    <row r="258" spans="13:13" x14ac:dyDescent="0.3">
      <c r="M258"/>
    </row>
    <row r="259" spans="13:13" x14ac:dyDescent="0.3">
      <c r="M259"/>
    </row>
    <row r="260" spans="13:13" x14ac:dyDescent="0.3">
      <c r="M260"/>
    </row>
    <row r="261" spans="13:13" x14ac:dyDescent="0.3">
      <c r="M261"/>
    </row>
    <row r="262" spans="13:13" x14ac:dyDescent="0.3">
      <c r="M262"/>
    </row>
    <row r="263" spans="13:13" x14ac:dyDescent="0.3">
      <c r="M263"/>
    </row>
    <row r="264" spans="13:13" x14ac:dyDescent="0.3">
      <c r="M264"/>
    </row>
    <row r="265" spans="13:13" x14ac:dyDescent="0.3">
      <c r="M265"/>
    </row>
    <row r="266" spans="13:13" x14ac:dyDescent="0.3">
      <c r="M266"/>
    </row>
    <row r="267" spans="13:13" x14ac:dyDescent="0.3">
      <c r="M267"/>
    </row>
    <row r="268" spans="13:13" x14ac:dyDescent="0.3">
      <c r="M268"/>
    </row>
    <row r="269" spans="13:13" x14ac:dyDescent="0.3">
      <c r="M269"/>
    </row>
    <row r="270" spans="13:13" x14ac:dyDescent="0.3">
      <c r="M270"/>
    </row>
    <row r="271" spans="13:13" x14ac:dyDescent="0.3">
      <c r="M271"/>
    </row>
    <row r="272" spans="13:13" x14ac:dyDescent="0.3">
      <c r="M272"/>
    </row>
    <row r="273" spans="13:13" x14ac:dyDescent="0.3">
      <c r="M273"/>
    </row>
    <row r="274" spans="13:13" x14ac:dyDescent="0.3">
      <c r="M274"/>
    </row>
    <row r="275" spans="13:13" x14ac:dyDescent="0.3">
      <c r="M275"/>
    </row>
    <row r="276" spans="13:13" x14ac:dyDescent="0.3">
      <c r="M276"/>
    </row>
    <row r="277" spans="13:13" x14ac:dyDescent="0.3">
      <c r="M277"/>
    </row>
    <row r="278" spans="13:13" x14ac:dyDescent="0.3">
      <c r="M278"/>
    </row>
    <row r="279" spans="13:13" x14ac:dyDescent="0.3">
      <c r="M279"/>
    </row>
    <row r="280" spans="13:13" x14ac:dyDescent="0.3">
      <c r="M280"/>
    </row>
    <row r="281" spans="13:13" x14ac:dyDescent="0.3">
      <c r="M281"/>
    </row>
    <row r="282" spans="13:13" x14ac:dyDescent="0.3">
      <c r="M282"/>
    </row>
    <row r="283" spans="13:13" x14ac:dyDescent="0.3">
      <c r="M283"/>
    </row>
    <row r="284" spans="13:13" x14ac:dyDescent="0.3">
      <c r="M284"/>
    </row>
    <row r="285" spans="13:13" x14ac:dyDescent="0.3">
      <c r="M285"/>
    </row>
    <row r="286" spans="13:13" x14ac:dyDescent="0.3">
      <c r="M286"/>
    </row>
    <row r="287" spans="13:13" x14ac:dyDescent="0.3">
      <c r="M287"/>
    </row>
    <row r="288" spans="13:13" x14ac:dyDescent="0.3">
      <c r="M288"/>
    </row>
    <row r="289" spans="13:13" x14ac:dyDescent="0.3">
      <c r="M289"/>
    </row>
    <row r="290" spans="13:13" x14ac:dyDescent="0.3">
      <c r="M290"/>
    </row>
    <row r="291" spans="13:13" x14ac:dyDescent="0.3">
      <c r="M291"/>
    </row>
    <row r="292" spans="13:13" x14ac:dyDescent="0.3">
      <c r="M292"/>
    </row>
    <row r="293" spans="13:13" x14ac:dyDescent="0.3">
      <c r="M293"/>
    </row>
    <row r="294" spans="13:13" x14ac:dyDescent="0.3">
      <c r="M294"/>
    </row>
    <row r="295" spans="13:13" x14ac:dyDescent="0.3">
      <c r="M295"/>
    </row>
    <row r="296" spans="13:13" x14ac:dyDescent="0.3">
      <c r="M296"/>
    </row>
    <row r="297" spans="13:13" x14ac:dyDescent="0.3">
      <c r="M297"/>
    </row>
    <row r="298" spans="13:13" x14ac:dyDescent="0.3">
      <c r="M298"/>
    </row>
    <row r="299" spans="13:13" x14ac:dyDescent="0.3">
      <c r="M299"/>
    </row>
    <row r="300" spans="13:13" x14ac:dyDescent="0.3">
      <c r="M300"/>
    </row>
    <row r="301" spans="13:13" x14ac:dyDescent="0.3">
      <c r="M301"/>
    </row>
    <row r="302" spans="13:13" x14ac:dyDescent="0.3">
      <c r="M302"/>
    </row>
    <row r="303" spans="13:13" x14ac:dyDescent="0.3">
      <c r="M303"/>
    </row>
    <row r="304" spans="13:13" x14ac:dyDescent="0.3">
      <c r="M304"/>
    </row>
    <row r="305" spans="13:13" x14ac:dyDescent="0.3">
      <c r="M305"/>
    </row>
    <row r="306" spans="13:13" x14ac:dyDescent="0.3">
      <c r="M306"/>
    </row>
    <row r="307" spans="13:13" x14ac:dyDescent="0.3">
      <c r="M307"/>
    </row>
    <row r="308" spans="13:13" x14ac:dyDescent="0.3">
      <c r="M308"/>
    </row>
    <row r="309" spans="13:13" x14ac:dyDescent="0.3">
      <c r="M309"/>
    </row>
    <row r="310" spans="13:13" x14ac:dyDescent="0.3">
      <c r="M310"/>
    </row>
    <row r="311" spans="13:13" x14ac:dyDescent="0.3">
      <c r="M311"/>
    </row>
    <row r="312" spans="13:13" x14ac:dyDescent="0.3">
      <c r="M312"/>
    </row>
    <row r="313" spans="13:13" x14ac:dyDescent="0.3">
      <c r="M313"/>
    </row>
    <row r="314" spans="13:13" x14ac:dyDescent="0.3">
      <c r="M314"/>
    </row>
    <row r="315" spans="13:13" x14ac:dyDescent="0.3">
      <c r="M315"/>
    </row>
    <row r="316" spans="13:13" x14ac:dyDescent="0.3">
      <c r="M316"/>
    </row>
    <row r="317" spans="13:13" x14ac:dyDescent="0.3">
      <c r="M317"/>
    </row>
    <row r="318" spans="13:13" x14ac:dyDescent="0.3">
      <c r="M318"/>
    </row>
    <row r="319" spans="13:13" x14ac:dyDescent="0.3">
      <c r="M319"/>
    </row>
    <row r="320" spans="13:13" x14ac:dyDescent="0.3">
      <c r="M320"/>
    </row>
    <row r="321" spans="13:13" x14ac:dyDescent="0.3">
      <c r="M321"/>
    </row>
    <row r="322" spans="13:13" x14ac:dyDescent="0.3">
      <c r="M322"/>
    </row>
    <row r="323" spans="13:13" x14ac:dyDescent="0.3">
      <c r="M323"/>
    </row>
    <row r="324" spans="13:13" x14ac:dyDescent="0.3">
      <c r="M324"/>
    </row>
    <row r="325" spans="13:13" x14ac:dyDescent="0.3">
      <c r="M325"/>
    </row>
    <row r="326" spans="13:13" x14ac:dyDescent="0.3">
      <c r="M326"/>
    </row>
    <row r="327" spans="13:13" x14ac:dyDescent="0.3">
      <c r="M327"/>
    </row>
    <row r="328" spans="13:13" x14ac:dyDescent="0.3">
      <c r="M328"/>
    </row>
    <row r="329" spans="13:13" x14ac:dyDescent="0.3">
      <c r="M329"/>
    </row>
    <row r="330" spans="13:13" x14ac:dyDescent="0.3">
      <c r="M330"/>
    </row>
    <row r="331" spans="13:13" x14ac:dyDescent="0.3">
      <c r="M331"/>
    </row>
    <row r="332" spans="13:13" x14ac:dyDescent="0.3">
      <c r="M332"/>
    </row>
    <row r="333" spans="13:13" x14ac:dyDescent="0.3">
      <c r="M333"/>
    </row>
    <row r="334" spans="13:13" x14ac:dyDescent="0.3">
      <c r="M334"/>
    </row>
    <row r="335" spans="13:13" x14ac:dyDescent="0.3">
      <c r="M335"/>
    </row>
    <row r="336" spans="13:13" x14ac:dyDescent="0.3">
      <c r="M336"/>
    </row>
    <row r="337" spans="9:13" x14ac:dyDescent="0.3">
      <c r="M337"/>
    </row>
    <row r="338" spans="9:13" x14ac:dyDescent="0.3">
      <c r="M338"/>
    </row>
    <row r="339" spans="9:13" x14ac:dyDescent="0.3">
      <c r="M339"/>
    </row>
    <row r="340" spans="9:13" x14ac:dyDescent="0.3">
      <c r="M340"/>
    </row>
    <row r="341" spans="9:13" x14ac:dyDescent="0.3">
      <c r="M341"/>
    </row>
    <row r="342" spans="9:13" x14ac:dyDescent="0.3">
      <c r="M342"/>
    </row>
    <row r="343" spans="9:13" x14ac:dyDescent="0.3">
      <c r="M343"/>
    </row>
    <row r="344" spans="9:13" x14ac:dyDescent="0.3">
      <c r="M344"/>
    </row>
    <row r="345" spans="9:13" x14ac:dyDescent="0.3">
      <c r="M345"/>
    </row>
    <row r="346" spans="9:13" x14ac:dyDescent="0.3">
      <c r="M346"/>
    </row>
    <row r="347" spans="9:13" x14ac:dyDescent="0.3">
      <c r="M347"/>
    </row>
    <row r="348" spans="9:13" x14ac:dyDescent="0.3">
      <c r="I348" s="613"/>
      <c r="M348"/>
    </row>
    <row r="349" spans="9:13" x14ac:dyDescent="0.3">
      <c r="M349"/>
    </row>
    <row r="350" spans="9:13" x14ac:dyDescent="0.3">
      <c r="M350"/>
    </row>
    <row r="351" spans="9:13" x14ac:dyDescent="0.3">
      <c r="M351"/>
    </row>
    <row r="352" spans="9:13" x14ac:dyDescent="0.3">
      <c r="M352"/>
    </row>
    <row r="353" spans="13:13" x14ac:dyDescent="0.3">
      <c r="M353"/>
    </row>
    <row r="354" spans="13:13" x14ac:dyDescent="0.3">
      <c r="M354"/>
    </row>
    <row r="355" spans="13:13" x14ac:dyDescent="0.3">
      <c r="M355"/>
    </row>
    <row r="356" spans="13:13" x14ac:dyDescent="0.3">
      <c r="M356"/>
    </row>
    <row r="357" spans="13:13" x14ac:dyDescent="0.3">
      <c r="M357"/>
    </row>
    <row r="358" spans="13:13" x14ac:dyDescent="0.3">
      <c r="M358"/>
    </row>
    <row r="359" spans="13:13" x14ac:dyDescent="0.3">
      <c r="M359"/>
    </row>
    <row r="360" spans="13:13" x14ac:dyDescent="0.3">
      <c r="M360"/>
    </row>
    <row r="361" spans="13:13" x14ac:dyDescent="0.3">
      <c r="M361"/>
    </row>
    <row r="362" spans="13:13" x14ac:dyDescent="0.3">
      <c r="M362"/>
    </row>
    <row r="363" spans="13:13" x14ac:dyDescent="0.3">
      <c r="M363"/>
    </row>
    <row r="364" spans="13:13" x14ac:dyDescent="0.3">
      <c r="M364"/>
    </row>
    <row r="365" spans="13:13" x14ac:dyDescent="0.3">
      <c r="M365"/>
    </row>
    <row r="366" spans="13:13" x14ac:dyDescent="0.3">
      <c r="M366"/>
    </row>
    <row r="367" spans="13:13" x14ac:dyDescent="0.3">
      <c r="M367"/>
    </row>
    <row r="368" spans="13:13" x14ac:dyDescent="0.3">
      <c r="M368"/>
    </row>
    <row r="369" spans="13:13" x14ac:dyDescent="0.3">
      <c r="M369"/>
    </row>
    <row r="370" spans="13:13" x14ac:dyDescent="0.3">
      <c r="M370"/>
    </row>
    <row r="371" spans="13:13" x14ac:dyDescent="0.3">
      <c r="M371"/>
    </row>
    <row r="372" spans="13:13" x14ac:dyDescent="0.3">
      <c r="M372"/>
    </row>
    <row r="373" spans="13:13" x14ac:dyDescent="0.3">
      <c r="M373"/>
    </row>
    <row r="374" spans="13:13" x14ac:dyDescent="0.3">
      <c r="M374"/>
    </row>
    <row r="375" spans="13:13" x14ac:dyDescent="0.3">
      <c r="M375"/>
    </row>
    <row r="376" spans="13:13" x14ac:dyDescent="0.3">
      <c r="M376"/>
    </row>
    <row r="377" spans="13:13" x14ac:dyDescent="0.3">
      <c r="M377"/>
    </row>
    <row r="378" spans="13:13" x14ac:dyDescent="0.3">
      <c r="M378"/>
    </row>
    <row r="379" spans="13:13" x14ac:dyDescent="0.3">
      <c r="M379"/>
    </row>
    <row r="380" spans="13:13" x14ac:dyDescent="0.3">
      <c r="M380"/>
    </row>
    <row r="381" spans="13:13" x14ac:dyDescent="0.3">
      <c r="M381"/>
    </row>
    <row r="382" spans="13:13" x14ac:dyDescent="0.3">
      <c r="M382"/>
    </row>
    <row r="383" spans="13:13" x14ac:dyDescent="0.3">
      <c r="M383"/>
    </row>
    <row r="384" spans="13:13" x14ac:dyDescent="0.3">
      <c r="M384"/>
    </row>
    <row r="385" spans="13:13" x14ac:dyDescent="0.3">
      <c r="M385"/>
    </row>
    <row r="386" spans="13:13" x14ac:dyDescent="0.3">
      <c r="M386"/>
    </row>
    <row r="387" spans="13:13" x14ac:dyDescent="0.3">
      <c r="M387"/>
    </row>
    <row r="388" spans="13:13" x14ac:dyDescent="0.3">
      <c r="M388"/>
    </row>
    <row r="389" spans="13:13" x14ac:dyDescent="0.3">
      <c r="M389"/>
    </row>
    <row r="390" spans="13:13" x14ac:dyDescent="0.3">
      <c r="M390"/>
    </row>
    <row r="391" spans="13:13" x14ac:dyDescent="0.3">
      <c r="M391"/>
    </row>
    <row r="392" spans="13:13" x14ac:dyDescent="0.3">
      <c r="M392"/>
    </row>
    <row r="393" spans="13:13" x14ac:dyDescent="0.3">
      <c r="M393"/>
    </row>
    <row r="394" spans="13:13" x14ac:dyDescent="0.3">
      <c r="M394"/>
    </row>
    <row r="395" spans="13:13" x14ac:dyDescent="0.3">
      <c r="M395"/>
    </row>
    <row r="396" spans="13:13" x14ac:dyDescent="0.3">
      <c r="M396"/>
    </row>
    <row r="397" spans="13:13" x14ac:dyDescent="0.3">
      <c r="M397"/>
    </row>
    <row r="398" spans="13:13" x14ac:dyDescent="0.3">
      <c r="M398"/>
    </row>
    <row r="399" spans="13:13" x14ac:dyDescent="0.3">
      <c r="M399"/>
    </row>
    <row r="400" spans="13:13" x14ac:dyDescent="0.3">
      <c r="M400"/>
    </row>
    <row r="401" spans="13:13" x14ac:dyDescent="0.3">
      <c r="M401"/>
    </row>
    <row r="402" spans="13:13" x14ac:dyDescent="0.3">
      <c r="M402"/>
    </row>
    <row r="403" spans="13:13" x14ac:dyDescent="0.3">
      <c r="M403"/>
    </row>
    <row r="404" spans="13:13" x14ac:dyDescent="0.3">
      <c r="M404"/>
    </row>
    <row r="405" spans="13:13" x14ac:dyDescent="0.3">
      <c r="M405"/>
    </row>
    <row r="406" spans="13:13" x14ac:dyDescent="0.3">
      <c r="M406"/>
    </row>
    <row r="407" spans="13:13" x14ac:dyDescent="0.3">
      <c r="M407"/>
    </row>
    <row r="408" spans="13:13" x14ac:dyDescent="0.3">
      <c r="M408"/>
    </row>
    <row r="409" spans="13:13" x14ac:dyDescent="0.3">
      <c r="M409"/>
    </row>
    <row r="410" spans="13:13" x14ac:dyDescent="0.3">
      <c r="M410"/>
    </row>
    <row r="411" spans="13:13" x14ac:dyDescent="0.3">
      <c r="M411"/>
    </row>
    <row r="412" spans="13:13" x14ac:dyDescent="0.3">
      <c r="M412"/>
    </row>
    <row r="413" spans="13:13" x14ac:dyDescent="0.3">
      <c r="M413"/>
    </row>
    <row r="414" spans="13:13" x14ac:dyDescent="0.3">
      <c r="M414"/>
    </row>
    <row r="415" spans="13:13" x14ac:dyDescent="0.3">
      <c r="M415"/>
    </row>
    <row r="416" spans="13:13" x14ac:dyDescent="0.3">
      <c r="M416"/>
    </row>
    <row r="417" spans="13:13" x14ac:dyDescent="0.3">
      <c r="M417"/>
    </row>
    <row r="418" spans="13:13" x14ac:dyDescent="0.3">
      <c r="M418"/>
    </row>
    <row r="419" spans="13:13" x14ac:dyDescent="0.3">
      <c r="M419"/>
    </row>
    <row r="420" spans="13:13" x14ac:dyDescent="0.3">
      <c r="M420"/>
    </row>
    <row r="421" spans="13:13" x14ac:dyDescent="0.3">
      <c r="M421"/>
    </row>
    <row r="422" spans="13:13" x14ac:dyDescent="0.3">
      <c r="M422"/>
    </row>
    <row r="423" spans="13:13" x14ac:dyDescent="0.3">
      <c r="M423"/>
    </row>
    <row r="424" spans="13:13" x14ac:dyDescent="0.3">
      <c r="M424"/>
    </row>
    <row r="425" spans="13:13" x14ac:dyDescent="0.3">
      <c r="M425"/>
    </row>
    <row r="426" spans="13:13" x14ac:dyDescent="0.3">
      <c r="M426"/>
    </row>
    <row r="427" spans="13:13" x14ac:dyDescent="0.3">
      <c r="M427"/>
    </row>
    <row r="428" spans="13:13" x14ac:dyDescent="0.3">
      <c r="M428"/>
    </row>
    <row r="429" spans="13:13" x14ac:dyDescent="0.3">
      <c r="M429"/>
    </row>
    <row r="430" spans="13:13" x14ac:dyDescent="0.3">
      <c r="M430"/>
    </row>
    <row r="431" spans="13:13" x14ac:dyDescent="0.3">
      <c r="M431"/>
    </row>
    <row r="432" spans="13:13" x14ac:dyDescent="0.3">
      <c r="M432"/>
    </row>
    <row r="433" spans="13:13" x14ac:dyDescent="0.3">
      <c r="M433"/>
    </row>
    <row r="434" spans="13:13" x14ac:dyDescent="0.3">
      <c r="M434"/>
    </row>
    <row r="435" spans="13:13" x14ac:dyDescent="0.3">
      <c r="M435"/>
    </row>
    <row r="436" spans="13:13" x14ac:dyDescent="0.3">
      <c r="M436"/>
    </row>
    <row r="437" spans="13:13" x14ac:dyDescent="0.3">
      <c r="M437"/>
    </row>
    <row r="438" spans="13:13" x14ac:dyDescent="0.3">
      <c r="M438"/>
    </row>
    <row r="439" spans="13:13" x14ac:dyDescent="0.3">
      <c r="M439"/>
    </row>
    <row r="440" spans="13:13" x14ac:dyDescent="0.3">
      <c r="M440"/>
    </row>
    <row r="441" spans="13:13" x14ac:dyDescent="0.3">
      <c r="M441"/>
    </row>
    <row r="442" spans="13:13" x14ac:dyDescent="0.3">
      <c r="M442"/>
    </row>
    <row r="443" spans="13:13" x14ac:dyDescent="0.3">
      <c r="M443"/>
    </row>
    <row r="444" spans="13:13" x14ac:dyDescent="0.3">
      <c r="M444"/>
    </row>
    <row r="445" spans="13:13" x14ac:dyDescent="0.3">
      <c r="M445"/>
    </row>
    <row r="446" spans="13:13" x14ac:dyDescent="0.3">
      <c r="M446"/>
    </row>
    <row r="447" spans="13:13" x14ac:dyDescent="0.3">
      <c r="M447"/>
    </row>
    <row r="448" spans="13:13" x14ac:dyDescent="0.3">
      <c r="M448"/>
    </row>
    <row r="449" spans="13:13" x14ac:dyDescent="0.3">
      <c r="M449"/>
    </row>
    <row r="450" spans="13:13" x14ac:dyDescent="0.3">
      <c r="M450"/>
    </row>
    <row r="451" spans="13:13" x14ac:dyDescent="0.3">
      <c r="M451"/>
    </row>
    <row r="452" spans="13:13" x14ac:dyDescent="0.3">
      <c r="M452"/>
    </row>
    <row r="453" spans="13:13" x14ac:dyDescent="0.3">
      <c r="M453"/>
    </row>
    <row r="454" spans="13:13" x14ac:dyDescent="0.3">
      <c r="M454"/>
    </row>
    <row r="455" spans="13:13" x14ac:dyDescent="0.3">
      <c r="M455"/>
    </row>
    <row r="456" spans="13:13" x14ac:dyDescent="0.3">
      <c r="M456"/>
    </row>
    <row r="457" spans="13:13" x14ac:dyDescent="0.3">
      <c r="M457"/>
    </row>
    <row r="458" spans="13:13" x14ac:dyDescent="0.3">
      <c r="M458"/>
    </row>
    <row r="459" spans="13:13" x14ac:dyDescent="0.3">
      <c r="M459"/>
    </row>
    <row r="460" spans="13:13" x14ac:dyDescent="0.3">
      <c r="M460"/>
    </row>
    <row r="461" spans="13:13" x14ac:dyDescent="0.3">
      <c r="M461"/>
    </row>
    <row r="462" spans="13:13" x14ac:dyDescent="0.3">
      <c r="M462"/>
    </row>
    <row r="463" spans="13:13" x14ac:dyDescent="0.3">
      <c r="M463"/>
    </row>
    <row r="464" spans="13:13" x14ac:dyDescent="0.3">
      <c r="M464"/>
    </row>
    <row r="465" spans="13:13" x14ac:dyDescent="0.3">
      <c r="M465"/>
    </row>
    <row r="466" spans="13:13" x14ac:dyDescent="0.3">
      <c r="M466"/>
    </row>
    <row r="467" spans="13:13" x14ac:dyDescent="0.3">
      <c r="M467"/>
    </row>
    <row r="468" spans="13:13" x14ac:dyDescent="0.3">
      <c r="M468"/>
    </row>
    <row r="469" spans="13:13" x14ac:dyDescent="0.3">
      <c r="M469"/>
    </row>
    <row r="470" spans="13:13" x14ac:dyDescent="0.3">
      <c r="M470"/>
    </row>
    <row r="471" spans="13:13" x14ac:dyDescent="0.3">
      <c r="M471"/>
    </row>
    <row r="472" spans="13:13" x14ac:dyDescent="0.3">
      <c r="M472"/>
    </row>
    <row r="473" spans="13:13" x14ac:dyDescent="0.3">
      <c r="M473"/>
    </row>
    <row r="474" spans="13:13" x14ac:dyDescent="0.3">
      <c r="M474"/>
    </row>
    <row r="475" spans="13:13" x14ac:dyDescent="0.3">
      <c r="M475"/>
    </row>
    <row r="476" spans="13:13" x14ac:dyDescent="0.3">
      <c r="M476"/>
    </row>
    <row r="477" spans="13:13" x14ac:dyDescent="0.3">
      <c r="M477"/>
    </row>
    <row r="478" spans="13:13" x14ac:dyDescent="0.3">
      <c r="M478"/>
    </row>
    <row r="479" spans="13:13" x14ac:dyDescent="0.3">
      <c r="M479"/>
    </row>
    <row r="480" spans="13:13" x14ac:dyDescent="0.3">
      <c r="M480"/>
    </row>
    <row r="481" spans="13:13" x14ac:dyDescent="0.3">
      <c r="M481"/>
    </row>
    <row r="482" spans="13:13" x14ac:dyDescent="0.3">
      <c r="M482"/>
    </row>
    <row r="483" spans="13:13" x14ac:dyDescent="0.3">
      <c r="M483"/>
    </row>
    <row r="484" spans="13:13" x14ac:dyDescent="0.3">
      <c r="M484"/>
    </row>
    <row r="485" spans="13:13" x14ac:dyDescent="0.3">
      <c r="M485"/>
    </row>
    <row r="486" spans="13:13" x14ac:dyDescent="0.3">
      <c r="M486"/>
    </row>
    <row r="487" spans="13:13" x14ac:dyDescent="0.3">
      <c r="M487"/>
    </row>
    <row r="488" spans="13:13" x14ac:dyDescent="0.3">
      <c r="M488"/>
    </row>
    <row r="489" spans="13:13" x14ac:dyDescent="0.3">
      <c r="M489"/>
    </row>
    <row r="490" spans="13:13" x14ac:dyDescent="0.3">
      <c r="M490"/>
    </row>
    <row r="491" spans="13:13" x14ac:dyDescent="0.3">
      <c r="M491"/>
    </row>
    <row r="492" spans="13:13" x14ac:dyDescent="0.3">
      <c r="M492"/>
    </row>
    <row r="493" spans="13:13" x14ac:dyDescent="0.3">
      <c r="M493"/>
    </row>
    <row r="494" spans="13:13" x14ac:dyDescent="0.3">
      <c r="M494"/>
    </row>
    <row r="495" spans="13:13" x14ac:dyDescent="0.3">
      <c r="M495"/>
    </row>
    <row r="496" spans="13:13" x14ac:dyDescent="0.3">
      <c r="M496"/>
    </row>
    <row r="497" spans="13:13" x14ac:dyDescent="0.3">
      <c r="M497"/>
    </row>
    <row r="498" spans="13:13" x14ac:dyDescent="0.3">
      <c r="M498"/>
    </row>
    <row r="499" spans="13:13" x14ac:dyDescent="0.3">
      <c r="M499"/>
    </row>
    <row r="500" spans="13:13" x14ac:dyDescent="0.3">
      <c r="M500"/>
    </row>
    <row r="501" spans="13:13" x14ac:dyDescent="0.3">
      <c r="M501"/>
    </row>
    <row r="502" spans="13:13" x14ac:dyDescent="0.3">
      <c r="M502"/>
    </row>
    <row r="503" spans="13:13" x14ac:dyDescent="0.3">
      <c r="M503"/>
    </row>
    <row r="504" spans="13:13" x14ac:dyDescent="0.3">
      <c r="M504"/>
    </row>
    <row r="505" spans="13:13" x14ac:dyDescent="0.3">
      <c r="M505"/>
    </row>
    <row r="506" spans="13:13" x14ac:dyDescent="0.3">
      <c r="M506"/>
    </row>
    <row r="507" spans="13:13" x14ac:dyDescent="0.3">
      <c r="M507"/>
    </row>
    <row r="508" spans="13:13" x14ac:dyDescent="0.3">
      <c r="M508"/>
    </row>
    <row r="509" spans="13:13" x14ac:dyDescent="0.3">
      <c r="M509"/>
    </row>
    <row r="510" spans="13:13" x14ac:dyDescent="0.3">
      <c r="M510"/>
    </row>
    <row r="511" spans="13:13" x14ac:dyDescent="0.3">
      <c r="M511"/>
    </row>
    <row r="512" spans="13:13" x14ac:dyDescent="0.3">
      <c r="M512"/>
    </row>
    <row r="513" spans="13:13" x14ac:dyDescent="0.3">
      <c r="M513"/>
    </row>
    <row r="514" spans="13:13" x14ac:dyDescent="0.3">
      <c r="M514"/>
    </row>
    <row r="515" spans="13:13" x14ac:dyDescent="0.3">
      <c r="M515"/>
    </row>
    <row r="516" spans="13:13" x14ac:dyDescent="0.3">
      <c r="M516"/>
    </row>
    <row r="517" spans="13:13" x14ac:dyDescent="0.3">
      <c r="M517"/>
    </row>
    <row r="518" spans="13:13" x14ac:dyDescent="0.3">
      <c r="M518"/>
    </row>
    <row r="519" spans="13:13" x14ac:dyDescent="0.3">
      <c r="M519"/>
    </row>
    <row r="520" spans="13:13" x14ac:dyDescent="0.3">
      <c r="M520"/>
    </row>
    <row r="521" spans="13:13" x14ac:dyDescent="0.3">
      <c r="M521"/>
    </row>
    <row r="522" spans="13:13" x14ac:dyDescent="0.3">
      <c r="M522"/>
    </row>
    <row r="523" spans="13:13" x14ac:dyDescent="0.3">
      <c r="M523"/>
    </row>
    <row r="524" spans="13:13" x14ac:dyDescent="0.3">
      <c r="M524"/>
    </row>
    <row r="525" spans="13:13" x14ac:dyDescent="0.3">
      <c r="M525"/>
    </row>
    <row r="526" spans="13:13" x14ac:dyDescent="0.3">
      <c r="M526"/>
    </row>
    <row r="527" spans="13:13" x14ac:dyDescent="0.3">
      <c r="M527"/>
    </row>
    <row r="528" spans="13:13" x14ac:dyDescent="0.3">
      <c r="M528"/>
    </row>
    <row r="529" spans="13:13" x14ac:dyDescent="0.3">
      <c r="M529"/>
    </row>
    <row r="530" spans="13:13" x14ac:dyDescent="0.3">
      <c r="M530"/>
    </row>
    <row r="531" spans="13:13" x14ac:dyDescent="0.3">
      <c r="M531"/>
    </row>
    <row r="532" spans="13:13" x14ac:dyDescent="0.3">
      <c r="M532"/>
    </row>
    <row r="533" spans="13:13" x14ac:dyDescent="0.3">
      <c r="M533"/>
    </row>
    <row r="534" spans="13:13" x14ac:dyDescent="0.3">
      <c r="M534"/>
    </row>
    <row r="535" spans="13:13" x14ac:dyDescent="0.3">
      <c r="M535"/>
    </row>
    <row r="536" spans="13:13" x14ac:dyDescent="0.3">
      <c r="M536"/>
    </row>
    <row r="537" spans="13:13" x14ac:dyDescent="0.3">
      <c r="M537"/>
    </row>
    <row r="538" spans="13:13" x14ac:dyDescent="0.3">
      <c r="M538"/>
    </row>
    <row r="539" spans="13:13" x14ac:dyDescent="0.3">
      <c r="M539"/>
    </row>
    <row r="540" spans="13:13" x14ac:dyDescent="0.3">
      <c r="M540"/>
    </row>
    <row r="541" spans="13:13" x14ac:dyDescent="0.3">
      <c r="M541"/>
    </row>
    <row r="542" spans="13:13" x14ac:dyDescent="0.3">
      <c r="M542"/>
    </row>
    <row r="543" spans="13:13" x14ac:dyDescent="0.3">
      <c r="M543"/>
    </row>
    <row r="544" spans="13:13" x14ac:dyDescent="0.3">
      <c r="M544"/>
    </row>
    <row r="545" spans="13:13" x14ac:dyDescent="0.3">
      <c r="M545"/>
    </row>
    <row r="546" spans="13:13" x14ac:dyDescent="0.3">
      <c r="M546"/>
    </row>
    <row r="547" spans="13:13" x14ac:dyDescent="0.3">
      <c r="M547"/>
    </row>
    <row r="548" spans="13:13" x14ac:dyDescent="0.3">
      <c r="M548"/>
    </row>
    <row r="549" spans="13:13" x14ac:dyDescent="0.3">
      <c r="M549"/>
    </row>
    <row r="550" spans="13:13" x14ac:dyDescent="0.3">
      <c r="M550"/>
    </row>
    <row r="551" spans="13:13" x14ac:dyDescent="0.3">
      <c r="M551"/>
    </row>
    <row r="552" spans="13:13" x14ac:dyDescent="0.3">
      <c r="M552"/>
    </row>
    <row r="553" spans="13:13" x14ac:dyDescent="0.3">
      <c r="M553"/>
    </row>
    <row r="554" spans="13:13" x14ac:dyDescent="0.3">
      <c r="M554"/>
    </row>
    <row r="555" spans="13:13" x14ac:dyDescent="0.3">
      <c r="M555"/>
    </row>
    <row r="556" spans="13:13" x14ac:dyDescent="0.3">
      <c r="M556"/>
    </row>
    <row r="557" spans="13:13" x14ac:dyDescent="0.3">
      <c r="M557"/>
    </row>
    <row r="558" spans="13:13" x14ac:dyDescent="0.3">
      <c r="M558"/>
    </row>
    <row r="559" spans="13:13" x14ac:dyDescent="0.3">
      <c r="M559"/>
    </row>
    <row r="560" spans="13:13" x14ac:dyDescent="0.3">
      <c r="M560"/>
    </row>
    <row r="561" spans="13:13" x14ac:dyDescent="0.3">
      <c r="M561"/>
    </row>
    <row r="562" spans="13:13" x14ac:dyDescent="0.3">
      <c r="M562"/>
    </row>
    <row r="563" spans="13:13" x14ac:dyDescent="0.3">
      <c r="M563"/>
    </row>
    <row r="564" spans="13:13" x14ac:dyDescent="0.3">
      <c r="M564"/>
    </row>
    <row r="565" spans="13:13" x14ac:dyDescent="0.3">
      <c r="M565"/>
    </row>
    <row r="566" spans="13:13" x14ac:dyDescent="0.3">
      <c r="M566"/>
    </row>
    <row r="567" spans="13:13" x14ac:dyDescent="0.3">
      <c r="M567"/>
    </row>
    <row r="568" spans="13:13" x14ac:dyDescent="0.3">
      <c r="M568"/>
    </row>
    <row r="569" spans="13:13" x14ac:dyDescent="0.3">
      <c r="M569"/>
    </row>
    <row r="570" spans="13:13" x14ac:dyDescent="0.3">
      <c r="M570"/>
    </row>
    <row r="571" spans="13:13" x14ac:dyDescent="0.3">
      <c r="M571"/>
    </row>
    <row r="572" spans="13:13" x14ac:dyDescent="0.3">
      <c r="M572"/>
    </row>
    <row r="573" spans="13:13" x14ac:dyDescent="0.3">
      <c r="M573"/>
    </row>
    <row r="574" spans="13:13" x14ac:dyDescent="0.3">
      <c r="M574"/>
    </row>
    <row r="575" spans="13:13" x14ac:dyDescent="0.3">
      <c r="M575"/>
    </row>
    <row r="576" spans="13:13" x14ac:dyDescent="0.3">
      <c r="M576"/>
    </row>
    <row r="577" spans="13:13" x14ac:dyDescent="0.3">
      <c r="M577"/>
    </row>
    <row r="578" spans="13:13" x14ac:dyDescent="0.3">
      <c r="M578"/>
    </row>
    <row r="579" spans="13:13" x14ac:dyDescent="0.3">
      <c r="M579"/>
    </row>
    <row r="580" spans="13:13" x14ac:dyDescent="0.3">
      <c r="M580"/>
    </row>
    <row r="581" spans="13:13" x14ac:dyDescent="0.3">
      <c r="M581"/>
    </row>
    <row r="582" spans="13:13" x14ac:dyDescent="0.3">
      <c r="M582"/>
    </row>
    <row r="583" spans="13:13" x14ac:dyDescent="0.3">
      <c r="M583"/>
    </row>
    <row r="584" spans="13:13" x14ac:dyDescent="0.3">
      <c r="M584"/>
    </row>
    <row r="585" spans="13:13" x14ac:dyDescent="0.3">
      <c r="M585"/>
    </row>
    <row r="586" spans="13:13" x14ac:dyDescent="0.3">
      <c r="M586"/>
    </row>
    <row r="587" spans="13:13" x14ac:dyDescent="0.3">
      <c r="M587"/>
    </row>
    <row r="588" spans="13:13" x14ac:dyDescent="0.3">
      <c r="M588"/>
    </row>
    <row r="589" spans="13:13" x14ac:dyDescent="0.3">
      <c r="M589"/>
    </row>
    <row r="590" spans="13:13" x14ac:dyDescent="0.3">
      <c r="M590"/>
    </row>
    <row r="591" spans="13:13" x14ac:dyDescent="0.3">
      <c r="M591"/>
    </row>
    <row r="592" spans="13:13" x14ac:dyDescent="0.3">
      <c r="M592"/>
    </row>
    <row r="593" spans="13:13" x14ac:dyDescent="0.3">
      <c r="M593"/>
    </row>
    <row r="594" spans="13:13" x14ac:dyDescent="0.3">
      <c r="M594"/>
    </row>
    <row r="595" spans="13:13" x14ac:dyDescent="0.3">
      <c r="M595"/>
    </row>
    <row r="596" spans="13:13" x14ac:dyDescent="0.3">
      <c r="M596"/>
    </row>
    <row r="597" spans="13:13" x14ac:dyDescent="0.3">
      <c r="M597"/>
    </row>
    <row r="598" spans="13:13" x14ac:dyDescent="0.3">
      <c r="M598"/>
    </row>
    <row r="599" spans="13:13" x14ac:dyDescent="0.3">
      <c r="M599"/>
    </row>
    <row r="600" spans="13:13" x14ac:dyDescent="0.3">
      <c r="M600"/>
    </row>
    <row r="601" spans="13:13" x14ac:dyDescent="0.3">
      <c r="M601"/>
    </row>
    <row r="602" spans="13:13" x14ac:dyDescent="0.3">
      <c r="M602"/>
    </row>
    <row r="603" spans="13:13" x14ac:dyDescent="0.3">
      <c r="M603"/>
    </row>
    <row r="604" spans="13:13" x14ac:dyDescent="0.3">
      <c r="M604"/>
    </row>
    <row r="605" spans="13:13" x14ac:dyDescent="0.3">
      <c r="M605"/>
    </row>
    <row r="606" spans="13:13" x14ac:dyDescent="0.3">
      <c r="M606"/>
    </row>
    <row r="607" spans="13:13" x14ac:dyDescent="0.3">
      <c r="M607"/>
    </row>
    <row r="608" spans="13:13" x14ac:dyDescent="0.3">
      <c r="M608"/>
    </row>
    <row r="609" spans="13:13" x14ac:dyDescent="0.3">
      <c r="M609"/>
    </row>
    <row r="610" spans="13:13" x14ac:dyDescent="0.3">
      <c r="M610"/>
    </row>
    <row r="611" spans="13:13" x14ac:dyDescent="0.3">
      <c r="M611"/>
    </row>
    <row r="612" spans="13:13" x14ac:dyDescent="0.3">
      <c r="M612"/>
    </row>
    <row r="613" spans="13:13" x14ac:dyDescent="0.3">
      <c r="M613"/>
    </row>
    <row r="614" spans="13:13" x14ac:dyDescent="0.3">
      <c r="M614"/>
    </row>
    <row r="615" spans="13:13" x14ac:dyDescent="0.3">
      <c r="M615"/>
    </row>
    <row r="616" spans="13:13" x14ac:dyDescent="0.3">
      <c r="M616"/>
    </row>
    <row r="617" spans="13:13" x14ac:dyDescent="0.3">
      <c r="M617"/>
    </row>
    <row r="618" spans="13:13" x14ac:dyDescent="0.3">
      <c r="M618"/>
    </row>
    <row r="619" spans="13:13" x14ac:dyDescent="0.3">
      <c r="M619"/>
    </row>
    <row r="620" spans="13:13" x14ac:dyDescent="0.3">
      <c r="M620"/>
    </row>
    <row r="621" spans="13:13" x14ac:dyDescent="0.3">
      <c r="M621"/>
    </row>
    <row r="622" spans="13:13" x14ac:dyDescent="0.3">
      <c r="M622"/>
    </row>
    <row r="623" spans="13:13" x14ac:dyDescent="0.3">
      <c r="M623"/>
    </row>
    <row r="624" spans="13:13" x14ac:dyDescent="0.3">
      <c r="M624"/>
    </row>
    <row r="625" spans="13:13" x14ac:dyDescent="0.3">
      <c r="M625"/>
    </row>
    <row r="626" spans="13:13" x14ac:dyDescent="0.3">
      <c r="M626"/>
    </row>
    <row r="627" spans="13:13" x14ac:dyDescent="0.3">
      <c r="M627"/>
    </row>
    <row r="628" spans="13:13" x14ac:dyDescent="0.3">
      <c r="M628"/>
    </row>
    <row r="629" spans="13:13" x14ac:dyDescent="0.3">
      <c r="M629"/>
    </row>
    <row r="630" spans="13:13" x14ac:dyDescent="0.3">
      <c r="M630"/>
    </row>
    <row r="631" spans="13:13" x14ac:dyDescent="0.3">
      <c r="M631"/>
    </row>
    <row r="632" spans="13:13" x14ac:dyDescent="0.3">
      <c r="M632"/>
    </row>
    <row r="633" spans="13:13" x14ac:dyDescent="0.3">
      <c r="M633"/>
    </row>
    <row r="634" spans="13:13" x14ac:dyDescent="0.3">
      <c r="M634"/>
    </row>
    <row r="635" spans="13:13" x14ac:dyDescent="0.3">
      <c r="M635"/>
    </row>
    <row r="636" spans="13:13" x14ac:dyDescent="0.3">
      <c r="M636"/>
    </row>
    <row r="637" spans="13:13" x14ac:dyDescent="0.3">
      <c r="M637"/>
    </row>
    <row r="638" spans="13:13" x14ac:dyDescent="0.3">
      <c r="M638"/>
    </row>
    <row r="639" spans="13:13" x14ac:dyDescent="0.3">
      <c r="M639"/>
    </row>
    <row r="640" spans="13:13" x14ac:dyDescent="0.3">
      <c r="M640"/>
    </row>
    <row r="641" spans="13:13" x14ac:dyDescent="0.3">
      <c r="M641"/>
    </row>
    <row r="642" spans="13:13" x14ac:dyDescent="0.3">
      <c r="M642"/>
    </row>
    <row r="643" spans="13:13" x14ac:dyDescent="0.3">
      <c r="M643"/>
    </row>
    <row r="644" spans="13:13" x14ac:dyDescent="0.3">
      <c r="M644"/>
    </row>
    <row r="645" spans="13:13" x14ac:dyDescent="0.3">
      <c r="M645"/>
    </row>
    <row r="646" spans="13:13" x14ac:dyDescent="0.3">
      <c r="M646"/>
    </row>
    <row r="647" spans="13:13" x14ac:dyDescent="0.3">
      <c r="M647"/>
    </row>
    <row r="648" spans="13:13" x14ac:dyDescent="0.3">
      <c r="M648"/>
    </row>
    <row r="649" spans="13:13" x14ac:dyDescent="0.3">
      <c r="M649"/>
    </row>
    <row r="650" spans="13:13" x14ac:dyDescent="0.3">
      <c r="M650"/>
    </row>
    <row r="651" spans="13:13" x14ac:dyDescent="0.3">
      <c r="M651"/>
    </row>
    <row r="652" spans="13:13" x14ac:dyDescent="0.3">
      <c r="M652"/>
    </row>
    <row r="653" spans="13:13" x14ac:dyDescent="0.3">
      <c r="M653"/>
    </row>
    <row r="654" spans="13:13" x14ac:dyDescent="0.3">
      <c r="M654"/>
    </row>
    <row r="655" spans="13:13" x14ac:dyDescent="0.3">
      <c r="M655"/>
    </row>
    <row r="656" spans="13:13" x14ac:dyDescent="0.3">
      <c r="M656"/>
    </row>
    <row r="657" spans="13:13" x14ac:dyDescent="0.3">
      <c r="M657"/>
    </row>
    <row r="658" spans="13:13" x14ac:dyDescent="0.3">
      <c r="M658"/>
    </row>
    <row r="659" spans="13:13" x14ac:dyDescent="0.3">
      <c r="M659"/>
    </row>
    <row r="660" spans="13:13" x14ac:dyDescent="0.3">
      <c r="M660"/>
    </row>
    <row r="661" spans="13:13" x14ac:dyDescent="0.3">
      <c r="M661"/>
    </row>
    <row r="662" spans="13:13" x14ac:dyDescent="0.3">
      <c r="M662"/>
    </row>
    <row r="663" spans="13:13" x14ac:dyDescent="0.3">
      <c r="M663"/>
    </row>
    <row r="664" spans="13:13" x14ac:dyDescent="0.3">
      <c r="M664"/>
    </row>
    <row r="665" spans="13:13" x14ac:dyDescent="0.3">
      <c r="M665"/>
    </row>
    <row r="666" spans="13:13" x14ac:dyDescent="0.3">
      <c r="M666"/>
    </row>
    <row r="667" spans="13:13" x14ac:dyDescent="0.3">
      <c r="M667"/>
    </row>
    <row r="668" spans="13:13" x14ac:dyDescent="0.3">
      <c r="M668"/>
    </row>
    <row r="669" spans="13:13" x14ac:dyDescent="0.3">
      <c r="M669"/>
    </row>
    <row r="670" spans="13:13" x14ac:dyDescent="0.3">
      <c r="M670"/>
    </row>
    <row r="671" spans="13:13" x14ac:dyDescent="0.3">
      <c r="M671"/>
    </row>
    <row r="672" spans="13:13" x14ac:dyDescent="0.3">
      <c r="M672"/>
    </row>
    <row r="673" spans="13:13" x14ac:dyDescent="0.3">
      <c r="M673"/>
    </row>
    <row r="674" spans="13:13" x14ac:dyDescent="0.3">
      <c r="M674"/>
    </row>
    <row r="675" spans="13:13" x14ac:dyDescent="0.3">
      <c r="M675"/>
    </row>
    <row r="676" spans="13:13" x14ac:dyDescent="0.3">
      <c r="M676"/>
    </row>
    <row r="677" spans="13:13" x14ac:dyDescent="0.3">
      <c r="M677"/>
    </row>
    <row r="678" spans="13:13" x14ac:dyDescent="0.3">
      <c r="M678"/>
    </row>
    <row r="679" spans="13:13" x14ac:dyDescent="0.3">
      <c r="M679"/>
    </row>
    <row r="680" spans="13:13" x14ac:dyDescent="0.3">
      <c r="M680"/>
    </row>
    <row r="681" spans="13:13" x14ac:dyDescent="0.3">
      <c r="M681"/>
    </row>
    <row r="682" spans="13:13" x14ac:dyDescent="0.3">
      <c r="M682"/>
    </row>
    <row r="683" spans="13:13" x14ac:dyDescent="0.3">
      <c r="M683"/>
    </row>
    <row r="684" spans="13:13" x14ac:dyDescent="0.3">
      <c r="M684"/>
    </row>
    <row r="685" spans="13:13" x14ac:dyDescent="0.3">
      <c r="M685"/>
    </row>
    <row r="686" spans="13:13" x14ac:dyDescent="0.3">
      <c r="M686"/>
    </row>
    <row r="687" spans="13:13" x14ac:dyDescent="0.3">
      <c r="M687"/>
    </row>
    <row r="688" spans="13:13" x14ac:dyDescent="0.3">
      <c r="M688"/>
    </row>
    <row r="689" spans="13:13" x14ac:dyDescent="0.3">
      <c r="M689"/>
    </row>
    <row r="690" spans="13:13" x14ac:dyDescent="0.3">
      <c r="M690"/>
    </row>
    <row r="691" spans="13:13" x14ac:dyDescent="0.3">
      <c r="M691"/>
    </row>
    <row r="692" spans="13:13" x14ac:dyDescent="0.3">
      <c r="M692"/>
    </row>
    <row r="693" spans="13:13" x14ac:dyDescent="0.3">
      <c r="M693"/>
    </row>
    <row r="694" spans="13:13" x14ac:dyDescent="0.3">
      <c r="M694"/>
    </row>
    <row r="695" spans="13:13" x14ac:dyDescent="0.3">
      <c r="M695"/>
    </row>
    <row r="696" spans="13:13" x14ac:dyDescent="0.3">
      <c r="M696"/>
    </row>
    <row r="697" spans="13:13" x14ac:dyDescent="0.3">
      <c r="M697"/>
    </row>
    <row r="698" spans="13:13" x14ac:dyDescent="0.3">
      <c r="M698"/>
    </row>
    <row r="699" spans="13:13" x14ac:dyDescent="0.3">
      <c r="M699"/>
    </row>
    <row r="700" spans="13:13" x14ac:dyDescent="0.3">
      <c r="M700"/>
    </row>
    <row r="701" spans="13:13" x14ac:dyDescent="0.3">
      <c r="M701"/>
    </row>
    <row r="702" spans="13:13" x14ac:dyDescent="0.3">
      <c r="M702"/>
    </row>
    <row r="703" spans="13:13" x14ac:dyDescent="0.3">
      <c r="M703"/>
    </row>
    <row r="704" spans="13:13" x14ac:dyDescent="0.3">
      <c r="M704"/>
    </row>
    <row r="705" spans="13:13" x14ac:dyDescent="0.3">
      <c r="M705"/>
    </row>
    <row r="706" spans="13:13" x14ac:dyDescent="0.3">
      <c r="M706"/>
    </row>
    <row r="707" spans="13:13" x14ac:dyDescent="0.3">
      <c r="M707"/>
    </row>
    <row r="708" spans="13:13" x14ac:dyDescent="0.3">
      <c r="M708"/>
    </row>
    <row r="709" spans="13:13" x14ac:dyDescent="0.3">
      <c r="M709"/>
    </row>
    <row r="710" spans="13:13" x14ac:dyDescent="0.3">
      <c r="M710"/>
    </row>
    <row r="711" spans="13:13" x14ac:dyDescent="0.3">
      <c r="M711"/>
    </row>
    <row r="712" spans="13:13" x14ac:dyDescent="0.3">
      <c r="M712"/>
    </row>
    <row r="713" spans="13:13" x14ac:dyDescent="0.3">
      <c r="M713"/>
    </row>
    <row r="714" spans="13:13" x14ac:dyDescent="0.3">
      <c r="M714"/>
    </row>
    <row r="715" spans="13:13" x14ac:dyDescent="0.3">
      <c r="M715"/>
    </row>
    <row r="716" spans="13:13" x14ac:dyDescent="0.3">
      <c r="M716"/>
    </row>
  </sheetData>
  <sortState xmlns:xlrd2="http://schemas.microsoft.com/office/spreadsheetml/2017/richdata2" ref="B7:B10">
    <sortCondition ref="B7"/>
  </sortState>
  <mergeCells count="28">
    <mergeCell ref="E66:F68"/>
    <mergeCell ref="L66:L68"/>
    <mergeCell ref="A22:B22"/>
    <mergeCell ref="H2:L2"/>
    <mergeCell ref="H42:L42"/>
    <mergeCell ref="H65:I65"/>
    <mergeCell ref="N2:R2"/>
    <mergeCell ref="C2:F2"/>
    <mergeCell ref="H24:I24"/>
    <mergeCell ref="C3:F3"/>
    <mergeCell ref="H3:L3"/>
    <mergeCell ref="N3:R3"/>
    <mergeCell ref="N42:R42"/>
    <mergeCell ref="N24:O24"/>
    <mergeCell ref="C4:F4"/>
    <mergeCell ref="N4:R4"/>
    <mergeCell ref="E37:F37"/>
    <mergeCell ref="H4:L4"/>
    <mergeCell ref="N29:O29"/>
    <mergeCell ref="H29:I29"/>
    <mergeCell ref="L25:L27"/>
    <mergeCell ref="R25:R27"/>
    <mergeCell ref="E25:F27"/>
    <mergeCell ref="H77:L77"/>
    <mergeCell ref="N77:R77"/>
    <mergeCell ref="R66:R68"/>
    <mergeCell ref="H70:I70"/>
    <mergeCell ref="N70:O70"/>
  </mergeCells>
  <conditionalFormatting sqref="C33:E33 K33 Q33 K74 Q74">
    <cfRule type="cellIs" dxfId="421" priority="95" operator="lessThan">
      <formula>$C$30</formula>
    </cfRule>
  </conditionalFormatting>
  <conditionalFormatting sqref="J7">
    <cfRule type="cellIs" dxfId="420" priority="81" operator="notEqual">
      <formula>$I$7</formula>
    </cfRule>
  </conditionalFormatting>
  <conditionalFormatting sqref="P7">
    <cfRule type="cellIs" dxfId="419" priority="73" operator="notEqual">
      <formula>$O$7</formula>
    </cfRule>
  </conditionalFormatting>
  <conditionalFormatting sqref="J8">
    <cfRule type="cellIs" dxfId="418" priority="68" operator="notEqual">
      <formula>$I$8</formula>
    </cfRule>
  </conditionalFormatting>
  <conditionalFormatting sqref="P8">
    <cfRule type="cellIs" dxfId="417" priority="65" operator="notEqual">
      <formula>$O$8</formula>
    </cfRule>
  </conditionalFormatting>
  <conditionalFormatting sqref="J9">
    <cfRule type="cellIs" dxfId="416" priority="97" operator="notEqual">
      <formula>$I$9</formula>
    </cfRule>
  </conditionalFormatting>
  <conditionalFormatting sqref="J10">
    <cfRule type="cellIs" dxfId="415" priority="98" operator="notEqual">
      <formula>$I$10</formula>
    </cfRule>
  </conditionalFormatting>
  <conditionalFormatting sqref="P9">
    <cfRule type="cellIs" dxfId="414" priority="99" operator="notEqual">
      <formula>$O$9</formula>
    </cfRule>
  </conditionalFormatting>
  <conditionalFormatting sqref="D7">
    <cfRule type="cellIs" dxfId="413" priority="23" operator="notEqual">
      <formula>$C$7</formula>
    </cfRule>
  </conditionalFormatting>
  <conditionalFormatting sqref="D8">
    <cfRule type="cellIs" dxfId="412" priority="24" operator="notEqual">
      <formula>$C$8</formula>
    </cfRule>
  </conditionalFormatting>
  <conditionalFormatting sqref="D9">
    <cfRule type="cellIs" dxfId="411" priority="25" operator="notEqual">
      <formula>$C$9</formula>
    </cfRule>
  </conditionalFormatting>
  <conditionalFormatting sqref="D10">
    <cfRule type="cellIs" dxfId="410" priority="26" operator="notEqual">
      <formula>$C$10</formula>
    </cfRule>
  </conditionalFormatting>
  <conditionalFormatting sqref="P10">
    <cfRule type="cellIs" dxfId="409" priority="100" operator="notEqual">
      <formula>$O$10</formula>
    </cfRule>
  </conditionalFormatting>
  <conditionalFormatting sqref="C74:E74">
    <cfRule type="cellIs" dxfId="408" priority="17" operator="lessThan">
      <formula>$C$30</formula>
    </cfRule>
  </conditionalFormatting>
  <conditionalFormatting sqref="J51">
    <cfRule type="cellIs" dxfId="407" priority="14" operator="notEqual">
      <formula>$I$7</formula>
    </cfRule>
  </conditionalFormatting>
  <conditionalFormatting sqref="P51">
    <cfRule type="cellIs" dxfId="406" priority="13" operator="notEqual">
      <formula>$O$7</formula>
    </cfRule>
  </conditionalFormatting>
  <conditionalFormatting sqref="J52">
    <cfRule type="cellIs" dxfId="405" priority="12" operator="notEqual">
      <formula>$I$8</formula>
    </cfRule>
  </conditionalFormatting>
  <conditionalFormatting sqref="P52">
    <cfRule type="cellIs" dxfId="404" priority="11" operator="notEqual">
      <formula>$O$8</formula>
    </cfRule>
  </conditionalFormatting>
  <conditionalFormatting sqref="J53">
    <cfRule type="cellIs" dxfId="403" priority="18" operator="notEqual">
      <formula>$I$9</formula>
    </cfRule>
  </conditionalFormatting>
  <conditionalFormatting sqref="J54">
    <cfRule type="cellIs" dxfId="402" priority="19" operator="notEqual">
      <formula>$I$10</formula>
    </cfRule>
  </conditionalFormatting>
  <conditionalFormatting sqref="P53">
    <cfRule type="cellIs" dxfId="401" priority="20" operator="notEqual">
      <formula>$O$9</formula>
    </cfRule>
  </conditionalFormatting>
  <conditionalFormatting sqref="D51">
    <cfRule type="cellIs" dxfId="400" priority="7" operator="notEqual">
      <formula>$C$7</formula>
    </cfRule>
  </conditionalFormatting>
  <conditionalFormatting sqref="D52">
    <cfRule type="cellIs" dxfId="399" priority="8" operator="notEqual">
      <formula>$C$8</formula>
    </cfRule>
  </conditionalFormatting>
  <conditionalFormatting sqref="D53">
    <cfRule type="cellIs" dxfId="398" priority="9" operator="notEqual">
      <formula>$C$9</formula>
    </cfRule>
  </conditionalFormatting>
  <conditionalFormatting sqref="D54">
    <cfRule type="cellIs" dxfId="397" priority="10" operator="notEqual">
      <formula>$C$10</formula>
    </cfRule>
  </conditionalFormatting>
  <conditionalFormatting sqref="P54">
    <cfRule type="cellIs" dxfId="396" priority="21" operator="notEqual">
      <formula>$O$10</formula>
    </cfRule>
  </conditionalFormatting>
  <conditionalFormatting sqref="J33">
    <cfRule type="cellIs" dxfId="395" priority="6" operator="lessThan">
      <formula>$C$30</formula>
    </cfRule>
  </conditionalFormatting>
  <conditionalFormatting sqref="P33">
    <cfRule type="cellIs" dxfId="394" priority="4" operator="lessThan">
      <formula>$C$30</formula>
    </cfRule>
  </conditionalFormatting>
  <conditionalFormatting sqref="J74">
    <cfRule type="cellIs" dxfId="393" priority="3" operator="lessThan">
      <formula>$C$30</formula>
    </cfRule>
  </conditionalFormatting>
  <conditionalFormatting sqref="P74">
    <cfRule type="cellIs" dxfId="392" priority="1" operator="lessThan">
      <formula>$C$30</formula>
    </cfRule>
  </conditionalFormatting>
  <dataValidations count="1">
    <dataValidation errorStyle="warning" allowBlank="1" showInputMessage="1" showErrorMessage="1" sqref="E14:E18" xr:uid="{85C50124-0952-430B-926A-451DC1421863}"/>
  </dataValidations>
  <pageMargins left="0.7" right="0.7" top="0.75" bottom="0.75" header="0.3" footer="0.3"/>
  <pageSetup paperSize="9" orientation="portrait" horizontalDpi="1200" verticalDpi="1200" r:id="rId1"/>
  <ignoredErrors>
    <ignoredError sqref="I17 O17 K19" formula="1"/>
    <ignoredError sqref="D25:D27 K25:K27 Q25:Q27 D66:D68 K66:K68 Q66:Q68 C4 H4 N4"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32866" r:id="rId4" name="Check Box 98">
              <controlPr defaultSize="0" autoFill="0" autoLine="0" autoPict="0">
                <anchor moveWithCells="1">
                  <from>
                    <xdr:col>4</xdr:col>
                    <xdr:colOff>259080</xdr:colOff>
                    <xdr:row>35</xdr:row>
                    <xdr:rowOff>106680</xdr:rowOff>
                  </from>
                  <to>
                    <xdr:col>5</xdr:col>
                    <xdr:colOff>1219200</xdr:colOff>
                    <xdr:row>37</xdr:row>
                    <xdr:rowOff>106680</xdr:rowOff>
                  </to>
                </anchor>
              </controlPr>
            </control>
          </mc:Choice>
        </mc:AlternateContent>
        <mc:AlternateContent xmlns:mc="http://schemas.openxmlformats.org/markup-compatibility/2006">
          <mc:Choice Requires="x14">
            <control shapeId="32869" r:id="rId5" name="Button 101">
              <controlPr defaultSize="0" print="0" autoFill="0" autoPict="0" macro="[0]!VergrendelenVZ">
                <anchor moveWithCells="1" sizeWithCells="1">
                  <from>
                    <xdr:col>2</xdr:col>
                    <xdr:colOff>45720</xdr:colOff>
                    <xdr:row>0</xdr:row>
                    <xdr:rowOff>83820</xdr:rowOff>
                  </from>
                  <to>
                    <xdr:col>5</xdr:col>
                    <xdr:colOff>1371600</xdr:colOff>
                    <xdr:row>0</xdr:row>
                    <xdr:rowOff>365760</xdr:rowOff>
                  </to>
                </anchor>
              </controlPr>
            </control>
          </mc:Choice>
        </mc:AlternateContent>
        <mc:AlternateContent xmlns:mc="http://schemas.openxmlformats.org/markup-compatibility/2006">
          <mc:Choice Requires="x14">
            <control shapeId="32871" r:id="rId6" name="Check Box 103">
              <controlPr defaultSize="0" autoFill="0" autoLine="0" autoPict="0" macro="[0]!GewijzigdeBelofte">
                <anchor moveWithCells="1">
                  <from>
                    <xdr:col>2</xdr:col>
                    <xdr:colOff>60960</xdr:colOff>
                    <xdr:row>35</xdr:row>
                    <xdr:rowOff>175260</xdr:rowOff>
                  </from>
                  <to>
                    <xdr:col>2</xdr:col>
                    <xdr:colOff>335280</xdr:colOff>
                    <xdr:row>37</xdr:row>
                    <xdr:rowOff>30480</xdr:rowOff>
                  </to>
                </anchor>
              </controlPr>
            </control>
          </mc:Choice>
        </mc:AlternateContent>
        <mc:AlternateContent xmlns:mc="http://schemas.openxmlformats.org/markup-compatibility/2006">
          <mc:Choice Requires="x14">
            <control shapeId="32872" r:id="rId7" name="Check Box 104">
              <controlPr defaultSize="0" autoFill="0" autoLine="0" autoPict="0">
                <anchor moveWithCells="1">
                  <from>
                    <xdr:col>2</xdr:col>
                    <xdr:colOff>45720</xdr:colOff>
                    <xdr:row>19</xdr:row>
                    <xdr:rowOff>22860</xdr:rowOff>
                  </from>
                  <to>
                    <xdr:col>2</xdr:col>
                    <xdr:colOff>388620</xdr:colOff>
                    <xdr:row>22</xdr:row>
                    <xdr:rowOff>76200</xdr:rowOff>
                  </to>
                </anchor>
              </controlPr>
            </control>
          </mc:Choice>
        </mc:AlternateContent>
        <mc:AlternateContent xmlns:mc="http://schemas.openxmlformats.org/markup-compatibility/2006">
          <mc:Choice Requires="x14">
            <control shapeId="32873" r:id="rId8" name="Button 105">
              <controlPr defaultSize="0" print="0" autoFill="0" autoPict="0" macro="[0]!Centrumteden">
                <anchor moveWithCells="1" sizeWithCells="1">
                  <from>
                    <xdr:col>3</xdr:col>
                    <xdr:colOff>220980</xdr:colOff>
                    <xdr:row>21</xdr:row>
                    <xdr:rowOff>114300</xdr:rowOff>
                  </from>
                  <to>
                    <xdr:col>4</xdr:col>
                    <xdr:colOff>883920</xdr:colOff>
                    <xdr:row>21</xdr:row>
                    <xdr:rowOff>487680</xdr:rowOff>
                  </to>
                </anchor>
              </controlPr>
            </control>
          </mc:Choice>
        </mc:AlternateContent>
        <mc:AlternateContent xmlns:mc="http://schemas.openxmlformats.org/markup-compatibility/2006">
          <mc:Choice Requires="x14">
            <control shapeId="32876" r:id="rId9" name="Check Box 108">
              <controlPr defaultSize="0" autoFill="0" autoLine="0" autoPict="0">
                <anchor moveWithCells="1">
                  <from>
                    <xdr:col>2</xdr:col>
                    <xdr:colOff>167640</xdr:colOff>
                    <xdr:row>41</xdr:row>
                    <xdr:rowOff>99060</xdr:rowOff>
                  </from>
                  <to>
                    <xdr:col>3</xdr:col>
                    <xdr:colOff>106680</xdr:colOff>
                    <xdr:row>41</xdr:row>
                    <xdr:rowOff>320040</xdr:rowOff>
                  </to>
                </anchor>
              </controlPr>
            </control>
          </mc:Choice>
        </mc:AlternateContent>
        <mc:AlternateContent xmlns:mc="http://schemas.openxmlformats.org/markup-compatibility/2006">
          <mc:Choice Requires="x14">
            <control shapeId="32877" r:id="rId10" name="Button 109">
              <controlPr defaultSize="0" print="0" autoFill="0" autoPict="0" macro="[0]!kopieerdata">
                <anchor moveWithCells="1" sizeWithCells="1">
                  <from>
                    <xdr:col>0</xdr:col>
                    <xdr:colOff>76200</xdr:colOff>
                    <xdr:row>0</xdr:row>
                    <xdr:rowOff>60960</xdr:rowOff>
                  </from>
                  <to>
                    <xdr:col>1</xdr:col>
                    <xdr:colOff>1874520</xdr:colOff>
                    <xdr:row>0</xdr:row>
                    <xdr:rowOff>335280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8">
        <x14:dataValidation type="list" allowBlank="1" showInputMessage="1" showErrorMessage="1" xr:uid="{5BFB11A1-FEA5-4296-A4F1-7AE0E176C7E7}">
          <x14:formula1>
            <xm:f>Bron!$B$27:$B$30</xm:f>
          </x14:formula1>
          <xm:sqref>L58:L62 R58:R62 Q14:R18 F58:F62 K14:L18 F14:F18</xm:sqref>
        </x14:dataValidation>
        <x14:dataValidation type="list" allowBlank="1" showInputMessage="1" showErrorMessage="1" xr:uid="{40B6398F-F423-4697-B47E-D9090EFA9388}">
          <x14:formula1>
            <xm:f>Bron!$B$8:$B$17</xm:f>
          </x14:formula1>
          <xm:sqref>H20:K21 C20:C21 E20:E21 N20:Q21 H64:K64 C64 E64 N64 P64:Q64</xm:sqref>
        </x14:dataValidation>
        <x14:dataValidation type="list" errorStyle="warning" allowBlank="1" showInputMessage="1" showErrorMessage="1" promptTitle="Geef kostensoort in" prompt="Geef kostensoort in " xr:uid="{623C74CD-8A0C-4DCD-B0B9-E8918B0AB850}">
          <x14:formula1>
            <xm:f>Bron!$B$7:$B$17</xm:f>
          </x14:formula1>
          <xm:sqref>B13:B19 H57:H63 H13:H19 B57:B63 N13:N19 N57:N63</xm:sqref>
        </x14:dataValidation>
        <x14:dataValidation type="list" errorStyle="warning" allowBlank="1" showInputMessage="1" showErrorMessage="1" xr:uid="{F046C000-9BCD-4528-AE67-84F30CFAD66E}">
          <x14:formula1>
            <xm:f>Bron!$B$7:$B$17</xm:f>
          </x14:formula1>
          <xm:sqref>N7:N10 H7:H10 B7:B10 H51:H54 B51:B54 N51:N54</xm:sqref>
        </x14:dataValidation>
        <x14:dataValidation type="list" allowBlank="1" showInputMessage="1" xr:uid="{2372819B-9216-44A5-8890-B83708CDE39D}">
          <x14:formula1>
            <xm:f>Bron!$E$3:$E$23</xm:f>
          </x14:formula1>
          <xm:sqref>O20:Q21 N6 E6 H23 H20 I20:K21 C20:C21 E20:E21 Q6 D23 N20 H6 K6 H12 N50 E50 H64:K64 C64 E64 Q50 H56 H50 K50 N64 P64:Q64</xm:sqref>
        </x14:dataValidation>
        <x14:dataValidation type="list" errorStyle="warning" allowBlank="1" showInputMessage="1" showErrorMessage="1" error="Geef een geldige zorgvorm in" xr:uid="{32B7F440-729F-42A2-8F41-FF31F70867B8}">
          <x14:formula1>
            <xm:f>Bron!$E$2:$E$37</xm:f>
          </x14:formula1>
          <xm:sqref>H3 C3 N3</xm:sqref>
        </x14:dataValidation>
        <x14:dataValidation type="list" allowBlank="1" showInputMessage="1" showErrorMessage="1" xr:uid="{1B6D97CF-23CB-48D5-AFA7-C80A71B62568}">
          <x14:formula1>
            <xm:f>Bouwindex_ABEX!$Q$3:$Q$38</xm:f>
          </x14:formula1>
          <xm:sqref>C36:C38</xm:sqref>
        </x14:dataValidation>
        <x14:dataValidation type="list" allowBlank="1" showInputMessage="1" showErrorMessage="1" xr:uid="{29F51025-4287-4CCA-ACA7-CFA193D4AFA6}">
          <x14:formula1>
            <xm:f>Bouwindex_ABEX!$Q$3:$Q$50</xm:f>
          </x14:formula1>
          <xm:sqref>H36:H38 N36:N38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251CD-F60D-4FA3-B3CE-194AD7CAA658}">
  <sheetPr codeName="Blad19"/>
  <dimension ref="B1:AC325"/>
  <sheetViews>
    <sheetView zoomScaleNormal="100" workbookViewId="0">
      <selection activeCell="C5" sqref="C5:C27"/>
    </sheetView>
  </sheetViews>
  <sheetFormatPr defaultRowHeight="14.4" x14ac:dyDescent="0.3"/>
  <cols>
    <col min="1" max="1" width="1.44140625" customWidth="1"/>
    <col min="2" max="2" width="14.33203125" customWidth="1"/>
    <col min="3" max="3" width="9.6640625" bestFit="1" customWidth="1"/>
    <col min="4" max="4" width="18" customWidth="1"/>
    <col min="5" max="5" width="1.44140625" customWidth="1"/>
    <col min="6" max="6" width="29.33203125" customWidth="1"/>
    <col min="7" max="7" width="9.6640625" bestFit="1" customWidth="1"/>
    <col min="8" max="8" width="9.88671875" bestFit="1" customWidth="1"/>
    <col min="9" max="9" width="1.44140625" customWidth="1"/>
    <col min="10" max="10" width="13.5546875" customWidth="1"/>
    <col min="11" max="11" width="9.6640625" bestFit="1" customWidth="1"/>
    <col min="12" max="12" width="9.88671875" bestFit="1" customWidth="1"/>
    <col min="13" max="13" width="1.44140625" customWidth="1"/>
    <col min="14" max="14" width="14.33203125" customWidth="1"/>
    <col min="15" max="15" width="9.6640625" bestFit="1" customWidth="1"/>
    <col min="16" max="16" width="9.88671875" bestFit="1" customWidth="1"/>
    <col min="17" max="17" width="1.44140625" customWidth="1"/>
    <col min="18" max="18" width="17.77734375" customWidth="1"/>
    <col min="19" max="19" width="18.33203125" customWidth="1"/>
    <col min="20" max="20" width="1.44140625" customWidth="1"/>
    <col min="21" max="29" width="8.88671875" hidden="1" customWidth="1"/>
  </cols>
  <sheetData>
    <row r="1" spans="2:29" ht="15.6" x14ac:dyDescent="0.3">
      <c r="B1" s="1186" t="str">
        <f>'Overzicht project'!C40</f>
        <v>Kies de zorgvorm</v>
      </c>
      <c r="C1" s="1186"/>
      <c r="D1" s="1186"/>
      <c r="F1" s="1186" t="str">
        <f>'Overzicht project'!C41</f>
        <v>Kies de zorgvorm</v>
      </c>
      <c r="G1" s="1186"/>
      <c r="H1" s="1186"/>
      <c r="J1" s="1186" t="str">
        <f>'Overzicht project'!C42</f>
        <v>Kies de zorgvorm</v>
      </c>
      <c r="K1" s="1186"/>
      <c r="L1" s="1186"/>
      <c r="N1" s="1186" t="s">
        <v>100</v>
      </c>
      <c r="O1" s="1186"/>
      <c r="P1" s="1186"/>
      <c r="R1" s="1186" t="s">
        <v>26</v>
      </c>
      <c r="S1" s="1186"/>
      <c r="T1" s="440"/>
      <c r="U1" t="s">
        <v>101</v>
      </c>
    </row>
    <row r="2" spans="2:29" ht="16.2" thickBot="1" x14ac:dyDescent="0.35">
      <c r="B2" s="1186" t="s">
        <v>102</v>
      </c>
      <c r="C2" s="1186"/>
      <c r="D2" s="1186"/>
      <c r="F2" s="1187" t="s">
        <v>103</v>
      </c>
      <c r="G2" s="1187"/>
      <c r="H2" s="1187"/>
      <c r="J2" s="1186" t="s">
        <v>104</v>
      </c>
      <c r="K2" s="1186"/>
      <c r="L2" s="1186"/>
      <c r="N2" s="1186" t="s">
        <v>100</v>
      </c>
      <c r="O2" s="1186"/>
      <c r="P2" s="1186"/>
      <c r="R2" s="1186" t="s">
        <v>26</v>
      </c>
      <c r="S2" s="1186"/>
      <c r="T2" s="440"/>
      <c r="U2" s="106" t="s">
        <v>105</v>
      </c>
    </row>
    <row r="3" spans="2:29" ht="45.6" hidden="1" customHeight="1" thickBot="1" x14ac:dyDescent="0.35">
      <c r="B3" s="441" t="s">
        <v>106</v>
      </c>
      <c r="C3" s="441" t="s">
        <v>1466</v>
      </c>
      <c r="D3" s="1115" t="s">
        <v>1465</v>
      </c>
      <c r="F3" s="441" t="s">
        <v>106</v>
      </c>
      <c r="G3" s="441" t="s">
        <v>107</v>
      </c>
      <c r="H3" s="441" t="s">
        <v>108</v>
      </c>
      <c r="J3" s="441" t="s">
        <v>106</v>
      </c>
      <c r="K3" s="441" t="s">
        <v>107</v>
      </c>
      <c r="L3" s="441" t="s">
        <v>108</v>
      </c>
      <c r="N3" s="441" t="s">
        <v>106</v>
      </c>
      <c r="O3" s="441" t="s">
        <v>107</v>
      </c>
      <c r="P3" s="441" t="s">
        <v>108</v>
      </c>
      <c r="R3" s="448" t="s">
        <v>107</v>
      </c>
      <c r="S3" s="448" t="s">
        <v>108</v>
      </c>
      <c r="U3" s="1188" t="s">
        <v>109</v>
      </c>
      <c r="V3" s="1188"/>
      <c r="W3" s="1188"/>
      <c r="X3" s="1188"/>
      <c r="Y3" s="1188"/>
      <c r="Z3" s="1188"/>
      <c r="AA3" s="1188"/>
      <c r="AB3" s="1188"/>
      <c r="AC3" s="1188"/>
    </row>
    <row r="4" spans="2:29" ht="15" thickBot="1" x14ac:dyDescent="0.35">
      <c r="B4" s="442" t="s">
        <v>110</v>
      </c>
      <c r="C4" s="443">
        <f>ROUND(SUM(C5:C111),2)</f>
        <v>0</v>
      </c>
      <c r="D4" s="443">
        <f>ROUND(SUM(D5:D111),2)</f>
        <v>0</v>
      </c>
      <c r="F4" s="442" t="s">
        <v>110</v>
      </c>
      <c r="G4" s="443">
        <f>ROUND(SUM(G5:G111),2)</f>
        <v>0</v>
      </c>
      <c r="H4" s="443">
        <f>ROUND(SUM(H5:H111),2)</f>
        <v>0</v>
      </c>
      <c r="J4" s="442" t="s">
        <v>110</v>
      </c>
      <c r="K4" s="443">
        <f>ROUND(SUM(K5:K111),2)</f>
        <v>0</v>
      </c>
      <c r="L4" s="443">
        <f>ROUND(SUM(L5:L111),2)</f>
        <v>0</v>
      </c>
      <c r="N4" s="442" t="s">
        <v>110</v>
      </c>
      <c r="O4" s="443">
        <f>ROUND(SUM(O5:O111),2)</f>
        <v>0</v>
      </c>
      <c r="P4" s="443">
        <f>ROUND(SUM(P5:P111),2)</f>
        <v>0</v>
      </c>
      <c r="R4" s="797">
        <f>MAX(O4+K4+G4+C4,'Overzicht project'!E66)</f>
        <v>0</v>
      </c>
      <c r="S4" s="447">
        <f>H4+L4+P4+D4</f>
        <v>0</v>
      </c>
      <c r="U4" s="1188"/>
      <c r="V4" s="1188"/>
      <c r="W4" s="1188"/>
      <c r="X4" s="1188"/>
      <c r="Y4" s="1188"/>
      <c r="Z4" s="1188"/>
      <c r="AA4" s="1188"/>
      <c r="AB4" s="1188"/>
      <c r="AC4" s="1188"/>
    </row>
    <row r="5" spans="2:29" x14ac:dyDescent="0.3">
      <c r="B5" s="839" t="s">
        <v>111</v>
      </c>
      <c r="C5" s="445">
        <v>0</v>
      </c>
      <c r="D5" s="445"/>
      <c r="F5" s="444"/>
      <c r="G5" s="445"/>
      <c r="H5" s="445"/>
      <c r="J5" s="444"/>
      <c r="K5" s="445"/>
      <c r="L5" s="445"/>
      <c r="N5" s="444"/>
      <c r="O5" s="445"/>
      <c r="P5" s="445"/>
      <c r="R5" s="684"/>
      <c r="S5" s="684"/>
      <c r="U5" s="106" t="s">
        <v>112</v>
      </c>
    </row>
    <row r="6" spans="2:29" x14ac:dyDescent="0.3">
      <c r="B6" s="839" t="s">
        <v>111</v>
      </c>
      <c r="C6" s="445">
        <v>0</v>
      </c>
      <c r="D6" s="445"/>
      <c r="F6" s="444"/>
      <c r="G6" s="445"/>
      <c r="H6" s="445"/>
      <c r="J6" s="444"/>
      <c r="K6" s="445"/>
      <c r="L6" s="445"/>
      <c r="N6" s="444"/>
      <c r="O6" s="445"/>
      <c r="P6" s="445"/>
      <c r="U6" s="340" t="s">
        <v>113</v>
      </c>
    </row>
    <row r="7" spans="2:29" x14ac:dyDescent="0.3">
      <c r="B7" s="839" t="s">
        <v>111</v>
      </c>
      <c r="C7" s="445">
        <v>0</v>
      </c>
      <c r="D7" s="445"/>
      <c r="F7" s="444"/>
      <c r="G7" s="445"/>
      <c r="H7" s="445"/>
      <c r="J7" s="444"/>
      <c r="K7" s="445"/>
      <c r="L7" s="445"/>
      <c r="N7" s="444"/>
      <c r="O7" s="445"/>
      <c r="P7" s="445"/>
      <c r="U7" s="106" t="s">
        <v>114</v>
      </c>
    </row>
    <row r="8" spans="2:29" x14ac:dyDescent="0.3">
      <c r="B8" s="839" t="s">
        <v>111</v>
      </c>
      <c r="C8" s="445">
        <v>0</v>
      </c>
      <c r="D8" s="445"/>
      <c r="F8" s="444"/>
      <c r="G8" s="445"/>
      <c r="H8" s="445"/>
      <c r="J8" s="444"/>
      <c r="K8" s="445"/>
      <c r="L8" s="445"/>
      <c r="N8" s="444"/>
      <c r="O8" s="445"/>
      <c r="P8" s="445"/>
      <c r="U8" s="340" t="s">
        <v>115</v>
      </c>
    </row>
    <row r="9" spans="2:29" x14ac:dyDescent="0.3">
      <c r="B9" s="839" t="s">
        <v>111</v>
      </c>
      <c r="C9" s="445">
        <v>0</v>
      </c>
      <c r="D9" s="445"/>
      <c r="F9" s="444"/>
      <c r="G9" s="445"/>
      <c r="H9" s="445"/>
      <c r="J9" s="444"/>
      <c r="K9" s="445"/>
      <c r="L9" s="445"/>
      <c r="N9" s="444"/>
      <c r="O9" s="445"/>
      <c r="P9" s="445"/>
    </row>
    <row r="10" spans="2:29" x14ac:dyDescent="0.3">
      <c r="B10" s="839" t="s">
        <v>111</v>
      </c>
      <c r="C10" s="445">
        <v>0</v>
      </c>
      <c r="D10" s="445"/>
      <c r="F10" s="444"/>
      <c r="G10" s="445"/>
      <c r="H10" s="445"/>
      <c r="J10" s="444"/>
      <c r="K10" s="445"/>
      <c r="L10" s="445"/>
      <c r="N10" s="444"/>
      <c r="O10" s="445"/>
      <c r="P10" s="445"/>
    </row>
    <row r="11" spans="2:29" x14ac:dyDescent="0.3">
      <c r="B11" s="839" t="s">
        <v>111</v>
      </c>
      <c r="C11" s="445">
        <v>0</v>
      </c>
      <c r="D11" s="445"/>
      <c r="F11" s="444"/>
      <c r="G11" s="445"/>
      <c r="H11" s="445"/>
      <c r="J11" s="444"/>
      <c r="K11" s="445"/>
      <c r="L11" s="445"/>
      <c r="N11" s="444"/>
      <c r="O11" s="445"/>
      <c r="P11" s="445"/>
    </row>
    <row r="12" spans="2:29" x14ac:dyDescent="0.3">
      <c r="B12" s="839" t="s">
        <v>111</v>
      </c>
      <c r="C12" s="445">
        <v>0</v>
      </c>
      <c r="D12" s="445"/>
      <c r="F12" s="444"/>
      <c r="G12" s="445"/>
      <c r="H12" s="445"/>
      <c r="J12" s="444"/>
      <c r="K12" s="445"/>
      <c r="L12" s="445"/>
      <c r="N12" s="444"/>
      <c r="O12" s="445"/>
      <c r="P12" s="445"/>
    </row>
    <row r="13" spans="2:29" x14ac:dyDescent="0.3">
      <c r="B13" s="444"/>
      <c r="C13" s="445"/>
      <c r="D13" s="445"/>
      <c r="F13" s="444"/>
      <c r="G13" s="445"/>
      <c r="H13" s="445"/>
      <c r="J13" s="444"/>
      <c r="K13" s="445"/>
      <c r="L13" s="445"/>
      <c r="N13" s="444"/>
      <c r="O13" s="445"/>
      <c r="P13" s="445"/>
    </row>
    <row r="14" spans="2:29" x14ac:dyDescent="0.3">
      <c r="B14" s="444"/>
      <c r="C14" s="445"/>
      <c r="D14" s="445"/>
      <c r="F14" s="444"/>
      <c r="G14" s="445"/>
      <c r="H14" s="445"/>
      <c r="J14" s="444"/>
      <c r="K14" s="445"/>
      <c r="L14" s="445"/>
      <c r="N14" s="444"/>
      <c r="O14" s="445"/>
      <c r="P14" s="445"/>
    </row>
    <row r="15" spans="2:29" x14ac:dyDescent="0.3">
      <c r="B15" s="444"/>
      <c r="C15" s="445"/>
      <c r="D15" s="445"/>
      <c r="F15" s="444"/>
      <c r="G15" s="445"/>
      <c r="H15" s="445"/>
      <c r="J15" s="444"/>
      <c r="K15" s="445"/>
      <c r="L15" s="445"/>
      <c r="N15" s="444"/>
      <c r="O15" s="445"/>
      <c r="P15" s="445"/>
    </row>
    <row r="16" spans="2:29" x14ac:dyDescent="0.3">
      <c r="B16" s="444"/>
      <c r="C16" s="445"/>
      <c r="D16" s="445"/>
      <c r="F16" s="444"/>
      <c r="G16" s="445"/>
      <c r="H16" s="445"/>
      <c r="J16" s="444"/>
      <c r="K16" s="445"/>
      <c r="L16" s="445"/>
      <c r="N16" s="444"/>
      <c r="O16" s="445"/>
      <c r="P16" s="445"/>
    </row>
    <row r="17" spans="2:16" x14ac:dyDescent="0.3">
      <c r="B17" s="444"/>
      <c r="C17" s="445"/>
      <c r="D17" s="445"/>
      <c r="F17" s="444"/>
      <c r="G17" s="445"/>
      <c r="H17" s="445"/>
      <c r="J17" s="444"/>
      <c r="K17" s="445"/>
      <c r="L17" s="445"/>
      <c r="N17" s="444"/>
      <c r="O17" s="445"/>
      <c r="P17" s="445"/>
    </row>
    <row r="18" spans="2:16" x14ac:dyDescent="0.3">
      <c r="B18" s="444"/>
      <c r="C18" s="445"/>
      <c r="D18" s="445"/>
      <c r="F18" s="444"/>
      <c r="G18" s="445"/>
      <c r="H18" s="445"/>
      <c r="J18" s="444"/>
      <c r="K18" s="445"/>
      <c r="L18" s="445"/>
      <c r="N18" s="444"/>
      <c r="O18" s="445"/>
      <c r="P18" s="445"/>
    </row>
    <row r="19" spans="2:16" x14ac:dyDescent="0.3">
      <c r="B19" s="444"/>
      <c r="C19" s="445"/>
      <c r="D19" s="445"/>
      <c r="F19" s="444"/>
      <c r="G19" s="445"/>
      <c r="H19" s="445"/>
      <c r="J19" s="444"/>
      <c r="K19" s="445"/>
      <c r="L19" s="445"/>
      <c r="N19" s="444"/>
      <c r="O19" s="445"/>
      <c r="P19" s="445"/>
    </row>
    <row r="20" spans="2:16" x14ac:dyDescent="0.3">
      <c r="B20" s="444"/>
      <c r="C20" s="445"/>
      <c r="D20" s="445"/>
      <c r="F20" s="444"/>
      <c r="G20" s="445"/>
      <c r="H20" s="445"/>
      <c r="J20" s="444"/>
      <c r="K20" s="445"/>
      <c r="L20" s="445"/>
      <c r="N20" s="444"/>
      <c r="O20" s="445"/>
      <c r="P20" s="445"/>
    </row>
    <row r="21" spans="2:16" x14ac:dyDescent="0.3">
      <c r="B21" s="444"/>
      <c r="C21" s="445"/>
      <c r="D21" s="445"/>
      <c r="F21" s="444"/>
      <c r="G21" s="445"/>
      <c r="H21" s="445"/>
      <c r="J21" s="444"/>
      <c r="K21" s="445"/>
      <c r="L21" s="445"/>
      <c r="N21" s="444"/>
      <c r="O21" s="445"/>
      <c r="P21" s="445"/>
    </row>
    <row r="22" spans="2:16" x14ac:dyDescent="0.3">
      <c r="B22" s="444"/>
      <c r="C22" s="445"/>
      <c r="D22" s="445"/>
      <c r="F22" s="444"/>
      <c r="G22" s="445"/>
      <c r="H22" s="445"/>
      <c r="J22" s="444"/>
      <c r="K22" s="445"/>
      <c r="L22" s="445"/>
      <c r="N22" s="444"/>
      <c r="O22" s="445"/>
      <c r="P22" s="445"/>
    </row>
    <row r="23" spans="2:16" x14ac:dyDescent="0.3">
      <c r="B23" s="444"/>
      <c r="C23" s="445"/>
      <c r="D23" s="445"/>
      <c r="F23" s="444"/>
      <c r="G23" s="445"/>
      <c r="H23" s="445"/>
      <c r="J23" s="444"/>
      <c r="K23" s="445"/>
      <c r="L23" s="445"/>
      <c r="N23" s="444"/>
      <c r="O23" s="445"/>
      <c r="P23" s="445"/>
    </row>
    <row r="24" spans="2:16" x14ac:dyDescent="0.3">
      <c r="B24" s="444"/>
      <c r="C24" s="445"/>
      <c r="D24" s="445"/>
      <c r="F24" s="444"/>
      <c r="G24" s="445"/>
      <c r="H24" s="445"/>
      <c r="J24" s="444"/>
      <c r="K24" s="445"/>
      <c r="L24" s="445"/>
      <c r="N24" s="444"/>
      <c r="O24" s="445"/>
      <c r="P24" s="445"/>
    </row>
    <row r="25" spans="2:16" x14ac:dyDescent="0.3">
      <c r="C25" s="445"/>
      <c r="D25" s="445"/>
      <c r="F25" s="444"/>
      <c r="G25" s="445"/>
      <c r="H25" s="445"/>
      <c r="J25" s="444"/>
      <c r="K25" s="445"/>
      <c r="L25" s="445"/>
      <c r="N25" s="444"/>
      <c r="O25" s="445"/>
      <c r="P25" s="445"/>
    </row>
    <row r="26" spans="2:16" x14ac:dyDescent="0.3">
      <c r="B26" s="444"/>
      <c r="C26" s="445"/>
      <c r="D26" s="445"/>
      <c r="F26" s="444"/>
      <c r="G26" s="445"/>
      <c r="H26" s="445"/>
      <c r="J26" s="444"/>
      <c r="K26" s="445"/>
      <c r="L26" s="445"/>
      <c r="N26" s="444"/>
      <c r="O26" s="445"/>
      <c r="P26" s="445"/>
    </row>
    <row r="27" spans="2:16" x14ac:dyDescent="0.3">
      <c r="B27" s="444"/>
      <c r="C27" s="445"/>
      <c r="D27" s="445"/>
      <c r="F27" s="444"/>
      <c r="G27" s="445"/>
      <c r="H27" s="445"/>
      <c r="J27" s="444"/>
      <c r="K27" s="445"/>
      <c r="L27" s="445"/>
      <c r="N27" s="444"/>
      <c r="O27" s="445"/>
      <c r="P27" s="445"/>
    </row>
    <row r="28" spans="2:16" x14ac:dyDescent="0.3">
      <c r="B28" s="444"/>
      <c r="C28" s="445"/>
      <c r="D28" s="445"/>
      <c r="F28" s="444"/>
      <c r="G28" s="445"/>
      <c r="H28" s="445"/>
      <c r="J28" s="444"/>
      <c r="K28" s="445"/>
      <c r="L28" s="445"/>
      <c r="N28" s="444"/>
      <c r="O28" s="445"/>
      <c r="P28" s="445"/>
    </row>
    <row r="29" spans="2:16" x14ac:dyDescent="0.3">
      <c r="B29" s="444"/>
      <c r="C29" s="445"/>
      <c r="D29" s="445"/>
      <c r="F29" s="444"/>
      <c r="G29" s="445"/>
      <c r="H29" s="445"/>
      <c r="J29" s="444"/>
      <c r="K29" s="445"/>
      <c r="L29" s="445"/>
      <c r="N29" s="444"/>
      <c r="O29" s="445"/>
      <c r="P29" s="445"/>
    </row>
    <row r="30" spans="2:16" x14ac:dyDescent="0.3">
      <c r="B30" s="444"/>
      <c r="C30" s="445"/>
      <c r="D30" s="445"/>
      <c r="F30" s="444"/>
      <c r="G30" s="445"/>
      <c r="H30" s="445"/>
      <c r="J30" s="444"/>
      <c r="K30" s="445"/>
      <c r="L30" s="445"/>
      <c r="N30" s="444"/>
      <c r="O30" s="445"/>
      <c r="P30" s="445"/>
    </row>
    <row r="31" spans="2:16" x14ac:dyDescent="0.3">
      <c r="B31" s="444"/>
      <c r="C31" s="445"/>
      <c r="D31" s="445"/>
      <c r="F31" s="444"/>
      <c r="G31" s="445"/>
      <c r="H31" s="445"/>
      <c r="J31" s="444"/>
      <c r="K31" s="445"/>
      <c r="L31" s="445"/>
      <c r="N31" s="444"/>
      <c r="O31" s="445"/>
      <c r="P31" s="445"/>
    </row>
    <row r="32" spans="2:16" x14ac:dyDescent="0.3">
      <c r="B32" s="444"/>
      <c r="C32" s="445"/>
      <c r="D32" s="445"/>
      <c r="F32" s="444"/>
      <c r="G32" s="445"/>
      <c r="H32" s="445"/>
      <c r="J32" s="444"/>
      <c r="K32" s="445"/>
      <c r="L32" s="445"/>
      <c r="N32" s="444"/>
      <c r="O32" s="445"/>
      <c r="P32" s="445"/>
    </row>
    <row r="33" spans="2:16" x14ac:dyDescent="0.3">
      <c r="B33" s="444"/>
      <c r="C33" s="445"/>
      <c r="D33" s="445"/>
      <c r="F33" s="444"/>
      <c r="G33" s="445"/>
      <c r="H33" s="445"/>
      <c r="J33" s="444"/>
      <c r="K33" s="445"/>
      <c r="L33" s="445"/>
      <c r="N33" s="444"/>
      <c r="O33" s="445"/>
      <c r="P33" s="445"/>
    </row>
    <row r="34" spans="2:16" x14ac:dyDescent="0.3">
      <c r="B34" s="444"/>
      <c r="C34" s="445"/>
      <c r="D34" s="445"/>
      <c r="F34" s="444"/>
      <c r="G34" s="445"/>
      <c r="H34" s="445"/>
      <c r="J34" s="444"/>
      <c r="K34" s="445"/>
      <c r="L34" s="445"/>
      <c r="N34" s="444"/>
      <c r="O34" s="445"/>
      <c r="P34" s="445"/>
    </row>
    <row r="35" spans="2:16" x14ac:dyDescent="0.3">
      <c r="B35" s="444"/>
      <c r="C35" s="445"/>
      <c r="D35" s="445"/>
      <c r="F35" s="444"/>
      <c r="G35" s="445"/>
      <c r="H35" s="445"/>
      <c r="J35" s="444"/>
      <c r="K35" s="445"/>
      <c r="L35" s="445"/>
      <c r="N35" s="444"/>
      <c r="O35" s="445"/>
      <c r="P35" s="445"/>
    </row>
    <row r="36" spans="2:16" x14ac:dyDescent="0.3">
      <c r="B36" s="444"/>
      <c r="C36" s="445"/>
      <c r="D36" s="445"/>
      <c r="F36" s="444"/>
      <c r="G36" s="445"/>
      <c r="H36" s="445"/>
      <c r="J36" s="444"/>
      <c r="K36" s="445"/>
      <c r="L36" s="445"/>
      <c r="N36" s="444"/>
      <c r="O36" s="445"/>
      <c r="P36" s="445"/>
    </row>
    <row r="37" spans="2:16" x14ac:dyDescent="0.3">
      <c r="B37" s="444"/>
      <c r="C37" s="445"/>
      <c r="D37" s="445"/>
      <c r="F37" s="444"/>
      <c r="G37" s="445"/>
      <c r="H37" s="445"/>
      <c r="J37" s="444"/>
      <c r="K37" s="445"/>
      <c r="L37" s="445"/>
      <c r="N37" s="444"/>
      <c r="O37" s="445"/>
      <c r="P37" s="445"/>
    </row>
    <row r="38" spans="2:16" x14ac:dyDescent="0.3">
      <c r="B38" s="444"/>
      <c r="C38" s="445"/>
      <c r="D38" s="445"/>
      <c r="F38" s="444"/>
      <c r="G38" s="445"/>
      <c r="H38" s="445"/>
      <c r="J38" s="444"/>
      <c r="K38" s="445"/>
      <c r="L38" s="445"/>
      <c r="N38" s="444"/>
      <c r="O38" s="445"/>
      <c r="P38" s="445"/>
    </row>
    <row r="39" spans="2:16" x14ac:dyDescent="0.3">
      <c r="B39" s="444"/>
      <c r="C39" s="445"/>
      <c r="D39" s="445"/>
      <c r="F39" s="444"/>
      <c r="G39" s="445"/>
      <c r="H39" s="445"/>
      <c r="J39" s="444"/>
      <c r="K39" s="445"/>
      <c r="L39" s="445"/>
      <c r="N39" s="444"/>
      <c r="O39" s="445"/>
      <c r="P39" s="445"/>
    </row>
    <row r="40" spans="2:16" x14ac:dyDescent="0.3">
      <c r="B40" s="444"/>
      <c r="C40" s="445"/>
      <c r="D40" s="445"/>
      <c r="F40" s="444"/>
      <c r="G40" s="445"/>
      <c r="H40" s="445"/>
      <c r="J40" s="444"/>
      <c r="K40" s="445"/>
      <c r="L40" s="445"/>
      <c r="N40" s="444"/>
      <c r="O40" s="445"/>
      <c r="P40" s="445"/>
    </row>
    <row r="41" spans="2:16" x14ac:dyDescent="0.3">
      <c r="B41" s="444"/>
      <c r="C41" s="445"/>
      <c r="D41" s="445"/>
      <c r="F41" s="444"/>
      <c r="G41" s="445"/>
      <c r="H41" s="445"/>
      <c r="J41" s="444"/>
      <c r="K41" s="445"/>
      <c r="L41" s="445"/>
      <c r="N41" s="444"/>
      <c r="O41" s="445"/>
      <c r="P41" s="445"/>
    </row>
    <row r="42" spans="2:16" x14ac:dyDescent="0.3">
      <c r="C42" s="445"/>
      <c r="D42" s="445"/>
      <c r="F42" s="444"/>
      <c r="G42" s="445"/>
      <c r="H42" s="445"/>
      <c r="J42" s="444"/>
      <c r="K42" s="445"/>
      <c r="L42" s="445"/>
      <c r="N42" s="444"/>
      <c r="O42" s="445"/>
      <c r="P42" s="445"/>
    </row>
    <row r="43" spans="2:16" x14ac:dyDescent="0.3">
      <c r="B43" s="444"/>
      <c r="C43" s="445"/>
      <c r="D43" s="445"/>
      <c r="F43" s="444"/>
      <c r="G43" s="445"/>
      <c r="H43" s="445"/>
      <c r="J43" s="444"/>
      <c r="K43" s="445"/>
      <c r="L43" s="445"/>
      <c r="N43" s="444"/>
      <c r="O43" s="445"/>
      <c r="P43" s="445"/>
    </row>
    <row r="44" spans="2:16" x14ac:dyDescent="0.3">
      <c r="B44" s="444"/>
      <c r="C44" s="445"/>
      <c r="D44" s="445"/>
      <c r="F44" s="444"/>
      <c r="G44" s="445"/>
      <c r="H44" s="445"/>
      <c r="J44" s="444"/>
      <c r="K44" s="445"/>
      <c r="L44" s="445"/>
      <c r="N44" s="444"/>
      <c r="O44" s="445"/>
      <c r="P44" s="445"/>
    </row>
    <row r="45" spans="2:16" x14ac:dyDescent="0.3">
      <c r="B45" s="444"/>
      <c r="C45" s="445"/>
      <c r="D45" s="445"/>
      <c r="F45" s="444"/>
      <c r="G45" s="445"/>
      <c r="H45" s="445"/>
      <c r="J45" s="444"/>
      <c r="K45" s="445"/>
      <c r="L45" s="445"/>
      <c r="N45" s="444"/>
      <c r="O45" s="445"/>
      <c r="P45" s="445"/>
    </row>
    <row r="46" spans="2:16" x14ac:dyDescent="0.3">
      <c r="B46" s="444"/>
      <c r="C46" s="445"/>
      <c r="D46" s="445"/>
      <c r="F46" s="444"/>
      <c r="G46" s="445"/>
      <c r="H46" s="445"/>
      <c r="J46" s="444"/>
      <c r="K46" s="445"/>
      <c r="L46" s="445"/>
      <c r="N46" s="444"/>
      <c r="O46" s="445"/>
      <c r="P46" s="445"/>
    </row>
    <row r="47" spans="2:16" x14ac:dyDescent="0.3">
      <c r="B47" s="444"/>
      <c r="C47" s="445"/>
      <c r="D47" s="445"/>
      <c r="F47" s="444"/>
      <c r="G47" s="445"/>
      <c r="H47" s="445"/>
      <c r="J47" s="444"/>
      <c r="K47" s="445"/>
      <c r="L47" s="445"/>
      <c r="N47" s="444"/>
      <c r="O47" s="445"/>
      <c r="P47" s="445"/>
    </row>
    <row r="48" spans="2:16" x14ac:dyDescent="0.3">
      <c r="B48" s="444"/>
      <c r="C48" s="445"/>
      <c r="D48" s="445"/>
      <c r="F48" s="444"/>
      <c r="G48" s="445"/>
      <c r="H48" s="445"/>
      <c r="J48" s="444"/>
      <c r="K48" s="445"/>
      <c r="L48" s="445"/>
      <c r="N48" s="444"/>
      <c r="O48" s="445"/>
      <c r="P48" s="445"/>
    </row>
    <row r="49" spans="2:16" x14ac:dyDescent="0.3">
      <c r="B49" s="444"/>
      <c r="C49" s="445"/>
      <c r="D49" s="445"/>
      <c r="F49" s="444"/>
      <c r="G49" s="445"/>
      <c r="H49" s="445"/>
      <c r="J49" s="444"/>
      <c r="K49" s="445"/>
      <c r="L49" s="445"/>
      <c r="N49" s="444"/>
      <c r="O49" s="445"/>
      <c r="P49" s="445"/>
    </row>
    <row r="50" spans="2:16" x14ac:dyDescent="0.3">
      <c r="B50" s="444"/>
      <c r="C50" s="445"/>
      <c r="D50" s="445"/>
      <c r="F50" s="444"/>
      <c r="G50" s="445"/>
      <c r="H50" s="445"/>
      <c r="J50" s="444"/>
      <c r="K50" s="445"/>
      <c r="L50" s="445"/>
      <c r="N50" s="444"/>
      <c r="O50" s="445"/>
      <c r="P50" s="445"/>
    </row>
    <row r="51" spans="2:16" x14ac:dyDescent="0.3">
      <c r="B51" s="444"/>
      <c r="C51" s="445"/>
      <c r="D51" s="445"/>
      <c r="F51" s="444"/>
      <c r="G51" s="445"/>
      <c r="H51" s="445"/>
      <c r="J51" s="444"/>
      <c r="K51" s="445"/>
      <c r="L51" s="445"/>
      <c r="N51" s="444"/>
      <c r="O51" s="445"/>
      <c r="P51" s="445"/>
    </row>
    <row r="52" spans="2:16" x14ac:dyDescent="0.3">
      <c r="B52" s="444"/>
      <c r="C52" s="445"/>
      <c r="D52" s="445"/>
      <c r="F52" s="444"/>
      <c r="G52" s="445"/>
      <c r="H52" s="445"/>
      <c r="J52" s="444"/>
      <c r="K52" s="445"/>
      <c r="L52" s="445"/>
      <c r="N52" s="444"/>
      <c r="O52" s="445"/>
      <c r="P52" s="445"/>
    </row>
    <row r="53" spans="2:16" x14ac:dyDescent="0.3">
      <c r="B53" s="444"/>
      <c r="C53" s="445"/>
      <c r="D53" s="445"/>
      <c r="F53" s="444"/>
      <c r="G53" s="445"/>
      <c r="H53" s="445"/>
      <c r="J53" s="444"/>
      <c r="K53" s="445"/>
      <c r="L53" s="445"/>
      <c r="N53" s="444"/>
      <c r="O53" s="445"/>
      <c r="P53" s="445"/>
    </row>
    <row r="54" spans="2:16" x14ac:dyDescent="0.3">
      <c r="B54" s="444"/>
      <c r="C54" s="445"/>
      <c r="D54" s="445"/>
      <c r="F54" s="444"/>
      <c r="G54" s="445"/>
      <c r="H54" s="445"/>
      <c r="J54" s="444"/>
      <c r="K54" s="445"/>
      <c r="L54" s="445"/>
      <c r="N54" s="444"/>
      <c r="O54" s="445"/>
      <c r="P54" s="445"/>
    </row>
    <row r="55" spans="2:16" x14ac:dyDescent="0.3">
      <c r="B55" s="444"/>
      <c r="C55" s="445"/>
      <c r="D55" s="445"/>
      <c r="F55" s="444"/>
      <c r="G55" s="445"/>
      <c r="H55" s="445"/>
      <c r="J55" s="444"/>
      <c r="K55" s="445"/>
      <c r="L55" s="445"/>
      <c r="N55" s="444"/>
      <c r="O55" s="445"/>
      <c r="P55" s="445"/>
    </row>
    <row r="56" spans="2:16" x14ac:dyDescent="0.3">
      <c r="B56" s="444"/>
      <c r="C56" s="445"/>
      <c r="D56" s="445"/>
      <c r="F56" s="444"/>
      <c r="G56" s="445"/>
      <c r="H56" s="445"/>
      <c r="J56" s="444"/>
      <c r="K56" s="445"/>
      <c r="L56" s="445"/>
      <c r="N56" s="444"/>
      <c r="O56" s="445"/>
      <c r="P56" s="445"/>
    </row>
    <row r="57" spans="2:16" x14ac:dyDescent="0.3">
      <c r="B57" s="444"/>
      <c r="C57" s="445"/>
      <c r="D57" s="445"/>
      <c r="F57" s="444"/>
      <c r="G57" s="445"/>
      <c r="H57" s="445"/>
      <c r="J57" s="444"/>
      <c r="K57" s="445"/>
      <c r="L57" s="445"/>
      <c r="N57" s="444"/>
      <c r="O57" s="445"/>
      <c r="P57" s="445"/>
    </row>
    <row r="58" spans="2:16" x14ac:dyDescent="0.3">
      <c r="B58" s="685"/>
      <c r="C58" s="445"/>
      <c r="D58" s="445"/>
      <c r="F58" s="444"/>
      <c r="G58" s="445"/>
      <c r="H58" s="445"/>
      <c r="J58" s="444"/>
      <c r="K58" s="445"/>
      <c r="L58" s="445"/>
      <c r="N58" s="444"/>
      <c r="O58" s="445"/>
      <c r="P58" s="445"/>
    </row>
    <row r="59" spans="2:16" x14ac:dyDescent="0.3">
      <c r="C59" s="445"/>
      <c r="D59" s="445"/>
      <c r="F59" s="444"/>
      <c r="G59" s="445"/>
      <c r="H59" s="445"/>
      <c r="J59" s="444"/>
      <c r="K59" s="445"/>
      <c r="L59" s="445"/>
      <c r="N59" s="444"/>
      <c r="O59" s="445"/>
      <c r="P59" s="445"/>
    </row>
    <row r="60" spans="2:16" x14ac:dyDescent="0.3">
      <c r="C60" s="445"/>
      <c r="D60" s="445"/>
      <c r="F60" s="444"/>
      <c r="G60" s="445"/>
      <c r="H60" s="445"/>
      <c r="J60" s="444"/>
      <c r="K60" s="445"/>
      <c r="L60" s="445"/>
      <c r="N60" s="444"/>
      <c r="O60" s="445"/>
      <c r="P60" s="445"/>
    </row>
    <row r="61" spans="2:16" x14ac:dyDescent="0.3">
      <c r="B61" s="444"/>
      <c r="C61" s="445"/>
      <c r="D61" s="445"/>
      <c r="E61" s="445"/>
      <c r="F61" s="445"/>
      <c r="G61" s="445"/>
      <c r="H61" s="445"/>
      <c r="J61" s="444"/>
      <c r="K61" s="445"/>
      <c r="L61" s="445"/>
      <c r="N61" s="444"/>
      <c r="O61" s="445"/>
      <c r="P61" s="445"/>
    </row>
    <row r="62" spans="2:16" x14ac:dyDescent="0.3">
      <c r="B62" s="444"/>
      <c r="C62" s="445"/>
      <c r="D62" s="445"/>
      <c r="E62" s="445"/>
      <c r="F62" s="445"/>
      <c r="G62" s="445"/>
      <c r="H62" s="445"/>
      <c r="J62" s="444"/>
      <c r="K62" s="445"/>
      <c r="L62" s="445"/>
      <c r="N62" s="444"/>
      <c r="O62" s="445"/>
      <c r="P62" s="445"/>
    </row>
    <row r="63" spans="2:16" x14ac:dyDescent="0.3">
      <c r="C63" s="445"/>
      <c r="D63" s="445"/>
      <c r="E63" s="445"/>
      <c r="F63" s="445"/>
      <c r="G63" s="445"/>
      <c r="H63" s="445"/>
      <c r="J63" s="444"/>
      <c r="K63" s="445"/>
      <c r="L63" s="445"/>
      <c r="N63" s="444"/>
      <c r="O63" s="445"/>
      <c r="P63" s="445"/>
    </row>
    <row r="64" spans="2:16" x14ac:dyDescent="0.3">
      <c r="B64" s="444"/>
      <c r="C64" s="445"/>
      <c r="D64" s="445"/>
      <c r="E64" s="445"/>
      <c r="F64" s="445"/>
      <c r="G64" s="445"/>
      <c r="H64" s="445"/>
      <c r="J64" s="444"/>
      <c r="K64" s="445"/>
      <c r="L64" s="445"/>
      <c r="N64" s="444"/>
      <c r="O64" s="445"/>
      <c r="P64" s="445"/>
    </row>
    <row r="65" spans="2:16" x14ac:dyDescent="0.3">
      <c r="B65" s="444"/>
      <c r="C65" s="445"/>
      <c r="D65" s="445"/>
      <c r="E65" s="445"/>
      <c r="F65" s="445"/>
      <c r="G65" s="445"/>
      <c r="H65" s="445"/>
      <c r="J65" s="444"/>
      <c r="K65" s="445"/>
      <c r="L65" s="445"/>
      <c r="N65" s="444"/>
      <c r="O65" s="445"/>
      <c r="P65" s="445"/>
    </row>
    <row r="66" spans="2:16" x14ac:dyDescent="0.3">
      <c r="B66" s="444"/>
      <c r="C66" s="445"/>
      <c r="D66" s="445"/>
      <c r="E66" s="445"/>
      <c r="F66" s="445"/>
      <c r="G66" s="445"/>
      <c r="H66" s="445"/>
      <c r="J66" s="444"/>
      <c r="K66" s="445"/>
      <c r="L66" s="445"/>
      <c r="N66" s="444"/>
      <c r="O66" s="445"/>
      <c r="P66" s="445"/>
    </row>
    <row r="67" spans="2:16" x14ac:dyDescent="0.3">
      <c r="B67" s="444"/>
      <c r="C67" s="445"/>
      <c r="D67" s="445"/>
      <c r="E67" s="445"/>
      <c r="F67" s="445"/>
      <c r="G67" s="445"/>
      <c r="H67" s="445"/>
      <c r="J67" s="444"/>
      <c r="K67" s="445"/>
      <c r="L67" s="445"/>
      <c r="N67" s="444"/>
      <c r="O67" s="445"/>
      <c r="P67" s="445"/>
    </row>
    <row r="68" spans="2:16" x14ac:dyDescent="0.3">
      <c r="B68" s="444"/>
      <c r="C68" s="445"/>
      <c r="D68" s="445"/>
      <c r="E68" s="445"/>
      <c r="F68" s="445"/>
      <c r="G68" s="445"/>
      <c r="H68" s="445"/>
      <c r="J68" s="444"/>
      <c r="K68" s="445"/>
      <c r="L68" s="445"/>
      <c r="N68" s="444"/>
      <c r="O68" s="445"/>
      <c r="P68" s="445"/>
    </row>
    <row r="69" spans="2:16" x14ac:dyDescent="0.3">
      <c r="B69" s="444"/>
      <c r="C69" s="445"/>
      <c r="D69" s="445"/>
      <c r="E69" s="445"/>
      <c r="F69" s="445"/>
      <c r="G69" s="445"/>
      <c r="H69" s="445"/>
      <c r="J69" s="444"/>
      <c r="K69" s="445"/>
      <c r="L69" s="445"/>
      <c r="N69" s="444"/>
      <c r="O69" s="445"/>
      <c r="P69" s="445"/>
    </row>
    <row r="70" spans="2:16" x14ac:dyDescent="0.3">
      <c r="B70" s="444"/>
      <c r="C70" s="445"/>
      <c r="D70" s="445"/>
      <c r="E70" s="445"/>
      <c r="F70" s="445"/>
      <c r="G70" s="445"/>
      <c r="H70" s="445"/>
      <c r="J70" s="444"/>
      <c r="K70" s="445"/>
      <c r="L70" s="445"/>
      <c r="N70" s="444"/>
      <c r="O70" s="445"/>
      <c r="P70" s="445"/>
    </row>
    <row r="71" spans="2:16" x14ac:dyDescent="0.3">
      <c r="B71" s="444"/>
      <c r="C71" s="445"/>
      <c r="D71" s="445"/>
      <c r="E71" s="445"/>
      <c r="F71" s="445"/>
      <c r="G71" s="445"/>
      <c r="H71" s="445"/>
      <c r="J71" s="444"/>
      <c r="K71" s="445"/>
      <c r="L71" s="445"/>
      <c r="N71" s="444"/>
      <c r="O71" s="445"/>
      <c r="P71" s="445"/>
    </row>
    <row r="72" spans="2:16" x14ac:dyDescent="0.3">
      <c r="B72" s="444"/>
      <c r="C72" s="445"/>
      <c r="D72" s="445"/>
      <c r="E72" s="445"/>
      <c r="F72" s="445"/>
      <c r="G72" s="445"/>
      <c r="H72" s="445"/>
      <c r="J72" s="444"/>
      <c r="K72" s="445"/>
      <c r="L72" s="445"/>
      <c r="N72" s="444"/>
      <c r="O72" s="445"/>
      <c r="P72" s="445"/>
    </row>
    <row r="73" spans="2:16" x14ac:dyDescent="0.3">
      <c r="C73" s="445"/>
      <c r="D73" s="445"/>
      <c r="E73" s="445"/>
      <c r="F73" s="445"/>
      <c r="G73" s="445"/>
      <c r="H73" s="445"/>
      <c r="J73" s="444"/>
      <c r="K73" s="445"/>
      <c r="L73" s="445"/>
      <c r="N73" s="444"/>
      <c r="O73" s="445"/>
      <c r="P73" s="445"/>
    </row>
    <row r="74" spans="2:16" x14ac:dyDescent="0.3">
      <c r="C74" s="445"/>
      <c r="D74" s="445"/>
      <c r="E74" s="445"/>
      <c r="F74" s="445"/>
      <c r="G74" s="445"/>
      <c r="H74" s="445"/>
      <c r="J74" s="444"/>
      <c r="K74" s="445"/>
      <c r="L74" s="445"/>
      <c r="N74" s="444"/>
      <c r="O74" s="445"/>
      <c r="P74" s="445"/>
    </row>
    <row r="75" spans="2:16" x14ac:dyDescent="0.3">
      <c r="B75" s="444"/>
      <c r="C75" s="445"/>
      <c r="D75" s="445"/>
      <c r="E75" s="445"/>
      <c r="F75" s="445"/>
      <c r="G75" s="445"/>
      <c r="H75" s="445"/>
      <c r="J75" s="444"/>
      <c r="K75" s="445"/>
      <c r="L75" s="445"/>
      <c r="N75" s="444"/>
      <c r="O75" s="445"/>
      <c r="P75" s="445"/>
    </row>
    <row r="76" spans="2:16" x14ac:dyDescent="0.3">
      <c r="B76" s="444"/>
      <c r="C76" s="445"/>
      <c r="D76" s="445"/>
      <c r="E76" s="445"/>
      <c r="F76" s="445"/>
      <c r="G76" s="445"/>
      <c r="H76" s="445"/>
      <c r="J76" s="444"/>
      <c r="K76" s="445"/>
      <c r="L76" s="445"/>
      <c r="N76" s="444"/>
      <c r="O76" s="445"/>
      <c r="P76" s="445"/>
    </row>
    <row r="77" spans="2:16" x14ac:dyDescent="0.3">
      <c r="B77" s="444"/>
      <c r="C77" s="445"/>
      <c r="D77" s="445"/>
      <c r="E77" s="445"/>
      <c r="F77" s="445"/>
      <c r="G77" s="445"/>
      <c r="H77" s="445"/>
      <c r="J77" s="444"/>
      <c r="K77" s="445"/>
      <c r="L77" s="445"/>
      <c r="N77" s="444"/>
      <c r="O77" s="445"/>
      <c r="P77" s="445"/>
    </row>
    <row r="78" spans="2:16" x14ac:dyDescent="0.3">
      <c r="B78" s="444"/>
      <c r="C78" s="445"/>
      <c r="D78" s="445"/>
      <c r="E78" s="445"/>
      <c r="F78" s="445"/>
      <c r="G78" s="445"/>
      <c r="H78" s="445"/>
      <c r="J78" s="444"/>
      <c r="K78" s="445"/>
      <c r="L78" s="445"/>
      <c r="N78" s="444"/>
      <c r="O78" s="445"/>
      <c r="P78" s="445"/>
    </row>
    <row r="79" spans="2:16" x14ac:dyDescent="0.3">
      <c r="B79" s="444"/>
      <c r="C79" s="445"/>
      <c r="D79" s="445"/>
      <c r="E79" s="445"/>
      <c r="F79" s="445"/>
      <c r="G79" s="445"/>
      <c r="H79" s="445"/>
      <c r="J79" s="444"/>
      <c r="K79" s="445"/>
      <c r="L79" s="445"/>
      <c r="N79" s="444"/>
      <c r="O79" s="445"/>
      <c r="P79" s="445"/>
    </row>
    <row r="80" spans="2:16" x14ac:dyDescent="0.3">
      <c r="B80" s="444"/>
      <c r="C80" s="445"/>
      <c r="D80" s="445"/>
      <c r="E80" s="445"/>
      <c r="F80" s="445"/>
      <c r="G80" s="445"/>
      <c r="H80" s="445"/>
      <c r="J80" s="444"/>
      <c r="K80" s="445"/>
      <c r="L80" s="445"/>
      <c r="N80" s="444"/>
      <c r="O80" s="445"/>
      <c r="P80" s="445"/>
    </row>
    <row r="81" spans="2:16" x14ac:dyDescent="0.3">
      <c r="B81" s="444"/>
      <c r="C81" s="445"/>
      <c r="D81" s="445"/>
      <c r="E81" s="445"/>
      <c r="F81" s="445"/>
      <c r="G81" s="445"/>
      <c r="H81" s="445"/>
      <c r="J81" s="444"/>
      <c r="K81" s="445"/>
      <c r="L81" s="445"/>
      <c r="N81" s="444"/>
      <c r="O81" s="445"/>
      <c r="P81" s="445"/>
    </row>
    <row r="82" spans="2:16" x14ac:dyDescent="0.3">
      <c r="B82" s="444"/>
      <c r="C82" s="445"/>
      <c r="D82" s="445"/>
      <c r="E82" s="445"/>
      <c r="F82" s="445"/>
      <c r="G82" s="445"/>
      <c r="H82" s="445"/>
      <c r="J82" s="444"/>
      <c r="K82" s="445"/>
      <c r="L82" s="445"/>
      <c r="N82" s="444"/>
      <c r="O82" s="445"/>
      <c r="P82" s="445"/>
    </row>
    <row r="83" spans="2:16" x14ac:dyDescent="0.3">
      <c r="B83" s="444"/>
      <c r="C83" s="445"/>
      <c r="D83" s="445"/>
      <c r="E83" s="445"/>
      <c r="F83" s="445"/>
      <c r="G83" s="445"/>
      <c r="H83" s="445"/>
      <c r="J83" s="444"/>
      <c r="K83" s="445"/>
      <c r="L83" s="445"/>
      <c r="N83" s="444"/>
      <c r="O83" s="445"/>
      <c r="P83" s="445"/>
    </row>
    <row r="84" spans="2:16" x14ac:dyDescent="0.3">
      <c r="C84" s="445"/>
      <c r="D84" s="445"/>
      <c r="E84" s="445"/>
      <c r="F84" s="445"/>
      <c r="G84" s="445"/>
      <c r="H84" s="445"/>
      <c r="J84" s="444"/>
      <c r="K84" s="445"/>
      <c r="L84" s="445"/>
      <c r="N84" s="444"/>
      <c r="O84" s="445"/>
      <c r="P84" s="445"/>
    </row>
    <row r="85" spans="2:16" x14ac:dyDescent="0.3">
      <c r="B85" s="444"/>
      <c r="C85" s="445"/>
      <c r="D85" s="445"/>
      <c r="E85" s="445"/>
      <c r="F85" s="445"/>
      <c r="G85" s="445"/>
      <c r="H85" s="445"/>
      <c r="J85" s="444"/>
      <c r="K85" s="445"/>
      <c r="L85" s="445"/>
      <c r="N85" s="444"/>
      <c r="O85" s="445"/>
      <c r="P85" s="445"/>
    </row>
    <row r="86" spans="2:16" x14ac:dyDescent="0.3">
      <c r="B86" s="444"/>
      <c r="C86" s="445"/>
      <c r="D86" s="445"/>
      <c r="E86" s="445"/>
      <c r="F86" s="445"/>
      <c r="G86" s="445"/>
      <c r="H86" s="445"/>
      <c r="J86" s="444"/>
      <c r="K86" s="445"/>
      <c r="L86" s="445"/>
      <c r="N86" s="444"/>
      <c r="O86" s="445"/>
      <c r="P86" s="445"/>
    </row>
    <row r="87" spans="2:16" x14ac:dyDescent="0.3">
      <c r="B87" s="444"/>
      <c r="C87" s="445"/>
      <c r="D87" s="445"/>
      <c r="E87" s="445"/>
      <c r="F87" s="445"/>
      <c r="G87" s="445"/>
      <c r="H87" s="445"/>
      <c r="J87" s="444"/>
      <c r="K87" s="445"/>
      <c r="L87" s="445"/>
      <c r="N87" s="444"/>
      <c r="O87" s="445"/>
      <c r="P87" s="445"/>
    </row>
    <row r="88" spans="2:16" x14ac:dyDescent="0.3">
      <c r="C88" s="445"/>
      <c r="D88" s="445"/>
      <c r="E88" s="445"/>
      <c r="F88" s="445"/>
      <c r="G88" s="445"/>
      <c r="H88" s="445"/>
      <c r="J88" s="444"/>
      <c r="K88" s="445"/>
      <c r="L88" s="445"/>
      <c r="N88" s="444"/>
      <c r="O88" s="445"/>
      <c r="P88" s="445"/>
    </row>
    <row r="89" spans="2:16" x14ac:dyDescent="0.3">
      <c r="C89" s="445"/>
      <c r="D89" s="445"/>
      <c r="E89" s="445"/>
      <c r="F89" s="445"/>
      <c r="G89" s="445"/>
      <c r="H89" s="445"/>
      <c r="J89" s="444"/>
      <c r="K89" s="445"/>
      <c r="L89" s="445"/>
      <c r="N89" s="444"/>
      <c r="O89" s="445"/>
      <c r="P89" s="445"/>
    </row>
    <row r="90" spans="2:16" x14ac:dyDescent="0.3">
      <c r="B90" s="444"/>
      <c r="C90" s="445"/>
      <c r="D90" s="445"/>
      <c r="E90" s="445"/>
      <c r="F90" s="445"/>
      <c r="G90" s="445"/>
      <c r="H90" s="445"/>
      <c r="J90" s="444"/>
      <c r="K90" s="445"/>
      <c r="L90" s="445"/>
      <c r="N90" s="444"/>
      <c r="O90" s="445"/>
      <c r="P90" s="445"/>
    </row>
    <row r="91" spans="2:16" x14ac:dyDescent="0.3">
      <c r="B91" s="444"/>
      <c r="C91" s="445"/>
      <c r="D91" s="445"/>
      <c r="E91" s="445"/>
      <c r="F91" s="445"/>
      <c r="G91" s="445"/>
      <c r="H91" s="445"/>
      <c r="J91" s="444"/>
      <c r="K91" s="445"/>
      <c r="L91" s="445"/>
      <c r="N91" s="444"/>
      <c r="O91" s="445"/>
      <c r="P91" s="445"/>
    </row>
    <row r="92" spans="2:16" x14ac:dyDescent="0.3">
      <c r="C92" s="445"/>
      <c r="D92" s="445"/>
      <c r="E92" s="445"/>
      <c r="F92" s="445"/>
      <c r="G92" s="445"/>
      <c r="H92" s="445"/>
      <c r="J92" s="444"/>
      <c r="K92" s="445"/>
      <c r="L92" s="445"/>
      <c r="N92" s="444"/>
      <c r="O92" s="445"/>
      <c r="P92" s="445"/>
    </row>
    <row r="93" spans="2:16" x14ac:dyDescent="0.3">
      <c r="B93" s="444"/>
      <c r="C93" s="445"/>
      <c r="D93" s="445"/>
      <c r="E93" s="445"/>
      <c r="F93" s="445"/>
      <c r="G93" s="445"/>
      <c r="H93" s="445"/>
      <c r="J93" s="444"/>
      <c r="K93" s="445"/>
      <c r="L93" s="445"/>
      <c r="N93" s="444"/>
      <c r="O93" s="445"/>
      <c r="P93" s="445"/>
    </row>
    <row r="94" spans="2:16" x14ac:dyDescent="0.3">
      <c r="B94" s="444"/>
      <c r="C94" s="445"/>
      <c r="D94" s="445"/>
      <c r="E94" s="445"/>
      <c r="F94" s="445"/>
      <c r="G94" s="445"/>
      <c r="H94" s="445"/>
      <c r="J94" s="444"/>
      <c r="K94" s="445"/>
      <c r="L94" s="445"/>
      <c r="N94" s="444"/>
      <c r="O94" s="445"/>
      <c r="P94" s="445"/>
    </row>
    <row r="95" spans="2:16" x14ac:dyDescent="0.3">
      <c r="B95" s="444"/>
      <c r="C95" s="445"/>
      <c r="D95" s="445"/>
      <c r="E95" s="445"/>
      <c r="F95" s="445"/>
      <c r="G95" s="445"/>
      <c r="H95" s="445"/>
      <c r="J95" s="444"/>
      <c r="K95" s="445"/>
      <c r="L95" s="445"/>
      <c r="N95" s="444"/>
      <c r="O95" s="445"/>
      <c r="P95" s="445"/>
    </row>
    <row r="96" spans="2:16" x14ac:dyDescent="0.3">
      <c r="B96" s="444"/>
      <c r="C96" s="445"/>
      <c r="D96" s="445"/>
      <c r="E96" s="445"/>
      <c r="F96" s="445"/>
      <c r="G96" s="445"/>
      <c r="H96" s="445"/>
      <c r="J96" s="444"/>
      <c r="K96" s="445"/>
      <c r="L96" s="445"/>
      <c r="N96" s="444"/>
      <c r="O96" s="445"/>
      <c r="P96" s="445"/>
    </row>
    <row r="97" spans="2:16" x14ac:dyDescent="0.3">
      <c r="B97" s="444"/>
      <c r="C97" s="445"/>
      <c r="D97" s="445"/>
      <c r="E97" s="445"/>
      <c r="F97" s="445"/>
      <c r="G97" s="445"/>
      <c r="H97" s="445"/>
      <c r="J97" s="444"/>
      <c r="K97" s="445"/>
      <c r="L97" s="445"/>
      <c r="N97" s="444"/>
      <c r="O97" s="445"/>
      <c r="P97" s="445"/>
    </row>
    <row r="98" spans="2:16" x14ac:dyDescent="0.3">
      <c r="B98" s="444"/>
      <c r="C98" s="445"/>
      <c r="D98" s="445"/>
      <c r="E98" s="445"/>
      <c r="F98" s="445"/>
      <c r="G98" s="445"/>
      <c r="H98" s="445"/>
      <c r="J98" s="444"/>
      <c r="K98" s="445"/>
      <c r="L98" s="445"/>
      <c r="N98" s="444"/>
      <c r="O98" s="445"/>
      <c r="P98" s="445"/>
    </row>
    <row r="99" spans="2:16" x14ac:dyDescent="0.3">
      <c r="B99" s="444"/>
      <c r="C99" s="445"/>
      <c r="D99" s="445"/>
      <c r="E99" s="445"/>
      <c r="F99" s="445"/>
      <c r="G99" s="445"/>
      <c r="H99" s="445"/>
      <c r="J99" s="444"/>
      <c r="K99" s="445"/>
      <c r="L99" s="445"/>
      <c r="N99" s="444"/>
      <c r="O99" s="445"/>
      <c r="P99" s="445"/>
    </row>
    <row r="100" spans="2:16" x14ac:dyDescent="0.3">
      <c r="B100" s="444"/>
      <c r="C100" s="445"/>
      <c r="D100" s="445"/>
      <c r="E100" s="445"/>
      <c r="F100" s="445"/>
      <c r="G100" s="445"/>
      <c r="H100" s="445"/>
      <c r="J100" s="444"/>
      <c r="K100" s="445"/>
      <c r="L100" s="445"/>
      <c r="N100" s="444"/>
      <c r="O100" s="445"/>
      <c r="P100" s="445"/>
    </row>
    <row r="101" spans="2:16" x14ac:dyDescent="0.3">
      <c r="B101" s="444"/>
      <c r="C101" s="445"/>
      <c r="D101" s="445"/>
      <c r="E101" s="445"/>
      <c r="F101" s="445"/>
      <c r="G101" s="445"/>
      <c r="H101" s="445"/>
      <c r="J101" s="444"/>
      <c r="K101" s="445"/>
      <c r="L101" s="445"/>
      <c r="N101" s="444"/>
      <c r="O101" s="445"/>
      <c r="P101" s="445"/>
    </row>
    <row r="102" spans="2:16" x14ac:dyDescent="0.3">
      <c r="B102" s="444"/>
      <c r="C102" s="445"/>
      <c r="D102" s="445"/>
      <c r="E102" s="445"/>
      <c r="F102" s="445"/>
      <c r="G102" s="445"/>
      <c r="H102" s="445"/>
      <c r="J102" s="444"/>
      <c r="K102" s="445"/>
      <c r="L102" s="445"/>
      <c r="N102" s="444"/>
      <c r="O102" s="445"/>
      <c r="P102" s="445"/>
    </row>
    <row r="103" spans="2:16" x14ac:dyDescent="0.3">
      <c r="B103" s="444"/>
      <c r="C103" s="445"/>
      <c r="D103" s="445"/>
      <c r="E103" s="445"/>
      <c r="F103" s="445"/>
      <c r="G103" s="445"/>
      <c r="H103" s="445"/>
      <c r="J103" s="444"/>
      <c r="K103" s="445"/>
      <c r="L103" s="445"/>
      <c r="N103" s="444"/>
      <c r="O103" s="445"/>
      <c r="P103" s="445"/>
    </row>
    <row r="104" spans="2:16" x14ac:dyDescent="0.3">
      <c r="B104" s="444"/>
      <c r="C104" s="445"/>
      <c r="D104" s="445"/>
      <c r="E104" s="445"/>
      <c r="F104" s="445"/>
      <c r="G104" s="445"/>
      <c r="H104" s="445"/>
      <c r="J104" s="444"/>
      <c r="K104" s="445"/>
      <c r="L104" s="445"/>
      <c r="N104" s="444"/>
      <c r="O104" s="445"/>
      <c r="P104" s="445"/>
    </row>
    <row r="105" spans="2:16" x14ac:dyDescent="0.3">
      <c r="B105" s="444"/>
      <c r="C105" s="445"/>
      <c r="D105" s="445"/>
      <c r="E105" s="445"/>
      <c r="F105" s="445"/>
      <c r="G105" s="445"/>
      <c r="H105" s="445"/>
      <c r="J105" s="444"/>
      <c r="K105" s="445"/>
      <c r="L105" s="445"/>
      <c r="N105" s="444"/>
      <c r="O105" s="445"/>
      <c r="P105" s="445"/>
    </row>
    <row r="106" spans="2:16" x14ac:dyDescent="0.3">
      <c r="B106" s="444"/>
      <c r="C106" s="445"/>
      <c r="D106" s="445"/>
      <c r="E106" s="445"/>
      <c r="F106" s="445"/>
      <c r="G106" s="445"/>
      <c r="H106" s="445"/>
      <c r="J106" s="444"/>
      <c r="K106" s="445"/>
      <c r="L106" s="445"/>
      <c r="N106" s="444"/>
      <c r="O106" s="445"/>
      <c r="P106" s="445"/>
    </row>
    <row r="107" spans="2:16" x14ac:dyDescent="0.3">
      <c r="B107" s="444"/>
      <c r="C107" s="445"/>
      <c r="D107" s="445"/>
      <c r="E107" s="445"/>
      <c r="F107" s="445"/>
      <c r="G107" s="445"/>
      <c r="H107" s="445"/>
      <c r="J107" s="444"/>
      <c r="K107" s="445"/>
      <c r="L107" s="445"/>
      <c r="N107" s="444"/>
      <c r="O107" s="445"/>
      <c r="P107" s="445"/>
    </row>
    <row r="108" spans="2:16" x14ac:dyDescent="0.3">
      <c r="B108" s="444"/>
      <c r="C108" s="445"/>
      <c r="D108" s="445"/>
      <c r="E108" s="445"/>
      <c r="F108" s="445"/>
      <c r="G108" s="445"/>
      <c r="H108" s="445"/>
      <c r="J108" s="444"/>
      <c r="K108" s="445"/>
      <c r="L108" s="445"/>
      <c r="N108" s="444"/>
      <c r="O108" s="445"/>
      <c r="P108" s="445"/>
    </row>
    <row r="109" spans="2:16" x14ac:dyDescent="0.3">
      <c r="B109" s="444"/>
      <c r="C109" s="445"/>
      <c r="D109" s="445"/>
      <c r="E109" s="445"/>
      <c r="F109" s="445"/>
      <c r="G109" s="445"/>
      <c r="H109" s="445"/>
      <c r="J109" s="444"/>
      <c r="K109" s="445"/>
      <c r="L109" s="445"/>
      <c r="N109" s="444"/>
      <c r="O109" s="445"/>
      <c r="P109" s="445"/>
    </row>
    <row r="110" spans="2:16" x14ac:dyDescent="0.3">
      <c r="B110" s="444"/>
      <c r="C110" s="445"/>
      <c r="D110" s="445"/>
      <c r="E110" s="445"/>
      <c r="F110" s="445"/>
      <c r="G110" s="445"/>
      <c r="H110" s="445"/>
      <c r="J110" s="444"/>
      <c r="K110" s="445"/>
      <c r="L110" s="445"/>
      <c r="N110" s="444"/>
      <c r="O110" s="445"/>
      <c r="P110" s="445"/>
    </row>
    <row r="111" spans="2:16" x14ac:dyDescent="0.3">
      <c r="B111" s="444"/>
      <c r="C111" s="445"/>
      <c r="D111" s="445"/>
      <c r="E111" s="445"/>
      <c r="F111" s="445"/>
      <c r="G111" s="445"/>
      <c r="H111" s="445"/>
      <c r="J111" s="444"/>
      <c r="K111" s="445"/>
      <c r="L111" s="445"/>
      <c r="N111" s="444"/>
      <c r="O111" s="445"/>
      <c r="P111" s="445"/>
    </row>
    <row r="112" spans="2:16" x14ac:dyDescent="0.3">
      <c r="B112" s="155"/>
      <c r="C112" s="350"/>
      <c r="D112" s="445"/>
      <c r="E112" s="445"/>
      <c r="F112" s="445"/>
      <c r="G112" s="350"/>
      <c r="H112" s="350"/>
      <c r="J112" s="155"/>
      <c r="K112" s="350"/>
      <c r="L112" s="350"/>
    </row>
    <row r="113" spans="2:12" x14ac:dyDescent="0.3">
      <c r="B113" s="155"/>
      <c r="C113" s="350"/>
      <c r="D113" s="445"/>
      <c r="E113" s="445"/>
      <c r="F113" s="445"/>
      <c r="G113" s="350"/>
      <c r="H113" s="350"/>
      <c r="J113" s="155"/>
      <c r="K113" s="350"/>
      <c r="L113" s="350"/>
    </row>
    <row r="114" spans="2:12" x14ac:dyDescent="0.3">
      <c r="B114" s="155"/>
      <c r="C114" s="350"/>
      <c r="D114" s="445"/>
      <c r="E114" s="445"/>
      <c r="F114" s="445"/>
      <c r="G114" s="350"/>
      <c r="H114" s="350"/>
      <c r="J114" s="155"/>
      <c r="K114" s="350"/>
      <c r="L114" s="350"/>
    </row>
    <row r="115" spans="2:12" x14ac:dyDescent="0.3">
      <c r="B115" s="155"/>
      <c r="C115" s="350"/>
      <c r="D115" s="445"/>
      <c r="E115" s="445"/>
      <c r="F115" s="445"/>
      <c r="G115" s="350"/>
      <c r="H115" s="350"/>
      <c r="J115" s="155"/>
      <c r="K115" s="350"/>
      <c r="L115" s="350"/>
    </row>
    <row r="116" spans="2:12" x14ac:dyDescent="0.3">
      <c r="B116" s="155"/>
      <c r="C116" s="350"/>
      <c r="D116" s="445"/>
      <c r="E116" s="445"/>
      <c r="F116" s="445"/>
      <c r="G116" s="350"/>
      <c r="H116" s="350"/>
      <c r="J116" s="155"/>
      <c r="K116" s="350"/>
      <c r="L116" s="350"/>
    </row>
    <row r="117" spans="2:12" x14ac:dyDescent="0.3">
      <c r="B117" s="155"/>
      <c r="C117" s="350"/>
      <c r="D117" s="445"/>
      <c r="E117" s="445"/>
      <c r="F117" s="445"/>
      <c r="G117" s="350"/>
      <c r="H117" s="350"/>
      <c r="J117" s="155"/>
      <c r="K117" s="350"/>
      <c r="L117" s="350"/>
    </row>
    <row r="118" spans="2:12" x14ac:dyDescent="0.3">
      <c r="B118" s="155"/>
      <c r="C118" s="350"/>
      <c r="D118" s="445"/>
      <c r="E118" s="445"/>
      <c r="F118" s="445"/>
      <c r="G118" s="350"/>
      <c r="H118" s="350"/>
      <c r="J118" s="155"/>
      <c r="K118" s="350"/>
      <c r="L118" s="350"/>
    </row>
    <row r="119" spans="2:12" x14ac:dyDescent="0.3">
      <c r="B119" s="155"/>
      <c r="C119" s="350"/>
      <c r="D119" s="445"/>
      <c r="E119" s="445"/>
      <c r="F119" s="445"/>
      <c r="G119" s="350"/>
      <c r="H119" s="350"/>
      <c r="J119" s="155"/>
      <c r="K119" s="350"/>
      <c r="L119" s="350"/>
    </row>
    <row r="120" spans="2:12" x14ac:dyDescent="0.3">
      <c r="B120" s="155"/>
      <c r="C120" s="350"/>
      <c r="D120" s="445"/>
      <c r="E120" s="445"/>
      <c r="F120" s="445"/>
      <c r="G120" s="350"/>
      <c r="H120" s="350"/>
      <c r="J120" s="155"/>
      <c r="K120" s="350"/>
      <c r="L120" s="350"/>
    </row>
    <row r="121" spans="2:12" x14ac:dyDescent="0.3">
      <c r="B121" s="155"/>
      <c r="C121" s="350"/>
      <c r="D121" s="445"/>
      <c r="E121" s="445"/>
      <c r="F121" s="445"/>
      <c r="G121" s="350"/>
      <c r="H121" s="350"/>
      <c r="J121" s="155"/>
      <c r="K121" s="350"/>
      <c r="L121" s="350"/>
    </row>
    <row r="122" spans="2:12" x14ac:dyDescent="0.3">
      <c r="B122" s="155"/>
      <c r="C122" s="350"/>
      <c r="D122" s="445"/>
      <c r="E122" s="445"/>
      <c r="F122" s="445"/>
      <c r="G122" s="350"/>
      <c r="H122" s="350"/>
      <c r="J122" s="155"/>
      <c r="K122" s="350"/>
      <c r="L122" s="350"/>
    </row>
    <row r="123" spans="2:12" x14ac:dyDescent="0.3">
      <c r="B123" s="155"/>
      <c r="C123" s="350"/>
      <c r="D123" s="445"/>
      <c r="E123" s="445"/>
      <c r="F123" s="445"/>
      <c r="G123" s="350"/>
      <c r="H123" s="350"/>
      <c r="J123" s="155"/>
      <c r="K123" s="350"/>
      <c r="L123" s="350"/>
    </row>
    <row r="124" spans="2:12" x14ac:dyDescent="0.3">
      <c r="B124" s="155"/>
      <c r="C124" s="350"/>
      <c r="D124" s="445"/>
      <c r="E124" s="445"/>
      <c r="F124" s="445"/>
      <c r="G124" s="350"/>
      <c r="H124" s="350"/>
      <c r="J124" s="155"/>
      <c r="K124" s="350"/>
      <c r="L124" s="350"/>
    </row>
    <row r="125" spans="2:12" x14ac:dyDescent="0.3">
      <c r="B125" s="155"/>
      <c r="C125" s="350"/>
      <c r="D125" s="445"/>
      <c r="E125" s="445"/>
      <c r="F125" s="445"/>
      <c r="G125" s="350"/>
      <c r="H125" s="350"/>
      <c r="J125" s="155"/>
      <c r="K125" s="350"/>
      <c r="L125" s="350"/>
    </row>
    <row r="126" spans="2:12" x14ac:dyDescent="0.3">
      <c r="B126" s="155"/>
      <c r="C126" s="350"/>
      <c r="D126" s="445"/>
      <c r="E126" s="445"/>
      <c r="F126" s="445"/>
      <c r="G126" s="350"/>
      <c r="H126" s="350"/>
      <c r="J126" s="155"/>
      <c r="K126" s="350"/>
      <c r="L126" s="350"/>
    </row>
    <row r="127" spans="2:12" x14ac:dyDescent="0.3">
      <c r="B127" s="155"/>
      <c r="C127" s="350"/>
      <c r="D127" s="445"/>
      <c r="E127" s="445"/>
      <c r="F127" s="445"/>
      <c r="G127" s="350"/>
      <c r="H127" s="350"/>
      <c r="J127" s="155"/>
      <c r="K127" s="350"/>
      <c r="L127" s="350"/>
    </row>
    <row r="128" spans="2:12" x14ac:dyDescent="0.3">
      <c r="B128" s="155"/>
      <c r="C128" s="350"/>
      <c r="D128" s="445"/>
      <c r="E128" s="445"/>
      <c r="F128" s="445"/>
      <c r="G128" s="350"/>
      <c r="H128" s="350"/>
      <c r="J128" s="155"/>
      <c r="K128" s="350"/>
      <c r="L128" s="350"/>
    </row>
    <row r="129" spans="2:12" x14ac:dyDescent="0.3">
      <c r="B129" s="155"/>
      <c r="C129" s="350"/>
      <c r="D129" s="445"/>
      <c r="E129" s="445"/>
      <c r="F129" s="445"/>
      <c r="G129" s="350"/>
      <c r="H129" s="350"/>
      <c r="J129" s="155"/>
      <c r="K129" s="350"/>
      <c r="L129" s="350"/>
    </row>
    <row r="130" spans="2:12" x14ac:dyDescent="0.3">
      <c r="B130" s="155"/>
      <c r="C130" s="350"/>
      <c r="D130" s="445"/>
      <c r="E130" s="445"/>
      <c r="F130" s="445"/>
      <c r="G130" s="350"/>
      <c r="H130" s="350"/>
      <c r="J130" s="155"/>
      <c r="K130" s="350"/>
      <c r="L130" s="350"/>
    </row>
    <row r="131" spans="2:12" x14ac:dyDescent="0.3">
      <c r="B131" s="155"/>
      <c r="C131" s="350"/>
      <c r="D131" s="445"/>
      <c r="E131" s="445"/>
      <c r="F131" s="445"/>
      <c r="G131" s="350"/>
      <c r="H131" s="350"/>
      <c r="J131" s="155"/>
      <c r="K131" s="350"/>
      <c r="L131" s="350"/>
    </row>
    <row r="132" spans="2:12" x14ac:dyDescent="0.3">
      <c r="B132" s="155"/>
      <c r="C132" s="350"/>
      <c r="D132" s="445"/>
      <c r="E132" s="445"/>
      <c r="F132" s="445"/>
      <c r="G132" s="350"/>
      <c r="H132" s="350"/>
      <c r="J132" s="155"/>
      <c r="K132" s="350"/>
      <c r="L132" s="350"/>
    </row>
    <row r="133" spans="2:12" x14ac:dyDescent="0.3">
      <c r="B133" s="155"/>
      <c r="C133" s="350"/>
      <c r="D133" s="445"/>
      <c r="E133" s="445"/>
      <c r="F133" s="445"/>
      <c r="G133" s="350"/>
      <c r="H133" s="350"/>
      <c r="J133" s="155"/>
      <c r="K133" s="350"/>
      <c r="L133" s="350"/>
    </row>
    <row r="134" spans="2:12" x14ac:dyDescent="0.3">
      <c r="B134" s="155"/>
      <c r="C134" s="350"/>
      <c r="D134" s="445"/>
      <c r="E134" s="445"/>
      <c r="F134" s="445"/>
      <c r="G134" s="350"/>
      <c r="H134" s="350"/>
      <c r="J134" s="155"/>
      <c r="K134" s="350"/>
      <c r="L134" s="350"/>
    </row>
    <row r="135" spans="2:12" x14ac:dyDescent="0.3">
      <c r="B135" s="155"/>
      <c r="C135" s="350"/>
      <c r="D135" s="445"/>
      <c r="E135" s="445"/>
      <c r="F135" s="445"/>
      <c r="G135" s="350"/>
      <c r="H135" s="350"/>
      <c r="J135" s="155"/>
      <c r="K135" s="350"/>
      <c r="L135" s="350"/>
    </row>
    <row r="136" spans="2:12" x14ac:dyDescent="0.3">
      <c r="B136" s="155"/>
      <c r="C136" s="350"/>
      <c r="D136" s="445"/>
      <c r="E136" s="445"/>
      <c r="F136" s="445"/>
      <c r="G136" s="350"/>
      <c r="H136" s="350"/>
      <c r="J136" s="155"/>
      <c r="K136" s="350"/>
      <c r="L136" s="350"/>
    </row>
    <row r="137" spans="2:12" x14ac:dyDescent="0.3">
      <c r="B137" s="155"/>
      <c r="C137" s="350"/>
      <c r="D137" s="445"/>
      <c r="E137" s="445"/>
      <c r="F137" s="445"/>
      <c r="G137" s="350"/>
      <c r="H137" s="350"/>
      <c r="J137" s="155"/>
      <c r="K137" s="350"/>
      <c r="L137" s="350"/>
    </row>
    <row r="138" spans="2:12" x14ac:dyDescent="0.3">
      <c r="B138" s="155"/>
      <c r="C138" s="350"/>
      <c r="D138" s="445"/>
      <c r="E138" s="445"/>
      <c r="F138" s="445"/>
      <c r="G138" s="350"/>
      <c r="H138" s="350"/>
      <c r="J138" s="155"/>
      <c r="K138" s="350"/>
      <c r="L138" s="350"/>
    </row>
    <row r="139" spans="2:12" x14ac:dyDescent="0.3">
      <c r="B139" s="155"/>
      <c r="C139" s="350"/>
      <c r="D139" s="445"/>
      <c r="E139" s="445"/>
      <c r="F139" s="445"/>
      <c r="G139" s="350"/>
      <c r="H139" s="350"/>
      <c r="J139" s="155"/>
      <c r="K139" s="350"/>
      <c r="L139" s="350"/>
    </row>
    <row r="140" spans="2:12" x14ac:dyDescent="0.3">
      <c r="B140" s="155"/>
      <c r="C140" s="350"/>
      <c r="D140" s="445"/>
      <c r="E140" s="445"/>
      <c r="F140" s="445"/>
      <c r="G140" s="350"/>
      <c r="H140" s="350"/>
      <c r="J140" s="155"/>
      <c r="K140" s="350"/>
      <c r="L140" s="350"/>
    </row>
    <row r="141" spans="2:12" x14ac:dyDescent="0.3">
      <c r="B141" s="155"/>
      <c r="C141" s="350"/>
      <c r="D141" s="445"/>
      <c r="E141" s="445"/>
      <c r="F141" s="445"/>
      <c r="G141" s="350"/>
      <c r="H141" s="350"/>
      <c r="J141" s="155"/>
      <c r="K141" s="350"/>
      <c r="L141" s="350"/>
    </row>
    <row r="142" spans="2:12" x14ac:dyDescent="0.3">
      <c r="B142" s="155"/>
      <c r="C142" s="350"/>
      <c r="D142" s="445"/>
      <c r="E142" s="445"/>
      <c r="F142" s="445"/>
      <c r="G142" s="350"/>
      <c r="H142" s="350"/>
      <c r="J142" s="155"/>
      <c r="K142" s="350"/>
      <c r="L142" s="350"/>
    </row>
    <row r="143" spans="2:12" x14ac:dyDescent="0.3">
      <c r="B143" s="155"/>
      <c r="C143" s="350"/>
      <c r="D143" s="445"/>
      <c r="E143" s="445"/>
      <c r="F143" s="445"/>
      <c r="G143" s="350"/>
      <c r="H143" s="350"/>
      <c r="J143" s="155"/>
      <c r="K143" s="350"/>
      <c r="L143" s="350"/>
    </row>
    <row r="144" spans="2:12" x14ac:dyDescent="0.3">
      <c r="B144" s="155"/>
      <c r="C144" s="350"/>
      <c r="D144" s="445"/>
      <c r="E144" s="445"/>
      <c r="F144" s="445"/>
      <c r="G144" s="350"/>
      <c r="H144" s="350"/>
      <c r="J144" s="155"/>
      <c r="K144" s="350"/>
      <c r="L144" s="350"/>
    </row>
    <row r="145" spans="2:12" x14ac:dyDescent="0.3">
      <c r="B145" s="155"/>
      <c r="C145" s="350"/>
      <c r="D145" s="445"/>
      <c r="E145" s="445"/>
      <c r="F145" s="445"/>
      <c r="G145" s="350"/>
      <c r="H145" s="350"/>
      <c r="J145" s="155"/>
      <c r="K145" s="350"/>
      <c r="L145" s="350"/>
    </row>
    <row r="146" spans="2:12" x14ac:dyDescent="0.3">
      <c r="B146" s="155"/>
      <c r="C146" s="350"/>
      <c r="D146" s="445"/>
      <c r="E146" s="445"/>
      <c r="F146" s="445"/>
      <c r="G146" s="350"/>
      <c r="H146" s="350"/>
      <c r="J146" s="155"/>
      <c r="K146" s="350"/>
      <c r="L146" s="350"/>
    </row>
    <row r="147" spans="2:12" x14ac:dyDescent="0.3">
      <c r="B147" s="155"/>
      <c r="C147" s="350"/>
      <c r="D147" s="445"/>
      <c r="E147" s="445"/>
      <c r="F147" s="445"/>
      <c r="G147" s="350"/>
      <c r="H147" s="350"/>
      <c r="J147" s="155"/>
      <c r="K147" s="350"/>
      <c r="L147" s="350"/>
    </row>
    <row r="148" spans="2:12" x14ac:dyDescent="0.3">
      <c r="B148" s="155"/>
      <c r="C148" s="350"/>
      <c r="D148" s="445"/>
      <c r="E148" s="445"/>
      <c r="F148" s="445"/>
      <c r="G148" s="350"/>
      <c r="H148" s="350"/>
      <c r="J148" s="155"/>
      <c r="K148" s="350"/>
      <c r="L148" s="350"/>
    </row>
    <row r="149" spans="2:12" x14ac:dyDescent="0.3">
      <c r="B149" s="155"/>
      <c r="C149" s="350"/>
      <c r="D149" s="445"/>
      <c r="E149" s="445"/>
      <c r="F149" s="445"/>
      <c r="G149" s="350"/>
      <c r="H149" s="350"/>
      <c r="J149" s="155"/>
      <c r="K149" s="350"/>
      <c r="L149" s="350"/>
    </row>
    <row r="150" spans="2:12" x14ac:dyDescent="0.3">
      <c r="B150" s="155"/>
      <c r="C150" s="350"/>
      <c r="D150" s="445"/>
      <c r="E150" s="445"/>
      <c r="F150" s="445"/>
      <c r="G150" s="350"/>
      <c r="H150" s="350"/>
      <c r="J150" s="155"/>
      <c r="K150" s="350"/>
      <c r="L150" s="350"/>
    </row>
    <row r="151" spans="2:12" x14ac:dyDescent="0.3">
      <c r="B151" s="155"/>
      <c r="C151" s="350"/>
      <c r="D151" s="445"/>
      <c r="E151" s="445"/>
      <c r="F151" s="445"/>
      <c r="G151" s="350"/>
      <c r="H151" s="350"/>
      <c r="J151" s="155"/>
      <c r="K151" s="350"/>
      <c r="L151" s="350"/>
    </row>
    <row r="152" spans="2:12" x14ac:dyDescent="0.3">
      <c r="B152" s="155"/>
      <c r="C152" s="350"/>
      <c r="D152" s="445"/>
      <c r="E152" s="445"/>
      <c r="F152" s="445"/>
      <c r="G152" s="350"/>
      <c r="H152" s="350"/>
      <c r="J152" s="155"/>
      <c r="K152" s="350"/>
      <c r="L152" s="350"/>
    </row>
    <row r="153" spans="2:12" x14ac:dyDescent="0.3">
      <c r="B153" s="155"/>
      <c r="C153" s="350"/>
      <c r="D153" s="445"/>
      <c r="E153" s="445"/>
      <c r="F153" s="445"/>
      <c r="G153" s="350"/>
      <c r="H153" s="350"/>
      <c r="J153" s="155"/>
      <c r="K153" s="350"/>
      <c r="L153" s="350"/>
    </row>
    <row r="154" spans="2:12" x14ac:dyDescent="0.3">
      <c r="B154" s="155"/>
      <c r="C154" s="350"/>
      <c r="D154" s="445"/>
      <c r="E154" s="445"/>
      <c r="F154" s="445"/>
      <c r="G154" s="350"/>
      <c r="H154" s="350"/>
      <c r="J154" s="155"/>
      <c r="K154" s="350"/>
      <c r="L154" s="350"/>
    </row>
    <row r="155" spans="2:12" x14ac:dyDescent="0.3">
      <c r="B155" s="155"/>
      <c r="C155" s="350"/>
      <c r="D155" s="445"/>
      <c r="E155" s="445"/>
      <c r="F155" s="445"/>
      <c r="G155" s="350"/>
      <c r="H155" s="350"/>
      <c r="J155" s="155"/>
      <c r="K155" s="350"/>
      <c r="L155" s="350"/>
    </row>
    <row r="156" spans="2:12" x14ac:dyDescent="0.3">
      <c r="B156" s="155"/>
      <c r="C156" s="350"/>
      <c r="D156" s="445"/>
      <c r="E156" s="445"/>
      <c r="F156" s="445"/>
      <c r="G156" s="350"/>
      <c r="H156" s="350"/>
      <c r="J156" s="155"/>
      <c r="K156" s="350"/>
      <c r="L156" s="350"/>
    </row>
    <row r="157" spans="2:12" x14ac:dyDescent="0.3">
      <c r="B157" s="155"/>
      <c r="C157" s="350"/>
      <c r="D157" s="445"/>
      <c r="E157" s="445"/>
      <c r="F157" s="445"/>
      <c r="G157" s="350"/>
      <c r="H157" s="350"/>
      <c r="J157" s="155"/>
      <c r="K157" s="350"/>
      <c r="L157" s="350"/>
    </row>
    <row r="158" spans="2:12" x14ac:dyDescent="0.3">
      <c r="B158" s="155"/>
      <c r="C158" s="350"/>
      <c r="D158" s="445"/>
      <c r="E158" s="445"/>
      <c r="F158" s="445"/>
      <c r="G158" s="350"/>
      <c r="H158" s="350"/>
      <c r="J158" s="155"/>
      <c r="K158" s="350"/>
      <c r="L158" s="350"/>
    </row>
    <row r="159" spans="2:12" x14ac:dyDescent="0.3">
      <c r="B159" s="155"/>
      <c r="C159" s="350"/>
      <c r="D159" s="445"/>
      <c r="E159" s="445"/>
      <c r="F159" s="445"/>
      <c r="G159" s="350"/>
      <c r="H159" s="350"/>
      <c r="J159" s="155"/>
      <c r="K159" s="350"/>
      <c r="L159" s="350"/>
    </row>
    <row r="160" spans="2:12" x14ac:dyDescent="0.3">
      <c r="B160" s="155"/>
      <c r="C160" s="350"/>
      <c r="D160" s="445"/>
      <c r="E160" s="445"/>
      <c r="F160" s="445"/>
      <c r="G160" s="350"/>
      <c r="H160" s="350"/>
      <c r="J160" s="155"/>
      <c r="K160" s="350"/>
      <c r="L160" s="350"/>
    </row>
    <row r="161" spans="2:12" x14ac:dyDescent="0.3">
      <c r="B161" s="155"/>
      <c r="C161" s="350"/>
      <c r="D161" s="445"/>
      <c r="E161" s="445"/>
      <c r="F161" s="445"/>
      <c r="G161" s="350"/>
      <c r="H161" s="350"/>
      <c r="J161" s="155"/>
      <c r="K161" s="350"/>
      <c r="L161" s="350"/>
    </row>
    <row r="162" spans="2:12" x14ac:dyDescent="0.3">
      <c r="B162" s="155"/>
      <c r="C162" s="350"/>
      <c r="D162" s="445"/>
      <c r="E162" s="445"/>
      <c r="F162" s="445"/>
      <c r="G162" s="350"/>
      <c r="H162" s="350"/>
      <c r="J162" s="155"/>
      <c r="K162" s="350"/>
      <c r="L162" s="350"/>
    </row>
    <row r="163" spans="2:12" x14ac:dyDescent="0.3">
      <c r="B163" s="155"/>
      <c r="C163" s="350"/>
      <c r="D163" s="445"/>
      <c r="E163" s="445"/>
      <c r="F163" s="445"/>
      <c r="G163" s="350"/>
      <c r="H163" s="350"/>
      <c r="J163" s="155"/>
      <c r="K163" s="350"/>
      <c r="L163" s="350"/>
    </row>
    <row r="164" spans="2:12" x14ac:dyDescent="0.3">
      <c r="B164" s="155"/>
      <c r="C164" s="350"/>
      <c r="D164" s="445"/>
      <c r="E164" s="445"/>
      <c r="F164" s="445"/>
      <c r="G164" s="350"/>
      <c r="H164" s="350"/>
      <c r="J164" s="155"/>
      <c r="K164" s="350"/>
      <c r="L164" s="350"/>
    </row>
    <row r="165" spans="2:12" x14ac:dyDescent="0.3">
      <c r="B165" s="155"/>
      <c r="C165" s="350"/>
      <c r="D165" s="445"/>
      <c r="E165" s="445"/>
      <c r="F165" s="445"/>
      <c r="G165" s="350"/>
      <c r="H165" s="350"/>
      <c r="J165" s="155"/>
      <c r="K165" s="350"/>
      <c r="L165" s="350"/>
    </row>
    <row r="166" spans="2:12" x14ac:dyDescent="0.3">
      <c r="B166" s="155"/>
      <c r="C166" s="350"/>
      <c r="D166" s="445"/>
      <c r="E166" s="445"/>
      <c r="F166" s="445"/>
      <c r="G166" s="350"/>
      <c r="H166" s="350"/>
      <c r="J166" s="155"/>
      <c r="K166" s="350"/>
      <c r="L166" s="350"/>
    </row>
    <row r="167" spans="2:12" x14ac:dyDescent="0.3">
      <c r="B167" s="155"/>
      <c r="C167" s="350"/>
      <c r="D167" s="445"/>
      <c r="E167" s="445"/>
      <c r="F167" s="445"/>
      <c r="G167" s="350"/>
      <c r="H167" s="350"/>
      <c r="J167" s="155"/>
      <c r="K167" s="350"/>
      <c r="L167" s="350"/>
    </row>
    <row r="168" spans="2:12" x14ac:dyDescent="0.3">
      <c r="B168" s="155"/>
      <c r="C168" s="350"/>
      <c r="D168" s="445"/>
      <c r="E168" s="445"/>
      <c r="F168" s="445"/>
      <c r="G168" s="350"/>
      <c r="H168" s="350"/>
      <c r="J168" s="155"/>
      <c r="K168" s="350"/>
      <c r="L168" s="350"/>
    </row>
    <row r="169" spans="2:12" x14ac:dyDescent="0.3">
      <c r="B169" s="155"/>
      <c r="C169" s="350"/>
      <c r="D169" s="445"/>
      <c r="E169" s="445"/>
      <c r="F169" s="445"/>
      <c r="G169" s="350"/>
      <c r="H169" s="350"/>
      <c r="J169" s="155"/>
      <c r="K169" s="350"/>
      <c r="L169" s="350"/>
    </row>
    <row r="170" spans="2:12" x14ac:dyDescent="0.3">
      <c r="B170" s="155"/>
      <c r="C170" s="350"/>
      <c r="D170" s="445"/>
      <c r="E170" s="445"/>
      <c r="F170" s="445"/>
      <c r="G170" s="350"/>
      <c r="H170" s="350"/>
      <c r="J170" s="155"/>
      <c r="K170" s="350"/>
      <c r="L170" s="350"/>
    </row>
    <row r="171" spans="2:12" x14ac:dyDescent="0.3">
      <c r="B171" s="155"/>
      <c r="C171" s="350"/>
      <c r="D171" s="445"/>
      <c r="E171" s="445"/>
      <c r="F171" s="445"/>
      <c r="G171" s="350"/>
      <c r="H171" s="350"/>
      <c r="J171" s="155"/>
      <c r="K171" s="350"/>
      <c r="L171" s="350"/>
    </row>
    <row r="172" spans="2:12" x14ac:dyDescent="0.3">
      <c r="B172" s="155"/>
      <c r="C172" s="350"/>
      <c r="D172" s="445"/>
      <c r="E172" s="445"/>
      <c r="F172" s="445"/>
      <c r="G172" s="350"/>
      <c r="H172" s="350"/>
      <c r="J172" s="155"/>
      <c r="K172" s="350"/>
      <c r="L172" s="350"/>
    </row>
    <row r="173" spans="2:12" x14ac:dyDescent="0.3">
      <c r="B173" s="155"/>
      <c r="C173" s="350"/>
      <c r="D173" s="445"/>
      <c r="E173" s="445"/>
      <c r="F173" s="445"/>
      <c r="G173" s="350"/>
      <c r="H173" s="350"/>
      <c r="J173" s="155"/>
      <c r="K173" s="350"/>
      <c r="L173" s="350"/>
    </row>
    <row r="174" spans="2:12" x14ac:dyDescent="0.3">
      <c r="B174" s="155"/>
      <c r="C174" s="350"/>
      <c r="D174" s="445"/>
      <c r="E174" s="445"/>
      <c r="F174" s="445"/>
      <c r="G174" s="350"/>
      <c r="H174" s="350"/>
      <c r="J174" s="155"/>
      <c r="K174" s="350"/>
      <c r="L174" s="350"/>
    </row>
    <row r="175" spans="2:12" x14ac:dyDescent="0.3">
      <c r="B175" s="155"/>
      <c r="C175" s="350"/>
      <c r="D175" s="445"/>
      <c r="E175" s="445"/>
      <c r="F175" s="445"/>
      <c r="G175" s="350"/>
      <c r="H175" s="350"/>
      <c r="J175" s="155"/>
      <c r="K175" s="350"/>
      <c r="L175" s="350"/>
    </row>
    <row r="176" spans="2:12" x14ac:dyDescent="0.3">
      <c r="B176" s="155"/>
      <c r="C176" s="350"/>
      <c r="D176" s="445"/>
      <c r="E176" s="445"/>
      <c r="F176" s="445"/>
      <c r="G176" s="350"/>
      <c r="H176" s="350"/>
      <c r="J176" s="155"/>
      <c r="K176" s="350"/>
      <c r="L176" s="350"/>
    </row>
    <row r="177" spans="2:12" x14ac:dyDescent="0.3">
      <c r="B177" s="155"/>
      <c r="C177" s="350"/>
      <c r="D177" s="445"/>
      <c r="E177" s="445"/>
      <c r="F177" s="445"/>
      <c r="G177" s="350"/>
      <c r="H177" s="350"/>
      <c r="J177" s="155"/>
      <c r="K177" s="350"/>
      <c r="L177" s="350"/>
    </row>
    <row r="178" spans="2:12" x14ac:dyDescent="0.3">
      <c r="B178" s="155"/>
      <c r="C178" s="350"/>
      <c r="D178" s="445"/>
      <c r="E178" s="445"/>
      <c r="F178" s="445"/>
      <c r="G178" s="350"/>
      <c r="H178" s="350"/>
      <c r="J178" s="155"/>
      <c r="K178" s="350"/>
      <c r="L178" s="350"/>
    </row>
    <row r="179" spans="2:12" x14ac:dyDescent="0.3">
      <c r="B179" s="155"/>
      <c r="C179" s="350"/>
      <c r="D179" s="445"/>
      <c r="E179" s="445"/>
      <c r="F179" s="445"/>
      <c r="G179" s="350"/>
      <c r="H179" s="350"/>
      <c r="J179" s="155"/>
      <c r="K179" s="350"/>
      <c r="L179" s="350"/>
    </row>
    <row r="180" spans="2:12" x14ac:dyDescent="0.3">
      <c r="B180" s="155"/>
      <c r="C180" s="350"/>
      <c r="D180" s="445"/>
      <c r="E180" s="445"/>
      <c r="F180" s="445"/>
      <c r="G180" s="350"/>
      <c r="H180" s="350"/>
      <c r="J180" s="155"/>
      <c r="K180" s="350"/>
      <c r="L180" s="350"/>
    </row>
    <row r="181" spans="2:12" x14ac:dyDescent="0.3">
      <c r="B181" s="155"/>
      <c r="C181" s="350"/>
      <c r="D181" s="445"/>
      <c r="E181" s="445"/>
      <c r="F181" s="445"/>
      <c r="G181" s="350"/>
      <c r="H181" s="350"/>
      <c r="J181" s="155"/>
      <c r="K181" s="350"/>
      <c r="L181" s="350"/>
    </row>
    <row r="182" spans="2:12" x14ac:dyDescent="0.3">
      <c r="B182" s="155"/>
      <c r="C182" s="350"/>
      <c r="D182" s="445"/>
      <c r="E182" s="445"/>
      <c r="F182" s="445"/>
      <c r="G182" s="350"/>
      <c r="H182" s="350"/>
      <c r="J182" s="155"/>
      <c r="K182" s="350"/>
      <c r="L182" s="350"/>
    </row>
    <row r="183" spans="2:12" x14ac:dyDescent="0.3">
      <c r="B183" s="155"/>
      <c r="D183" s="445"/>
      <c r="E183" s="445"/>
      <c r="F183" s="445"/>
      <c r="J183" s="155"/>
    </row>
    <row r="184" spans="2:12" x14ac:dyDescent="0.3">
      <c r="B184" s="155"/>
      <c r="D184" s="445"/>
      <c r="E184" s="445"/>
      <c r="F184" s="445"/>
      <c r="J184" s="155"/>
    </row>
    <row r="185" spans="2:12" x14ac:dyDescent="0.3">
      <c r="B185" s="155"/>
      <c r="D185" s="445"/>
      <c r="E185" s="445"/>
      <c r="F185" s="445"/>
      <c r="J185" s="155"/>
    </row>
    <row r="186" spans="2:12" x14ac:dyDescent="0.3">
      <c r="B186" s="155"/>
      <c r="D186" s="445"/>
      <c r="E186" s="445"/>
      <c r="F186" s="445"/>
      <c r="J186" s="155"/>
    </row>
    <row r="187" spans="2:12" x14ac:dyDescent="0.3">
      <c r="B187" s="155"/>
      <c r="F187" s="155"/>
      <c r="J187" s="155"/>
    </row>
    <row r="188" spans="2:12" x14ac:dyDescent="0.3">
      <c r="B188" s="155"/>
      <c r="F188" s="155"/>
      <c r="J188" s="155"/>
    </row>
    <row r="189" spans="2:12" x14ac:dyDescent="0.3">
      <c r="B189" s="155"/>
      <c r="F189" s="155"/>
      <c r="J189" s="155"/>
    </row>
    <row r="190" spans="2:12" x14ac:dyDescent="0.3">
      <c r="B190" s="155"/>
      <c r="F190" s="155"/>
      <c r="J190" s="155"/>
    </row>
    <row r="191" spans="2:12" x14ac:dyDescent="0.3">
      <c r="B191" s="155"/>
      <c r="F191" s="155"/>
      <c r="J191" s="155"/>
    </row>
    <row r="192" spans="2:12" x14ac:dyDescent="0.3">
      <c r="B192" s="155"/>
      <c r="F192" s="155"/>
      <c r="J192" s="155"/>
    </row>
    <row r="193" spans="2:10" x14ac:dyDescent="0.3">
      <c r="B193" s="155"/>
      <c r="F193" s="155"/>
      <c r="J193" s="155"/>
    </row>
    <row r="194" spans="2:10" x14ac:dyDescent="0.3">
      <c r="B194" s="155"/>
      <c r="F194" s="155"/>
      <c r="J194" s="155"/>
    </row>
    <row r="195" spans="2:10" x14ac:dyDescent="0.3">
      <c r="B195" s="155"/>
      <c r="F195" s="155"/>
      <c r="J195" s="155"/>
    </row>
    <row r="196" spans="2:10" x14ac:dyDescent="0.3">
      <c r="B196" s="155"/>
      <c r="F196" s="155"/>
      <c r="J196" s="155"/>
    </row>
    <row r="197" spans="2:10" x14ac:dyDescent="0.3">
      <c r="B197" s="155"/>
      <c r="F197" s="155"/>
      <c r="J197" s="155"/>
    </row>
    <row r="198" spans="2:10" x14ac:dyDescent="0.3">
      <c r="B198" s="155"/>
      <c r="F198" s="155"/>
      <c r="J198" s="155"/>
    </row>
    <row r="199" spans="2:10" x14ac:dyDescent="0.3">
      <c r="B199" s="155"/>
      <c r="F199" s="155"/>
      <c r="J199" s="155"/>
    </row>
    <row r="200" spans="2:10" x14ac:dyDescent="0.3">
      <c r="B200" s="155"/>
      <c r="F200" s="155"/>
      <c r="J200" s="155"/>
    </row>
    <row r="201" spans="2:10" x14ac:dyDescent="0.3">
      <c r="B201" s="155"/>
      <c r="F201" s="155"/>
      <c r="J201" s="155"/>
    </row>
    <row r="202" spans="2:10" x14ac:dyDescent="0.3">
      <c r="B202" s="155"/>
      <c r="F202" s="155"/>
      <c r="J202" s="155"/>
    </row>
    <row r="203" spans="2:10" x14ac:dyDescent="0.3">
      <c r="B203" s="155"/>
      <c r="F203" s="155"/>
      <c r="J203" s="155"/>
    </row>
    <row r="204" spans="2:10" x14ac:dyDescent="0.3">
      <c r="B204" s="155"/>
      <c r="F204" s="155"/>
      <c r="J204" s="155"/>
    </row>
    <row r="205" spans="2:10" x14ac:dyDescent="0.3">
      <c r="B205" s="155"/>
      <c r="F205" s="155"/>
      <c r="J205" s="155"/>
    </row>
    <row r="206" spans="2:10" x14ac:dyDescent="0.3">
      <c r="B206" s="155"/>
      <c r="F206" s="155"/>
      <c r="J206" s="155"/>
    </row>
    <row r="207" spans="2:10" x14ac:dyDescent="0.3">
      <c r="B207" s="155"/>
      <c r="F207" s="155"/>
      <c r="J207" s="155"/>
    </row>
    <row r="208" spans="2:10" x14ac:dyDescent="0.3">
      <c r="B208" s="155"/>
      <c r="F208" s="155"/>
      <c r="J208" s="155"/>
    </row>
    <row r="209" spans="2:10" x14ac:dyDescent="0.3">
      <c r="B209" s="155"/>
      <c r="F209" s="155"/>
      <c r="J209" s="155"/>
    </row>
    <row r="210" spans="2:10" x14ac:dyDescent="0.3">
      <c r="B210" s="155"/>
      <c r="F210" s="155"/>
      <c r="J210" s="155"/>
    </row>
    <row r="211" spans="2:10" x14ac:dyDescent="0.3">
      <c r="B211" s="155"/>
      <c r="F211" s="155"/>
      <c r="J211" s="155"/>
    </row>
    <row r="212" spans="2:10" x14ac:dyDescent="0.3">
      <c r="B212" s="155"/>
      <c r="F212" s="155"/>
      <c r="J212" s="155"/>
    </row>
    <row r="213" spans="2:10" x14ac:dyDescent="0.3">
      <c r="B213" s="155"/>
      <c r="F213" s="155"/>
      <c r="J213" s="155"/>
    </row>
    <row r="214" spans="2:10" x14ac:dyDescent="0.3">
      <c r="B214" s="155"/>
      <c r="F214" s="155"/>
      <c r="J214" s="155"/>
    </row>
    <row r="215" spans="2:10" x14ac:dyDescent="0.3">
      <c r="B215" s="155"/>
      <c r="F215" s="155"/>
      <c r="J215" s="155"/>
    </row>
    <row r="216" spans="2:10" x14ac:dyDescent="0.3">
      <c r="B216" s="155"/>
      <c r="F216" s="155"/>
      <c r="J216" s="155"/>
    </row>
    <row r="217" spans="2:10" x14ac:dyDescent="0.3">
      <c r="B217" s="155"/>
      <c r="F217" s="155"/>
      <c r="J217" s="155"/>
    </row>
    <row r="218" spans="2:10" x14ac:dyDescent="0.3">
      <c r="B218" s="155"/>
      <c r="F218" s="155"/>
      <c r="J218" s="155"/>
    </row>
    <row r="219" spans="2:10" x14ac:dyDescent="0.3">
      <c r="B219" s="155"/>
      <c r="F219" s="155"/>
      <c r="J219" s="155"/>
    </row>
    <row r="220" spans="2:10" x14ac:dyDescent="0.3">
      <c r="B220" s="155"/>
      <c r="F220" s="155"/>
      <c r="J220" s="155"/>
    </row>
    <row r="221" spans="2:10" x14ac:dyDescent="0.3">
      <c r="B221" s="155"/>
      <c r="F221" s="155"/>
      <c r="J221" s="155"/>
    </row>
    <row r="222" spans="2:10" x14ac:dyDescent="0.3">
      <c r="B222" s="155"/>
      <c r="F222" s="155"/>
      <c r="J222" s="155"/>
    </row>
    <row r="223" spans="2:10" x14ac:dyDescent="0.3">
      <c r="B223" s="155"/>
      <c r="F223" s="155"/>
      <c r="J223" s="155"/>
    </row>
    <row r="224" spans="2:10" x14ac:dyDescent="0.3">
      <c r="B224" s="155"/>
      <c r="F224" s="155"/>
      <c r="J224" s="155"/>
    </row>
    <row r="225" spans="2:10" x14ac:dyDescent="0.3">
      <c r="B225" s="155"/>
      <c r="F225" s="155"/>
      <c r="J225" s="155"/>
    </row>
    <row r="226" spans="2:10" x14ac:dyDescent="0.3">
      <c r="B226" s="155"/>
      <c r="F226" s="155"/>
      <c r="J226" s="155"/>
    </row>
    <row r="227" spans="2:10" x14ac:dyDescent="0.3">
      <c r="B227" s="155"/>
      <c r="F227" s="155"/>
      <c r="J227" s="155"/>
    </row>
    <row r="228" spans="2:10" x14ac:dyDescent="0.3">
      <c r="B228" s="155"/>
      <c r="F228" s="155"/>
      <c r="J228" s="155"/>
    </row>
    <row r="229" spans="2:10" x14ac:dyDescent="0.3">
      <c r="B229" s="155"/>
      <c r="F229" s="155"/>
      <c r="J229" s="155"/>
    </row>
    <row r="230" spans="2:10" x14ac:dyDescent="0.3">
      <c r="B230" s="155"/>
      <c r="F230" s="155"/>
      <c r="J230" s="155"/>
    </row>
    <row r="231" spans="2:10" x14ac:dyDescent="0.3">
      <c r="B231" s="155"/>
      <c r="F231" s="155"/>
      <c r="J231" s="155"/>
    </row>
    <row r="232" spans="2:10" x14ac:dyDescent="0.3">
      <c r="B232" s="155"/>
      <c r="F232" s="155"/>
      <c r="J232" s="155"/>
    </row>
    <row r="233" spans="2:10" x14ac:dyDescent="0.3">
      <c r="B233" s="155"/>
      <c r="F233" s="155"/>
      <c r="J233" s="155"/>
    </row>
    <row r="234" spans="2:10" x14ac:dyDescent="0.3">
      <c r="B234" s="155"/>
      <c r="F234" s="155"/>
      <c r="J234" s="155"/>
    </row>
    <row r="235" spans="2:10" x14ac:dyDescent="0.3">
      <c r="B235" s="155"/>
      <c r="F235" s="155"/>
      <c r="J235" s="155"/>
    </row>
    <row r="236" spans="2:10" x14ac:dyDescent="0.3">
      <c r="B236" s="155"/>
      <c r="F236" s="155"/>
      <c r="J236" s="155"/>
    </row>
    <row r="237" spans="2:10" x14ac:dyDescent="0.3">
      <c r="B237" s="155"/>
      <c r="F237" s="155"/>
      <c r="J237" s="155"/>
    </row>
    <row r="238" spans="2:10" x14ac:dyDescent="0.3">
      <c r="B238" s="155"/>
      <c r="F238" s="155"/>
      <c r="J238" s="155"/>
    </row>
    <row r="239" spans="2:10" x14ac:dyDescent="0.3">
      <c r="B239" s="155"/>
      <c r="F239" s="155"/>
      <c r="J239" s="155"/>
    </row>
    <row r="240" spans="2:10" x14ac:dyDescent="0.3">
      <c r="B240" s="155"/>
      <c r="F240" s="155"/>
      <c r="J240" s="155"/>
    </row>
    <row r="241" spans="2:10" x14ac:dyDescent="0.3">
      <c r="B241" s="155"/>
      <c r="F241" s="155"/>
      <c r="J241" s="155"/>
    </row>
    <row r="242" spans="2:10" x14ac:dyDescent="0.3">
      <c r="B242" s="155"/>
      <c r="F242" s="155"/>
      <c r="J242" s="155"/>
    </row>
    <row r="243" spans="2:10" x14ac:dyDescent="0.3">
      <c r="B243" s="155"/>
      <c r="F243" s="155"/>
      <c r="J243" s="155"/>
    </row>
    <row r="244" spans="2:10" x14ac:dyDescent="0.3">
      <c r="B244" s="155"/>
      <c r="F244" s="155"/>
      <c r="J244" s="155"/>
    </row>
    <row r="245" spans="2:10" x14ac:dyDescent="0.3">
      <c r="B245" s="155"/>
      <c r="F245" s="155"/>
      <c r="J245" s="155"/>
    </row>
    <row r="246" spans="2:10" x14ac:dyDescent="0.3">
      <c r="B246" s="155"/>
      <c r="F246" s="155"/>
      <c r="J246" s="155"/>
    </row>
    <row r="247" spans="2:10" x14ac:dyDescent="0.3">
      <c r="B247" s="155"/>
      <c r="F247" s="155"/>
      <c r="J247" s="155"/>
    </row>
    <row r="248" spans="2:10" x14ac:dyDescent="0.3">
      <c r="B248" s="155"/>
      <c r="F248" s="155"/>
      <c r="J248" s="155"/>
    </row>
    <row r="249" spans="2:10" x14ac:dyDescent="0.3">
      <c r="B249" s="155"/>
      <c r="F249" s="155"/>
      <c r="J249" s="155"/>
    </row>
    <row r="250" spans="2:10" x14ac:dyDescent="0.3">
      <c r="B250" s="155"/>
      <c r="F250" s="155"/>
      <c r="J250" s="155"/>
    </row>
    <row r="251" spans="2:10" x14ac:dyDescent="0.3">
      <c r="B251" s="155"/>
      <c r="F251" s="155"/>
      <c r="J251" s="155"/>
    </row>
    <row r="252" spans="2:10" x14ac:dyDescent="0.3">
      <c r="B252" s="155"/>
      <c r="F252" s="155"/>
      <c r="J252" s="155"/>
    </row>
    <row r="253" spans="2:10" x14ac:dyDescent="0.3">
      <c r="B253" s="155"/>
      <c r="F253" s="155"/>
      <c r="J253" s="155"/>
    </row>
    <row r="254" spans="2:10" x14ac:dyDescent="0.3">
      <c r="B254" s="155"/>
      <c r="F254" s="155"/>
      <c r="J254" s="155"/>
    </row>
    <row r="255" spans="2:10" x14ac:dyDescent="0.3">
      <c r="B255" s="155"/>
      <c r="F255" s="155"/>
      <c r="J255" s="155"/>
    </row>
    <row r="256" spans="2:10" x14ac:dyDescent="0.3">
      <c r="B256" s="155"/>
      <c r="F256" s="155"/>
      <c r="J256" s="155"/>
    </row>
    <row r="257" spans="2:10" x14ac:dyDescent="0.3">
      <c r="B257" s="155"/>
      <c r="F257" s="155"/>
      <c r="J257" s="155"/>
    </row>
    <row r="258" spans="2:10" x14ac:dyDescent="0.3">
      <c r="B258" s="155"/>
      <c r="F258" s="155"/>
      <c r="J258" s="155"/>
    </row>
    <row r="259" spans="2:10" x14ac:dyDescent="0.3">
      <c r="B259" s="155"/>
      <c r="F259" s="155"/>
      <c r="J259" s="155"/>
    </row>
    <row r="260" spans="2:10" x14ac:dyDescent="0.3">
      <c r="B260" s="155"/>
      <c r="F260" s="155"/>
      <c r="J260" s="155"/>
    </row>
    <row r="261" spans="2:10" x14ac:dyDescent="0.3">
      <c r="B261" s="155"/>
      <c r="F261" s="155"/>
      <c r="J261" s="155"/>
    </row>
    <row r="262" spans="2:10" x14ac:dyDescent="0.3">
      <c r="B262" s="155"/>
      <c r="F262" s="155"/>
      <c r="J262" s="155"/>
    </row>
    <row r="263" spans="2:10" x14ac:dyDescent="0.3">
      <c r="B263" s="155"/>
      <c r="F263" s="155"/>
      <c r="J263" s="155"/>
    </row>
    <row r="264" spans="2:10" x14ac:dyDescent="0.3">
      <c r="B264" s="155"/>
      <c r="F264" s="155"/>
      <c r="J264" s="155"/>
    </row>
    <row r="265" spans="2:10" x14ac:dyDescent="0.3">
      <c r="B265" s="155"/>
      <c r="F265" s="155"/>
      <c r="J265" s="155"/>
    </row>
    <row r="266" spans="2:10" x14ac:dyDescent="0.3">
      <c r="B266" s="155"/>
      <c r="F266" s="155"/>
      <c r="J266" s="155"/>
    </row>
    <row r="267" spans="2:10" x14ac:dyDescent="0.3">
      <c r="B267" s="155"/>
      <c r="F267" s="155"/>
      <c r="J267" s="155"/>
    </row>
    <row r="268" spans="2:10" x14ac:dyDescent="0.3">
      <c r="B268" s="155"/>
      <c r="F268" s="155"/>
      <c r="J268" s="155"/>
    </row>
    <row r="269" spans="2:10" x14ac:dyDescent="0.3">
      <c r="B269" s="155"/>
      <c r="F269" s="155"/>
      <c r="J269" s="155"/>
    </row>
    <row r="270" spans="2:10" x14ac:dyDescent="0.3">
      <c r="B270" s="155"/>
      <c r="F270" s="155"/>
      <c r="J270" s="155"/>
    </row>
    <row r="271" spans="2:10" x14ac:dyDescent="0.3">
      <c r="B271" s="155"/>
      <c r="F271" s="155"/>
      <c r="J271" s="155"/>
    </row>
    <row r="272" spans="2:10" x14ac:dyDescent="0.3">
      <c r="B272" s="155"/>
      <c r="F272" s="155"/>
      <c r="J272" s="155"/>
    </row>
    <row r="273" spans="2:10" x14ac:dyDescent="0.3">
      <c r="B273" s="155"/>
      <c r="F273" s="155"/>
      <c r="J273" s="155"/>
    </row>
    <row r="274" spans="2:10" x14ac:dyDescent="0.3">
      <c r="B274" s="155"/>
      <c r="F274" s="155"/>
      <c r="J274" s="155"/>
    </row>
    <row r="275" spans="2:10" x14ac:dyDescent="0.3">
      <c r="B275" s="155"/>
      <c r="F275" s="155"/>
      <c r="J275" s="155"/>
    </row>
    <row r="276" spans="2:10" x14ac:dyDescent="0.3">
      <c r="B276" s="155"/>
      <c r="F276" s="155"/>
      <c r="J276" s="155"/>
    </row>
    <row r="277" spans="2:10" x14ac:dyDescent="0.3">
      <c r="B277" s="155"/>
      <c r="F277" s="155"/>
      <c r="J277" s="155"/>
    </row>
    <row r="278" spans="2:10" x14ac:dyDescent="0.3">
      <c r="B278" s="155"/>
      <c r="F278" s="155"/>
      <c r="J278" s="155"/>
    </row>
    <row r="279" spans="2:10" x14ac:dyDescent="0.3">
      <c r="B279" s="155"/>
      <c r="F279" s="155"/>
      <c r="J279" s="155"/>
    </row>
    <row r="280" spans="2:10" x14ac:dyDescent="0.3">
      <c r="B280" s="155"/>
      <c r="F280" s="155"/>
      <c r="J280" s="155"/>
    </row>
    <row r="281" spans="2:10" x14ac:dyDescent="0.3">
      <c r="B281" s="155"/>
      <c r="F281" s="155"/>
      <c r="J281" s="155"/>
    </row>
    <row r="282" spans="2:10" x14ac:dyDescent="0.3">
      <c r="B282" s="155"/>
      <c r="F282" s="155"/>
      <c r="J282" s="155"/>
    </row>
    <row r="283" spans="2:10" x14ac:dyDescent="0.3">
      <c r="B283" s="155"/>
      <c r="F283" s="155"/>
      <c r="J283" s="155"/>
    </row>
    <row r="284" spans="2:10" x14ac:dyDescent="0.3">
      <c r="B284" s="155"/>
      <c r="F284" s="155"/>
      <c r="J284" s="155"/>
    </row>
    <row r="285" spans="2:10" x14ac:dyDescent="0.3">
      <c r="B285" s="155"/>
      <c r="F285" s="155"/>
      <c r="J285" s="155"/>
    </row>
    <row r="286" spans="2:10" x14ac:dyDescent="0.3">
      <c r="B286" s="155"/>
      <c r="F286" s="155"/>
      <c r="J286" s="155"/>
    </row>
    <row r="287" spans="2:10" x14ac:dyDescent="0.3">
      <c r="B287" s="155"/>
      <c r="F287" s="155"/>
      <c r="J287" s="155"/>
    </row>
    <row r="288" spans="2:10" x14ac:dyDescent="0.3">
      <c r="B288" s="155"/>
      <c r="F288" s="155"/>
      <c r="J288" s="155"/>
    </row>
    <row r="289" spans="2:10" x14ac:dyDescent="0.3">
      <c r="B289" s="155"/>
      <c r="F289" s="155"/>
      <c r="J289" s="155"/>
    </row>
    <row r="290" spans="2:10" x14ac:dyDescent="0.3">
      <c r="B290" s="155"/>
      <c r="F290" s="155"/>
      <c r="J290" s="155"/>
    </row>
    <row r="291" spans="2:10" x14ac:dyDescent="0.3">
      <c r="B291" s="155"/>
      <c r="F291" s="155"/>
      <c r="J291" s="155"/>
    </row>
    <row r="292" spans="2:10" x14ac:dyDescent="0.3">
      <c r="B292" s="155"/>
      <c r="F292" s="155"/>
      <c r="J292" s="155"/>
    </row>
    <row r="293" spans="2:10" x14ac:dyDescent="0.3">
      <c r="B293" s="155"/>
      <c r="F293" s="155"/>
      <c r="J293" s="155"/>
    </row>
    <row r="294" spans="2:10" x14ac:dyDescent="0.3">
      <c r="B294" s="155"/>
      <c r="F294" s="155"/>
      <c r="J294" s="155"/>
    </row>
    <row r="295" spans="2:10" x14ac:dyDescent="0.3">
      <c r="B295" s="155"/>
      <c r="F295" s="155"/>
      <c r="J295" s="155"/>
    </row>
    <row r="296" spans="2:10" x14ac:dyDescent="0.3">
      <c r="B296" s="155"/>
      <c r="F296" s="155"/>
      <c r="J296" s="155"/>
    </row>
    <row r="297" spans="2:10" x14ac:dyDescent="0.3">
      <c r="B297" s="155"/>
      <c r="F297" s="155"/>
      <c r="J297" s="155"/>
    </row>
    <row r="298" spans="2:10" x14ac:dyDescent="0.3">
      <c r="B298" s="155"/>
      <c r="F298" s="155"/>
      <c r="J298" s="155"/>
    </row>
    <row r="299" spans="2:10" x14ac:dyDescent="0.3">
      <c r="B299" s="155"/>
      <c r="F299" s="155"/>
      <c r="J299" s="155"/>
    </row>
    <row r="300" spans="2:10" x14ac:dyDescent="0.3">
      <c r="B300" s="155"/>
      <c r="F300" s="155"/>
      <c r="J300" s="155"/>
    </row>
    <row r="301" spans="2:10" x14ac:dyDescent="0.3">
      <c r="B301" s="155"/>
      <c r="F301" s="155"/>
      <c r="J301" s="155"/>
    </row>
    <row r="302" spans="2:10" x14ac:dyDescent="0.3">
      <c r="B302" s="155"/>
      <c r="F302" s="155"/>
      <c r="J302" s="155"/>
    </row>
    <row r="303" spans="2:10" x14ac:dyDescent="0.3">
      <c r="B303" s="155"/>
      <c r="F303" s="155"/>
      <c r="J303" s="155"/>
    </row>
    <row r="304" spans="2:10" x14ac:dyDescent="0.3">
      <c r="B304" s="155"/>
      <c r="F304" s="155"/>
      <c r="J304" s="155"/>
    </row>
    <row r="305" spans="2:10" x14ac:dyDescent="0.3">
      <c r="B305" s="155"/>
      <c r="F305" s="155"/>
      <c r="J305" s="155"/>
    </row>
    <row r="306" spans="2:10" x14ac:dyDescent="0.3">
      <c r="B306" s="155"/>
      <c r="F306" s="155"/>
      <c r="J306" s="155"/>
    </row>
    <row r="307" spans="2:10" x14ac:dyDescent="0.3">
      <c r="B307" s="155"/>
      <c r="F307" s="155"/>
      <c r="J307" s="155"/>
    </row>
    <row r="308" spans="2:10" x14ac:dyDescent="0.3">
      <c r="B308" s="155"/>
      <c r="F308" s="155"/>
      <c r="J308" s="155"/>
    </row>
    <row r="309" spans="2:10" x14ac:dyDescent="0.3">
      <c r="B309" s="155"/>
      <c r="F309" s="155"/>
      <c r="J309" s="155"/>
    </row>
    <row r="310" spans="2:10" x14ac:dyDescent="0.3">
      <c r="B310" s="155"/>
      <c r="F310" s="155"/>
      <c r="J310" s="155"/>
    </row>
    <row r="311" spans="2:10" x14ac:dyDescent="0.3">
      <c r="B311" s="155"/>
      <c r="F311" s="155"/>
      <c r="J311" s="155"/>
    </row>
    <row r="312" spans="2:10" x14ac:dyDescent="0.3">
      <c r="B312" s="155"/>
      <c r="F312" s="155"/>
      <c r="J312" s="155"/>
    </row>
    <row r="313" spans="2:10" x14ac:dyDescent="0.3">
      <c r="B313" s="155"/>
      <c r="F313" s="155"/>
      <c r="J313" s="155"/>
    </row>
    <row r="314" spans="2:10" x14ac:dyDescent="0.3">
      <c r="B314" s="155"/>
      <c r="F314" s="155"/>
      <c r="J314" s="155"/>
    </row>
    <row r="315" spans="2:10" x14ac:dyDescent="0.3">
      <c r="B315" s="155"/>
      <c r="F315" s="155"/>
      <c r="J315" s="155"/>
    </row>
    <row r="316" spans="2:10" x14ac:dyDescent="0.3">
      <c r="B316" s="155"/>
      <c r="F316" s="155"/>
      <c r="J316" s="155"/>
    </row>
    <row r="317" spans="2:10" x14ac:dyDescent="0.3">
      <c r="B317" s="155"/>
      <c r="F317" s="155"/>
      <c r="J317" s="155"/>
    </row>
    <row r="318" spans="2:10" x14ac:dyDescent="0.3">
      <c r="B318" s="155"/>
      <c r="F318" s="155"/>
      <c r="J318" s="155"/>
    </row>
    <row r="319" spans="2:10" x14ac:dyDescent="0.3">
      <c r="B319" s="155"/>
      <c r="F319" s="155"/>
      <c r="J319" s="155"/>
    </row>
    <row r="320" spans="2:10" x14ac:dyDescent="0.3">
      <c r="B320" s="155"/>
      <c r="F320" s="155"/>
      <c r="J320" s="155"/>
    </row>
    <row r="321" spans="2:10" x14ac:dyDescent="0.3">
      <c r="B321" s="155"/>
      <c r="F321" s="155"/>
      <c r="J321" s="155"/>
    </row>
    <row r="322" spans="2:10" x14ac:dyDescent="0.3">
      <c r="B322" s="155"/>
      <c r="F322" s="155"/>
      <c r="J322" s="155"/>
    </row>
    <row r="323" spans="2:10" x14ac:dyDescent="0.3">
      <c r="B323" s="155"/>
      <c r="F323" s="155"/>
      <c r="J323" s="155"/>
    </row>
    <row r="324" spans="2:10" x14ac:dyDescent="0.3">
      <c r="B324" s="155"/>
      <c r="F324" s="155"/>
      <c r="J324" s="155"/>
    </row>
    <row r="325" spans="2:10" x14ac:dyDescent="0.3">
      <c r="B325" s="155"/>
      <c r="F325" s="155"/>
      <c r="J325" s="155"/>
    </row>
  </sheetData>
  <protectedRanges>
    <protectedRange sqref="B88:P117 E6:P87" name="opp"/>
    <protectedRange sqref="D6:D66 B13:C42 B48:C52 B43:B47 B55:C66 B67:D87" name="opp_1"/>
  </protectedRanges>
  <mergeCells count="11">
    <mergeCell ref="B1:D1"/>
    <mergeCell ref="F1:H1"/>
    <mergeCell ref="J1:L1"/>
    <mergeCell ref="N1:P1"/>
    <mergeCell ref="R1:S1"/>
    <mergeCell ref="B2:D2"/>
    <mergeCell ref="F2:H2"/>
    <mergeCell ref="J2:L2"/>
    <mergeCell ref="U3:AC4"/>
    <mergeCell ref="N2:P2"/>
    <mergeCell ref="R2:S2"/>
  </mergeCells>
  <phoneticPr fontId="4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A5311-AB04-4759-8287-566430A1D9C4}">
  <sheetPr codeName="Blad25"/>
  <dimension ref="B2:T324"/>
  <sheetViews>
    <sheetView workbookViewId="0">
      <selection activeCell="R4" sqref="R4"/>
    </sheetView>
  </sheetViews>
  <sheetFormatPr defaultRowHeight="14.4" x14ac:dyDescent="0.3"/>
  <cols>
    <col min="1" max="1" width="1.44140625" customWidth="1"/>
    <col min="2" max="2" width="21.6640625" customWidth="1"/>
    <col min="3" max="3" width="9.6640625" bestFit="1" customWidth="1"/>
    <col min="4" max="4" width="9.88671875" bestFit="1" customWidth="1"/>
    <col min="5" max="5" width="1.44140625" customWidth="1"/>
    <col min="6" max="6" width="21.6640625" customWidth="1"/>
    <col min="7" max="7" width="9.6640625" bestFit="1" customWidth="1"/>
    <col min="8" max="8" width="9.88671875" bestFit="1" customWidth="1"/>
    <col min="9" max="9" width="1.44140625" customWidth="1"/>
    <col min="10" max="10" width="21.6640625" customWidth="1"/>
    <col min="11" max="11" width="9.6640625" bestFit="1" customWidth="1"/>
    <col min="12" max="12" width="9.88671875" bestFit="1" customWidth="1"/>
    <col min="13" max="13" width="1.44140625" customWidth="1"/>
    <col min="14" max="14" width="21.6640625" customWidth="1"/>
    <col min="15" max="15" width="9.6640625" bestFit="1" customWidth="1"/>
    <col min="16" max="16" width="9.88671875" bestFit="1" customWidth="1"/>
    <col min="17" max="17" width="1.44140625" customWidth="1"/>
    <col min="18" max="18" width="10" bestFit="1" customWidth="1"/>
    <col min="19" max="19" width="10.109375" bestFit="1" customWidth="1"/>
  </cols>
  <sheetData>
    <row r="2" spans="2:20" ht="15.6" x14ac:dyDescent="0.3">
      <c r="B2" s="1186" t="str">
        <f>'Overzicht project_gewijzigd'!C8</f>
        <v>Kies de zorgvorm</v>
      </c>
      <c r="C2" s="1186"/>
      <c r="D2" s="1186"/>
      <c r="F2" s="1186" t="str">
        <f>'Overzicht project'!C41</f>
        <v>Kies de zorgvorm</v>
      </c>
      <c r="G2" s="1186"/>
      <c r="H2" s="1186"/>
      <c r="J2" s="1186" t="str">
        <f>'Overzicht project'!C42</f>
        <v>Kies de zorgvorm</v>
      </c>
      <c r="K2" s="1186"/>
      <c r="L2" s="1186"/>
      <c r="N2" s="1186" t="s">
        <v>100</v>
      </c>
      <c r="O2" s="1186"/>
      <c r="P2" s="1186"/>
      <c r="R2" s="1186" t="s">
        <v>26</v>
      </c>
      <c r="S2" s="1186"/>
      <c r="T2" s="440"/>
    </row>
    <row r="3" spans="2:20" ht="15" thickBot="1" x14ac:dyDescent="0.35">
      <c r="B3" s="441" t="s">
        <v>106</v>
      </c>
      <c r="C3" s="441" t="s">
        <v>107</v>
      </c>
      <c r="D3" s="441" t="s">
        <v>108</v>
      </c>
      <c r="F3" s="441" t="s">
        <v>106</v>
      </c>
      <c r="G3" s="441" t="s">
        <v>107</v>
      </c>
      <c r="H3" s="441" t="s">
        <v>108</v>
      </c>
      <c r="J3" s="441" t="s">
        <v>106</v>
      </c>
      <c r="K3" s="441" t="s">
        <v>107</v>
      </c>
      <c r="L3" s="441" t="s">
        <v>108</v>
      </c>
      <c r="N3" s="441" t="s">
        <v>106</v>
      </c>
      <c r="O3" s="441" t="s">
        <v>107</v>
      </c>
      <c r="P3" s="441" t="s">
        <v>108</v>
      </c>
      <c r="R3" s="448" t="s">
        <v>107</v>
      </c>
      <c r="S3" s="448" t="s">
        <v>108</v>
      </c>
    </row>
    <row r="4" spans="2:20" ht="15" thickBot="1" x14ac:dyDescent="0.35">
      <c r="B4" s="442" t="s">
        <v>110</v>
      </c>
      <c r="C4" s="443">
        <f>ROUND(SUM(C5:C110),2)</f>
        <v>0</v>
      </c>
      <c r="D4" s="443">
        <f>ROUND(SUM(D5:D110),2)</f>
        <v>0</v>
      </c>
      <c r="F4" s="442" t="s">
        <v>110</v>
      </c>
      <c r="G4" s="443">
        <f>ROUND(SUM(G5:G110),2)</f>
        <v>0</v>
      </c>
      <c r="H4" s="443">
        <f>ROUND(SUM(H5:H110),2)</f>
        <v>0</v>
      </c>
      <c r="J4" s="442" t="s">
        <v>110</v>
      </c>
      <c r="K4" s="443">
        <f>ROUND(SUM(K5:K110),2)</f>
        <v>0</v>
      </c>
      <c r="L4" s="443">
        <f>ROUND(SUM(L5:L110),2)</f>
        <v>0</v>
      </c>
      <c r="N4" s="442" t="s">
        <v>110</v>
      </c>
      <c r="O4" s="443">
        <f>ROUND(SUM(O5:O110),2)</f>
        <v>0</v>
      </c>
      <c r="P4" s="443">
        <f>ROUND(SUM(P5:P110),2)</f>
        <v>0</v>
      </c>
      <c r="R4" s="797">
        <f>'Overzicht project_gewijzigd'!E28</f>
        <v>0</v>
      </c>
      <c r="S4" s="447">
        <f>H4+L4+P4+D4</f>
        <v>0</v>
      </c>
    </row>
    <row r="5" spans="2:20" x14ac:dyDescent="0.3">
      <c r="B5" s="444" t="str">
        <f>Oppervlakte!B$5</f>
        <v>Lokaal</v>
      </c>
      <c r="C5" s="445">
        <f>Oppervlakte!C$5</f>
        <v>0</v>
      </c>
      <c r="D5" s="445">
        <f>Oppervlakte!D$5</f>
        <v>0</v>
      </c>
      <c r="F5" s="444">
        <f>Oppervlakte!F$5</f>
        <v>0</v>
      </c>
      <c r="G5" s="445">
        <f>Oppervlakte!G$5</f>
        <v>0</v>
      </c>
      <c r="H5" s="445">
        <f>Oppervlakte!H$5</f>
        <v>0</v>
      </c>
      <c r="J5" s="444">
        <f>Oppervlakte!J$5</f>
        <v>0</v>
      </c>
      <c r="K5" s="445">
        <f>Oppervlakte!K$5</f>
        <v>0</v>
      </c>
      <c r="L5" s="445">
        <f>Oppervlakte!L$5</f>
        <v>0</v>
      </c>
      <c r="N5" s="444">
        <f>Oppervlakte!N$5</f>
        <v>0</v>
      </c>
      <c r="O5" s="445">
        <f>Oppervlakte!O$5</f>
        <v>0</v>
      </c>
      <c r="P5" s="445">
        <f>Oppervlakte!P$5</f>
        <v>0</v>
      </c>
    </row>
    <row r="6" spans="2:20" x14ac:dyDescent="0.3">
      <c r="B6" s="444" t="str">
        <f>Oppervlakte!B6</f>
        <v>Lokaal</v>
      </c>
      <c r="C6" s="445">
        <f>Oppervlakte!C6</f>
        <v>0</v>
      </c>
      <c r="D6" s="445">
        <f>Oppervlakte!D6</f>
        <v>0</v>
      </c>
      <c r="F6" s="444">
        <f>Oppervlakte!F$5</f>
        <v>0</v>
      </c>
      <c r="G6" s="445">
        <f>Oppervlakte!G$5</f>
        <v>0</v>
      </c>
      <c r="H6" s="445">
        <f>Oppervlakte!H$5</f>
        <v>0</v>
      </c>
      <c r="J6" s="444">
        <f>Oppervlakte!J$5</f>
        <v>0</v>
      </c>
      <c r="K6" s="445">
        <f>Oppervlakte!K$5</f>
        <v>0</v>
      </c>
      <c r="L6" s="445">
        <f>Oppervlakte!L$5</f>
        <v>0</v>
      </c>
      <c r="N6" s="444">
        <f>Oppervlakte!N$5</f>
        <v>0</v>
      </c>
      <c r="O6" s="445">
        <f>Oppervlakte!O$5</f>
        <v>0</v>
      </c>
      <c r="P6" s="445">
        <f>Oppervlakte!P$5</f>
        <v>0</v>
      </c>
    </row>
    <row r="7" spans="2:20" x14ac:dyDescent="0.3">
      <c r="B7" s="444" t="str">
        <f>Oppervlakte!B7</f>
        <v>Lokaal</v>
      </c>
      <c r="C7" s="445">
        <f>Oppervlakte!C7</f>
        <v>0</v>
      </c>
      <c r="D7" s="445">
        <f>Oppervlakte!D7</f>
        <v>0</v>
      </c>
      <c r="F7" s="444">
        <f>Oppervlakte!F$5</f>
        <v>0</v>
      </c>
      <c r="G7" s="445">
        <f>Oppervlakte!G$5</f>
        <v>0</v>
      </c>
      <c r="H7" s="445">
        <f>Oppervlakte!H$5</f>
        <v>0</v>
      </c>
      <c r="J7" s="444">
        <f>Oppervlakte!J$5</f>
        <v>0</v>
      </c>
      <c r="K7" s="445">
        <f>Oppervlakte!K$5</f>
        <v>0</v>
      </c>
      <c r="L7" s="445">
        <f>Oppervlakte!L$5</f>
        <v>0</v>
      </c>
      <c r="N7" s="444">
        <f>Oppervlakte!N$5</f>
        <v>0</v>
      </c>
      <c r="O7" s="445">
        <f>Oppervlakte!O$5</f>
        <v>0</v>
      </c>
      <c r="P7" s="445">
        <f>Oppervlakte!P$5</f>
        <v>0</v>
      </c>
    </row>
    <row r="8" spans="2:20" x14ac:dyDescent="0.3">
      <c r="B8" s="444" t="str">
        <f>Oppervlakte!B8</f>
        <v>Lokaal</v>
      </c>
      <c r="C8" s="445">
        <f>Oppervlakte!C8</f>
        <v>0</v>
      </c>
      <c r="D8" s="445">
        <f>Oppervlakte!D8</f>
        <v>0</v>
      </c>
      <c r="F8" s="444">
        <f>Oppervlakte!F$5</f>
        <v>0</v>
      </c>
      <c r="G8" s="445">
        <f>Oppervlakte!G$5</f>
        <v>0</v>
      </c>
      <c r="H8" s="445">
        <f>Oppervlakte!H$5</f>
        <v>0</v>
      </c>
      <c r="J8" s="444">
        <f>Oppervlakte!J$5</f>
        <v>0</v>
      </c>
      <c r="K8" s="445">
        <f>Oppervlakte!K$5</f>
        <v>0</v>
      </c>
      <c r="L8" s="445">
        <f>Oppervlakte!L$5</f>
        <v>0</v>
      </c>
      <c r="N8" s="444">
        <f>Oppervlakte!N$5</f>
        <v>0</v>
      </c>
      <c r="O8" s="445">
        <f>Oppervlakte!O$5</f>
        <v>0</v>
      </c>
      <c r="P8" s="445">
        <f>Oppervlakte!P$5</f>
        <v>0</v>
      </c>
    </row>
    <row r="9" spans="2:20" x14ac:dyDescent="0.3">
      <c r="B9" s="444" t="str">
        <f>Oppervlakte!B9</f>
        <v>Lokaal</v>
      </c>
      <c r="C9" s="445">
        <f>Oppervlakte!C9</f>
        <v>0</v>
      </c>
      <c r="D9" s="445">
        <f>Oppervlakte!D9</f>
        <v>0</v>
      </c>
      <c r="F9" s="444">
        <f>Oppervlakte!F$5</f>
        <v>0</v>
      </c>
      <c r="G9" s="445">
        <f>Oppervlakte!G$5</f>
        <v>0</v>
      </c>
      <c r="H9" s="445">
        <f>Oppervlakte!H$5</f>
        <v>0</v>
      </c>
      <c r="J9" s="444">
        <f>Oppervlakte!J$5</f>
        <v>0</v>
      </c>
      <c r="K9" s="445">
        <f>Oppervlakte!K$5</f>
        <v>0</v>
      </c>
      <c r="L9" s="445">
        <f>Oppervlakte!L$5</f>
        <v>0</v>
      </c>
      <c r="N9" s="444">
        <f>Oppervlakte!N$5</f>
        <v>0</v>
      </c>
      <c r="O9" s="445">
        <f>Oppervlakte!O$5</f>
        <v>0</v>
      </c>
      <c r="P9" s="445">
        <f>Oppervlakte!P$5</f>
        <v>0</v>
      </c>
    </row>
    <row r="10" spans="2:20" x14ac:dyDescent="0.3">
      <c r="B10" s="444" t="str">
        <f>Oppervlakte!B10</f>
        <v>Lokaal</v>
      </c>
      <c r="C10" s="445">
        <f>Oppervlakte!C10</f>
        <v>0</v>
      </c>
      <c r="D10" s="445">
        <f>Oppervlakte!D10</f>
        <v>0</v>
      </c>
      <c r="F10" s="444">
        <f>Oppervlakte!F$5</f>
        <v>0</v>
      </c>
      <c r="G10" s="445">
        <f>Oppervlakte!G$5</f>
        <v>0</v>
      </c>
      <c r="H10" s="445">
        <f>Oppervlakte!H$5</f>
        <v>0</v>
      </c>
      <c r="J10" s="444">
        <f>Oppervlakte!J$5</f>
        <v>0</v>
      </c>
      <c r="K10" s="445">
        <f>Oppervlakte!K$5</f>
        <v>0</v>
      </c>
      <c r="L10" s="445">
        <f>Oppervlakte!L$5</f>
        <v>0</v>
      </c>
      <c r="N10" s="444">
        <f>Oppervlakte!N$5</f>
        <v>0</v>
      </c>
      <c r="O10" s="445">
        <f>Oppervlakte!O$5</f>
        <v>0</v>
      </c>
      <c r="P10" s="445">
        <f>Oppervlakte!P$5</f>
        <v>0</v>
      </c>
    </row>
    <row r="11" spans="2:20" x14ac:dyDescent="0.3">
      <c r="B11" s="444" t="str">
        <f>Oppervlakte!B11</f>
        <v>Lokaal</v>
      </c>
      <c r="C11" s="445">
        <f>Oppervlakte!C11</f>
        <v>0</v>
      </c>
      <c r="D11" s="445">
        <f>Oppervlakte!D11</f>
        <v>0</v>
      </c>
      <c r="F11" s="444">
        <f>Oppervlakte!F$5</f>
        <v>0</v>
      </c>
      <c r="G11" s="445">
        <f>Oppervlakte!G$5</f>
        <v>0</v>
      </c>
      <c r="H11" s="445">
        <f>Oppervlakte!H$5</f>
        <v>0</v>
      </c>
      <c r="J11" s="444">
        <f>Oppervlakte!J$5</f>
        <v>0</v>
      </c>
      <c r="K11" s="445">
        <f>Oppervlakte!K$5</f>
        <v>0</v>
      </c>
      <c r="L11" s="445">
        <f>Oppervlakte!L$5</f>
        <v>0</v>
      </c>
      <c r="N11" s="444">
        <f>Oppervlakte!N$5</f>
        <v>0</v>
      </c>
      <c r="O11" s="445">
        <f>Oppervlakte!O$5</f>
        <v>0</v>
      </c>
      <c r="P11" s="445">
        <f>Oppervlakte!P$5</f>
        <v>0</v>
      </c>
    </row>
    <row r="12" spans="2:20" x14ac:dyDescent="0.3">
      <c r="B12" s="444" t="str">
        <f>Oppervlakte!B12</f>
        <v>Lokaal</v>
      </c>
      <c r="C12" s="445">
        <f>Oppervlakte!C12</f>
        <v>0</v>
      </c>
      <c r="D12" s="445">
        <f>Oppervlakte!D12</f>
        <v>0</v>
      </c>
      <c r="F12" s="444">
        <f>Oppervlakte!F$5</f>
        <v>0</v>
      </c>
      <c r="G12" s="445">
        <f>Oppervlakte!G$5</f>
        <v>0</v>
      </c>
      <c r="H12" s="445">
        <f>Oppervlakte!H$5</f>
        <v>0</v>
      </c>
      <c r="J12" s="444">
        <f>Oppervlakte!J$5</f>
        <v>0</v>
      </c>
      <c r="K12" s="445">
        <f>Oppervlakte!K$5</f>
        <v>0</v>
      </c>
      <c r="L12" s="445">
        <f>Oppervlakte!L$5</f>
        <v>0</v>
      </c>
      <c r="N12" s="444">
        <f>Oppervlakte!N$5</f>
        <v>0</v>
      </c>
      <c r="O12" s="445">
        <f>Oppervlakte!O$5</f>
        <v>0</v>
      </c>
      <c r="P12" s="445">
        <f>Oppervlakte!P$5</f>
        <v>0</v>
      </c>
    </row>
    <row r="13" spans="2:20" x14ac:dyDescent="0.3">
      <c r="B13" s="444">
        <f>Oppervlakte!B13</f>
        <v>0</v>
      </c>
      <c r="C13" s="445">
        <f>Oppervlakte!C13</f>
        <v>0</v>
      </c>
      <c r="D13" s="445">
        <f>Oppervlakte!D13</f>
        <v>0</v>
      </c>
      <c r="F13" s="444">
        <f>Oppervlakte!F$5</f>
        <v>0</v>
      </c>
      <c r="G13" s="445">
        <f>Oppervlakte!G$5</f>
        <v>0</v>
      </c>
      <c r="H13" s="445">
        <f>Oppervlakte!H$5</f>
        <v>0</v>
      </c>
      <c r="J13" s="444">
        <f>Oppervlakte!J$5</f>
        <v>0</v>
      </c>
      <c r="K13" s="445">
        <f>Oppervlakte!K$5</f>
        <v>0</v>
      </c>
      <c r="L13" s="445">
        <f>Oppervlakte!L$5</f>
        <v>0</v>
      </c>
      <c r="N13" s="444">
        <f>Oppervlakte!N$5</f>
        <v>0</v>
      </c>
      <c r="O13" s="445">
        <f>Oppervlakte!O$5</f>
        <v>0</v>
      </c>
      <c r="P13" s="445">
        <f>Oppervlakte!P$5</f>
        <v>0</v>
      </c>
    </row>
    <row r="14" spans="2:20" x14ac:dyDescent="0.3">
      <c r="B14" s="444">
        <f>Oppervlakte!B14</f>
        <v>0</v>
      </c>
      <c r="C14" s="445">
        <f>Oppervlakte!C14</f>
        <v>0</v>
      </c>
      <c r="D14" s="445">
        <f>Oppervlakte!D14</f>
        <v>0</v>
      </c>
      <c r="F14" s="444">
        <f>Oppervlakte!F$5</f>
        <v>0</v>
      </c>
      <c r="G14" s="445">
        <f>Oppervlakte!G$5</f>
        <v>0</v>
      </c>
      <c r="H14" s="445">
        <f>Oppervlakte!H$5</f>
        <v>0</v>
      </c>
      <c r="J14" s="444">
        <f>Oppervlakte!J$5</f>
        <v>0</v>
      </c>
      <c r="K14" s="445">
        <f>Oppervlakte!K$5</f>
        <v>0</v>
      </c>
      <c r="L14" s="445">
        <f>Oppervlakte!L$5</f>
        <v>0</v>
      </c>
      <c r="N14" s="444">
        <f>Oppervlakte!N$5</f>
        <v>0</v>
      </c>
      <c r="O14" s="445">
        <f>Oppervlakte!O$5</f>
        <v>0</v>
      </c>
      <c r="P14" s="445">
        <f>Oppervlakte!P$5</f>
        <v>0</v>
      </c>
    </row>
    <row r="15" spans="2:20" x14ac:dyDescent="0.3">
      <c r="B15" s="444">
        <f>Oppervlakte!B15</f>
        <v>0</v>
      </c>
      <c r="C15" s="445">
        <f>Oppervlakte!C15</f>
        <v>0</v>
      </c>
      <c r="D15" s="445">
        <f>Oppervlakte!D15</f>
        <v>0</v>
      </c>
      <c r="F15" s="444">
        <f>Oppervlakte!F$5</f>
        <v>0</v>
      </c>
      <c r="G15" s="445">
        <f>Oppervlakte!G$5</f>
        <v>0</v>
      </c>
      <c r="H15" s="445">
        <f>Oppervlakte!H$5</f>
        <v>0</v>
      </c>
      <c r="J15" s="444">
        <f>Oppervlakte!J$5</f>
        <v>0</v>
      </c>
      <c r="K15" s="445">
        <f>Oppervlakte!K$5</f>
        <v>0</v>
      </c>
      <c r="L15" s="445">
        <f>Oppervlakte!L$5</f>
        <v>0</v>
      </c>
      <c r="N15" s="444">
        <f>Oppervlakte!N$5</f>
        <v>0</v>
      </c>
      <c r="O15" s="445">
        <f>Oppervlakte!O$5</f>
        <v>0</v>
      </c>
      <c r="P15" s="445">
        <f>Oppervlakte!P$5</f>
        <v>0</v>
      </c>
    </row>
    <row r="16" spans="2:20" x14ac:dyDescent="0.3">
      <c r="B16" s="444">
        <f>Oppervlakte!B16</f>
        <v>0</v>
      </c>
      <c r="C16" s="445">
        <f>Oppervlakte!C16</f>
        <v>0</v>
      </c>
      <c r="D16" s="445">
        <f>Oppervlakte!D16</f>
        <v>0</v>
      </c>
      <c r="F16" s="444">
        <f>Oppervlakte!F$5</f>
        <v>0</v>
      </c>
      <c r="G16" s="445">
        <f>Oppervlakte!G$5</f>
        <v>0</v>
      </c>
      <c r="H16" s="445">
        <f>Oppervlakte!H$5</f>
        <v>0</v>
      </c>
      <c r="J16" s="444">
        <f>Oppervlakte!J$5</f>
        <v>0</v>
      </c>
      <c r="K16" s="445">
        <f>Oppervlakte!K$5</f>
        <v>0</v>
      </c>
      <c r="L16" s="445">
        <f>Oppervlakte!L$5</f>
        <v>0</v>
      </c>
      <c r="N16" s="444">
        <f>Oppervlakte!N$5</f>
        <v>0</v>
      </c>
      <c r="O16" s="445">
        <f>Oppervlakte!O$5</f>
        <v>0</v>
      </c>
      <c r="P16" s="445">
        <f>Oppervlakte!P$5</f>
        <v>0</v>
      </c>
    </row>
    <row r="17" spans="2:16" x14ac:dyDescent="0.3">
      <c r="B17" s="444">
        <f>Oppervlakte!B17</f>
        <v>0</v>
      </c>
      <c r="C17" s="445">
        <f>Oppervlakte!C17</f>
        <v>0</v>
      </c>
      <c r="D17" s="445">
        <f>Oppervlakte!D17</f>
        <v>0</v>
      </c>
      <c r="F17" s="444">
        <f>Oppervlakte!F$5</f>
        <v>0</v>
      </c>
      <c r="G17" s="445">
        <f>Oppervlakte!G$5</f>
        <v>0</v>
      </c>
      <c r="H17" s="445">
        <f>Oppervlakte!H$5</f>
        <v>0</v>
      </c>
      <c r="J17" s="444">
        <f>Oppervlakte!J$5</f>
        <v>0</v>
      </c>
      <c r="K17" s="445">
        <f>Oppervlakte!K$5</f>
        <v>0</v>
      </c>
      <c r="L17" s="445">
        <f>Oppervlakte!L$5</f>
        <v>0</v>
      </c>
      <c r="N17" s="444">
        <f>Oppervlakte!N$5</f>
        <v>0</v>
      </c>
      <c r="O17" s="445">
        <f>Oppervlakte!O$5</f>
        <v>0</v>
      </c>
      <c r="P17" s="445">
        <f>Oppervlakte!P$5</f>
        <v>0</v>
      </c>
    </row>
    <row r="18" spans="2:16" x14ac:dyDescent="0.3">
      <c r="B18" s="444">
        <f>Oppervlakte!B18</f>
        <v>0</v>
      </c>
      <c r="C18" s="445">
        <f>Oppervlakte!C18</f>
        <v>0</v>
      </c>
      <c r="D18" s="445">
        <f>Oppervlakte!D18</f>
        <v>0</v>
      </c>
      <c r="F18" s="444">
        <f>Oppervlakte!F$5</f>
        <v>0</v>
      </c>
      <c r="G18" s="445">
        <f>Oppervlakte!G$5</f>
        <v>0</v>
      </c>
      <c r="H18" s="445">
        <f>Oppervlakte!H$5</f>
        <v>0</v>
      </c>
      <c r="J18" s="444">
        <f>Oppervlakte!J$5</f>
        <v>0</v>
      </c>
      <c r="K18" s="445">
        <f>Oppervlakte!K$5</f>
        <v>0</v>
      </c>
      <c r="L18" s="445">
        <f>Oppervlakte!L$5</f>
        <v>0</v>
      </c>
      <c r="N18" s="444">
        <f>Oppervlakte!N$5</f>
        <v>0</v>
      </c>
      <c r="O18" s="445">
        <f>Oppervlakte!O$5</f>
        <v>0</v>
      </c>
      <c r="P18" s="445">
        <f>Oppervlakte!P$5</f>
        <v>0</v>
      </c>
    </row>
    <row r="19" spans="2:16" x14ac:dyDescent="0.3">
      <c r="B19" s="444">
        <f>Oppervlakte!B19</f>
        <v>0</v>
      </c>
      <c r="C19" s="445">
        <f>Oppervlakte!C19</f>
        <v>0</v>
      </c>
      <c r="D19" s="445">
        <f>Oppervlakte!D19</f>
        <v>0</v>
      </c>
      <c r="F19" s="444">
        <f>Oppervlakte!F$5</f>
        <v>0</v>
      </c>
      <c r="G19" s="445">
        <f>Oppervlakte!G$5</f>
        <v>0</v>
      </c>
      <c r="H19" s="445">
        <f>Oppervlakte!H$5</f>
        <v>0</v>
      </c>
      <c r="J19" s="444">
        <f>Oppervlakte!J$5</f>
        <v>0</v>
      </c>
      <c r="K19" s="445">
        <f>Oppervlakte!K$5</f>
        <v>0</v>
      </c>
      <c r="L19" s="445">
        <f>Oppervlakte!L$5</f>
        <v>0</v>
      </c>
      <c r="N19" s="444">
        <f>Oppervlakte!N$5</f>
        <v>0</v>
      </c>
      <c r="O19" s="445">
        <f>Oppervlakte!O$5</f>
        <v>0</v>
      </c>
      <c r="P19" s="445">
        <f>Oppervlakte!P$5</f>
        <v>0</v>
      </c>
    </row>
    <row r="20" spans="2:16" x14ac:dyDescent="0.3">
      <c r="B20" s="444">
        <f>Oppervlakte!B20</f>
        <v>0</v>
      </c>
      <c r="C20" s="445">
        <f>Oppervlakte!C20</f>
        <v>0</v>
      </c>
      <c r="D20" s="445">
        <f>Oppervlakte!D20</f>
        <v>0</v>
      </c>
      <c r="F20" s="444">
        <f>Oppervlakte!F$5</f>
        <v>0</v>
      </c>
      <c r="G20" s="445">
        <f>Oppervlakte!G$5</f>
        <v>0</v>
      </c>
      <c r="H20" s="445">
        <f>Oppervlakte!H$5</f>
        <v>0</v>
      </c>
      <c r="J20" s="444">
        <f>Oppervlakte!J$5</f>
        <v>0</v>
      </c>
      <c r="K20" s="445">
        <f>Oppervlakte!K$5</f>
        <v>0</v>
      </c>
      <c r="L20" s="445">
        <f>Oppervlakte!L$5</f>
        <v>0</v>
      </c>
      <c r="N20" s="444">
        <f>Oppervlakte!N$5</f>
        <v>0</v>
      </c>
      <c r="O20" s="445">
        <f>Oppervlakte!O$5</f>
        <v>0</v>
      </c>
      <c r="P20" s="445">
        <f>Oppervlakte!P$5</f>
        <v>0</v>
      </c>
    </row>
    <row r="21" spans="2:16" x14ac:dyDescent="0.3">
      <c r="B21" s="444">
        <f>Oppervlakte!B21</f>
        <v>0</v>
      </c>
      <c r="C21" s="445">
        <f>Oppervlakte!C21</f>
        <v>0</v>
      </c>
      <c r="D21" s="445">
        <f>Oppervlakte!D21</f>
        <v>0</v>
      </c>
      <c r="F21" s="444">
        <f>Oppervlakte!F$5</f>
        <v>0</v>
      </c>
      <c r="G21" s="445">
        <f>Oppervlakte!G$5</f>
        <v>0</v>
      </c>
      <c r="H21" s="445">
        <f>Oppervlakte!H$5</f>
        <v>0</v>
      </c>
      <c r="J21" s="444">
        <f>Oppervlakte!J$5</f>
        <v>0</v>
      </c>
      <c r="K21" s="445">
        <f>Oppervlakte!K$5</f>
        <v>0</v>
      </c>
      <c r="L21" s="445">
        <f>Oppervlakte!L$5</f>
        <v>0</v>
      </c>
      <c r="N21" s="444">
        <f>Oppervlakte!N$5</f>
        <v>0</v>
      </c>
      <c r="O21" s="445">
        <f>Oppervlakte!O$5</f>
        <v>0</v>
      </c>
      <c r="P21" s="445">
        <f>Oppervlakte!P$5</f>
        <v>0</v>
      </c>
    </row>
    <row r="22" spans="2:16" x14ac:dyDescent="0.3">
      <c r="B22" s="444">
        <f>Oppervlakte!B22</f>
        <v>0</v>
      </c>
      <c r="C22" s="445">
        <f>Oppervlakte!C22</f>
        <v>0</v>
      </c>
      <c r="D22" s="445">
        <f>Oppervlakte!D22</f>
        <v>0</v>
      </c>
      <c r="F22" s="444">
        <f>Oppervlakte!F$5</f>
        <v>0</v>
      </c>
      <c r="G22" s="445">
        <f>Oppervlakte!G$5</f>
        <v>0</v>
      </c>
      <c r="H22" s="445">
        <f>Oppervlakte!H$5</f>
        <v>0</v>
      </c>
      <c r="J22" s="444">
        <f>Oppervlakte!J$5</f>
        <v>0</v>
      </c>
      <c r="K22" s="445">
        <f>Oppervlakte!K$5</f>
        <v>0</v>
      </c>
      <c r="L22" s="445">
        <f>Oppervlakte!L$5</f>
        <v>0</v>
      </c>
      <c r="N22" s="444">
        <f>Oppervlakte!N$5</f>
        <v>0</v>
      </c>
      <c r="O22" s="445">
        <f>Oppervlakte!O$5</f>
        <v>0</v>
      </c>
      <c r="P22" s="445">
        <f>Oppervlakte!P$5</f>
        <v>0</v>
      </c>
    </row>
    <row r="23" spans="2:16" x14ac:dyDescent="0.3">
      <c r="B23" s="444">
        <f>Oppervlakte!B23</f>
        <v>0</v>
      </c>
      <c r="C23" s="445">
        <f>Oppervlakte!C23</f>
        <v>0</v>
      </c>
      <c r="D23" s="445">
        <f>Oppervlakte!D23</f>
        <v>0</v>
      </c>
      <c r="F23" s="444">
        <f>Oppervlakte!F$5</f>
        <v>0</v>
      </c>
      <c r="G23" s="445">
        <f>Oppervlakte!G$5</f>
        <v>0</v>
      </c>
      <c r="H23" s="445">
        <f>Oppervlakte!H$5</f>
        <v>0</v>
      </c>
      <c r="J23" s="444">
        <f>Oppervlakte!J$5</f>
        <v>0</v>
      </c>
      <c r="K23" s="445">
        <f>Oppervlakte!K$5</f>
        <v>0</v>
      </c>
      <c r="L23" s="445">
        <f>Oppervlakte!L$5</f>
        <v>0</v>
      </c>
      <c r="N23" s="444">
        <f>Oppervlakte!N$5</f>
        <v>0</v>
      </c>
      <c r="O23" s="445">
        <f>Oppervlakte!O$5</f>
        <v>0</v>
      </c>
      <c r="P23" s="445">
        <f>Oppervlakte!P$5</f>
        <v>0</v>
      </c>
    </row>
    <row r="24" spans="2:16" x14ac:dyDescent="0.3">
      <c r="B24" s="444">
        <f>Oppervlakte!B24</f>
        <v>0</v>
      </c>
      <c r="C24" s="445">
        <f>Oppervlakte!C24</f>
        <v>0</v>
      </c>
      <c r="D24" s="445">
        <f>Oppervlakte!D24</f>
        <v>0</v>
      </c>
      <c r="F24" s="444">
        <f>Oppervlakte!F$5</f>
        <v>0</v>
      </c>
      <c r="G24" s="445">
        <f>Oppervlakte!G$5</f>
        <v>0</v>
      </c>
      <c r="H24" s="445">
        <f>Oppervlakte!H$5</f>
        <v>0</v>
      </c>
      <c r="J24" s="444">
        <f>Oppervlakte!J$5</f>
        <v>0</v>
      </c>
      <c r="K24" s="445">
        <f>Oppervlakte!K$5</f>
        <v>0</v>
      </c>
      <c r="L24" s="445">
        <f>Oppervlakte!L$5</f>
        <v>0</v>
      </c>
      <c r="N24" s="444">
        <f>Oppervlakte!N$5</f>
        <v>0</v>
      </c>
      <c r="O24" s="445">
        <f>Oppervlakte!O$5</f>
        <v>0</v>
      </c>
      <c r="P24" s="445">
        <f>Oppervlakte!P$5</f>
        <v>0</v>
      </c>
    </row>
    <row r="25" spans="2:16" x14ac:dyDescent="0.3">
      <c r="B25" s="444">
        <f>Oppervlakte!B25</f>
        <v>0</v>
      </c>
      <c r="C25" s="445">
        <f>Oppervlakte!C25</f>
        <v>0</v>
      </c>
      <c r="D25" s="445">
        <f>Oppervlakte!D25</f>
        <v>0</v>
      </c>
      <c r="F25" s="444">
        <f>Oppervlakte!F$5</f>
        <v>0</v>
      </c>
      <c r="G25" s="445">
        <f>Oppervlakte!G$5</f>
        <v>0</v>
      </c>
      <c r="H25" s="445">
        <f>Oppervlakte!H$5</f>
        <v>0</v>
      </c>
      <c r="J25" s="444">
        <f>Oppervlakte!J$5</f>
        <v>0</v>
      </c>
      <c r="K25" s="445">
        <f>Oppervlakte!K$5</f>
        <v>0</v>
      </c>
      <c r="L25" s="445">
        <f>Oppervlakte!L$5</f>
        <v>0</v>
      </c>
      <c r="N25" s="444">
        <f>Oppervlakte!N$5</f>
        <v>0</v>
      </c>
      <c r="O25" s="445">
        <f>Oppervlakte!O$5</f>
        <v>0</v>
      </c>
      <c r="P25" s="445">
        <f>Oppervlakte!P$5</f>
        <v>0</v>
      </c>
    </row>
    <row r="26" spans="2:16" x14ac:dyDescent="0.3">
      <c r="B26" s="444">
        <f>Oppervlakte!B26</f>
        <v>0</v>
      </c>
      <c r="C26" s="445">
        <f>Oppervlakte!C26</f>
        <v>0</v>
      </c>
      <c r="D26" s="445">
        <f>Oppervlakte!D26</f>
        <v>0</v>
      </c>
      <c r="F26" s="444">
        <f>Oppervlakte!F$5</f>
        <v>0</v>
      </c>
      <c r="G26" s="445">
        <f>Oppervlakte!G$5</f>
        <v>0</v>
      </c>
      <c r="H26" s="445">
        <f>Oppervlakte!H$5</f>
        <v>0</v>
      </c>
      <c r="J26" s="444">
        <f>Oppervlakte!J$5</f>
        <v>0</v>
      </c>
      <c r="K26" s="445">
        <f>Oppervlakte!K$5</f>
        <v>0</v>
      </c>
      <c r="L26" s="445">
        <f>Oppervlakte!L$5</f>
        <v>0</v>
      </c>
      <c r="N26" s="444">
        <f>Oppervlakte!N$5</f>
        <v>0</v>
      </c>
      <c r="O26" s="445">
        <f>Oppervlakte!O$5</f>
        <v>0</v>
      </c>
      <c r="P26" s="445">
        <f>Oppervlakte!P$5</f>
        <v>0</v>
      </c>
    </row>
    <row r="27" spans="2:16" x14ac:dyDescent="0.3">
      <c r="B27" s="444">
        <f>Oppervlakte!B27</f>
        <v>0</v>
      </c>
      <c r="C27" s="445">
        <f>Oppervlakte!C27</f>
        <v>0</v>
      </c>
      <c r="D27" s="445">
        <f>Oppervlakte!D27</f>
        <v>0</v>
      </c>
      <c r="F27" s="444">
        <f>Oppervlakte!F$5</f>
        <v>0</v>
      </c>
      <c r="G27" s="445">
        <f>Oppervlakte!G$5</f>
        <v>0</v>
      </c>
      <c r="H27" s="445">
        <f>Oppervlakte!H$5</f>
        <v>0</v>
      </c>
      <c r="J27" s="444">
        <f>Oppervlakte!J$5</f>
        <v>0</v>
      </c>
      <c r="K27" s="445">
        <f>Oppervlakte!K$5</f>
        <v>0</v>
      </c>
      <c r="L27" s="445">
        <f>Oppervlakte!L$5</f>
        <v>0</v>
      </c>
      <c r="N27" s="444">
        <f>Oppervlakte!N$5</f>
        <v>0</v>
      </c>
      <c r="O27" s="445">
        <f>Oppervlakte!O$5</f>
        <v>0</v>
      </c>
      <c r="P27" s="445">
        <f>Oppervlakte!P$5</f>
        <v>0</v>
      </c>
    </row>
    <row r="28" spans="2:16" x14ac:dyDescent="0.3">
      <c r="B28" s="444">
        <f>Oppervlakte!B28</f>
        <v>0</v>
      </c>
      <c r="C28" s="445">
        <f>Oppervlakte!C28</f>
        <v>0</v>
      </c>
      <c r="D28" s="445">
        <f>Oppervlakte!D28</f>
        <v>0</v>
      </c>
      <c r="F28" s="444">
        <f>Oppervlakte!F$5</f>
        <v>0</v>
      </c>
      <c r="G28" s="445">
        <f>Oppervlakte!G$5</f>
        <v>0</v>
      </c>
      <c r="H28" s="445">
        <f>Oppervlakte!H$5</f>
        <v>0</v>
      </c>
      <c r="J28" s="444">
        <f>Oppervlakte!J$5</f>
        <v>0</v>
      </c>
      <c r="K28" s="445">
        <f>Oppervlakte!K$5</f>
        <v>0</v>
      </c>
      <c r="L28" s="445">
        <f>Oppervlakte!L$5</f>
        <v>0</v>
      </c>
      <c r="N28" s="444">
        <f>Oppervlakte!N$5</f>
        <v>0</v>
      </c>
      <c r="O28" s="445">
        <f>Oppervlakte!O$5</f>
        <v>0</v>
      </c>
      <c r="P28" s="445">
        <f>Oppervlakte!P$5</f>
        <v>0</v>
      </c>
    </row>
    <row r="29" spans="2:16" x14ac:dyDescent="0.3">
      <c r="B29" s="444">
        <f>Oppervlakte!B29</f>
        <v>0</v>
      </c>
      <c r="C29" s="445">
        <f>Oppervlakte!C29</f>
        <v>0</v>
      </c>
      <c r="D29" s="445">
        <f>Oppervlakte!D29</f>
        <v>0</v>
      </c>
      <c r="F29" s="444">
        <f>Oppervlakte!F$5</f>
        <v>0</v>
      </c>
      <c r="G29" s="445">
        <f>Oppervlakte!G$5</f>
        <v>0</v>
      </c>
      <c r="H29" s="445">
        <f>Oppervlakte!H$5</f>
        <v>0</v>
      </c>
      <c r="J29" s="444">
        <f>Oppervlakte!J$5</f>
        <v>0</v>
      </c>
      <c r="K29" s="445">
        <f>Oppervlakte!K$5</f>
        <v>0</v>
      </c>
      <c r="L29" s="445">
        <f>Oppervlakte!L$5</f>
        <v>0</v>
      </c>
      <c r="N29" s="444">
        <f>Oppervlakte!N$5</f>
        <v>0</v>
      </c>
      <c r="O29" s="445">
        <f>Oppervlakte!O$5</f>
        <v>0</v>
      </c>
      <c r="P29" s="445">
        <f>Oppervlakte!P$5</f>
        <v>0</v>
      </c>
    </row>
    <row r="30" spans="2:16" x14ac:dyDescent="0.3">
      <c r="B30" s="444">
        <f>Oppervlakte!B30</f>
        <v>0</v>
      </c>
      <c r="C30" s="445">
        <f>Oppervlakte!C30</f>
        <v>0</v>
      </c>
      <c r="D30" s="445">
        <f>Oppervlakte!D30</f>
        <v>0</v>
      </c>
      <c r="F30" s="444">
        <f>Oppervlakte!F$5</f>
        <v>0</v>
      </c>
      <c r="G30" s="445">
        <f>Oppervlakte!G$5</f>
        <v>0</v>
      </c>
      <c r="H30" s="445">
        <f>Oppervlakte!H$5</f>
        <v>0</v>
      </c>
      <c r="J30" s="444">
        <f>Oppervlakte!J$5</f>
        <v>0</v>
      </c>
      <c r="K30" s="445">
        <f>Oppervlakte!K$5</f>
        <v>0</v>
      </c>
      <c r="L30" s="445">
        <f>Oppervlakte!L$5</f>
        <v>0</v>
      </c>
      <c r="N30" s="444">
        <f>Oppervlakte!N$5</f>
        <v>0</v>
      </c>
      <c r="O30" s="445">
        <f>Oppervlakte!O$5</f>
        <v>0</v>
      </c>
      <c r="P30" s="445">
        <f>Oppervlakte!P$5</f>
        <v>0</v>
      </c>
    </row>
    <row r="31" spans="2:16" x14ac:dyDescent="0.3">
      <c r="B31" s="444">
        <f>Oppervlakte!B31</f>
        <v>0</v>
      </c>
      <c r="C31" s="445">
        <f>Oppervlakte!C31</f>
        <v>0</v>
      </c>
      <c r="D31" s="445">
        <f>Oppervlakte!D31</f>
        <v>0</v>
      </c>
      <c r="F31" s="444">
        <f>Oppervlakte!F$5</f>
        <v>0</v>
      </c>
      <c r="G31" s="445">
        <f>Oppervlakte!G$5</f>
        <v>0</v>
      </c>
      <c r="H31" s="445">
        <f>Oppervlakte!H$5</f>
        <v>0</v>
      </c>
      <c r="J31" s="444">
        <f>Oppervlakte!J$5</f>
        <v>0</v>
      </c>
      <c r="K31" s="445">
        <f>Oppervlakte!K$5</f>
        <v>0</v>
      </c>
      <c r="L31" s="445">
        <f>Oppervlakte!L$5</f>
        <v>0</v>
      </c>
      <c r="N31" s="444">
        <f>Oppervlakte!N$5</f>
        <v>0</v>
      </c>
      <c r="O31" s="445">
        <f>Oppervlakte!O$5</f>
        <v>0</v>
      </c>
      <c r="P31" s="445">
        <f>Oppervlakte!P$5</f>
        <v>0</v>
      </c>
    </row>
    <row r="32" spans="2:16" x14ac:dyDescent="0.3">
      <c r="B32" s="444">
        <f>Oppervlakte!B32</f>
        <v>0</v>
      </c>
      <c r="C32" s="445">
        <f>Oppervlakte!C32</f>
        <v>0</v>
      </c>
      <c r="D32" s="445">
        <f>Oppervlakte!D32</f>
        <v>0</v>
      </c>
      <c r="F32" s="444">
        <f>Oppervlakte!F$5</f>
        <v>0</v>
      </c>
      <c r="G32" s="445">
        <f>Oppervlakte!G$5</f>
        <v>0</v>
      </c>
      <c r="H32" s="445">
        <f>Oppervlakte!H$5</f>
        <v>0</v>
      </c>
      <c r="J32" s="444">
        <f>Oppervlakte!J$5</f>
        <v>0</v>
      </c>
      <c r="K32" s="445">
        <f>Oppervlakte!K$5</f>
        <v>0</v>
      </c>
      <c r="L32" s="445">
        <f>Oppervlakte!L$5</f>
        <v>0</v>
      </c>
      <c r="N32" s="444">
        <f>Oppervlakte!N$5</f>
        <v>0</v>
      </c>
      <c r="O32" s="445">
        <f>Oppervlakte!O$5</f>
        <v>0</v>
      </c>
      <c r="P32" s="445">
        <f>Oppervlakte!P$5</f>
        <v>0</v>
      </c>
    </row>
    <row r="33" spans="2:16" x14ac:dyDescent="0.3">
      <c r="B33" s="444">
        <f>Oppervlakte!B33</f>
        <v>0</v>
      </c>
      <c r="C33" s="445">
        <f>Oppervlakte!C33</f>
        <v>0</v>
      </c>
      <c r="D33" s="445">
        <f>Oppervlakte!D33</f>
        <v>0</v>
      </c>
      <c r="F33" s="444">
        <f>Oppervlakte!F$5</f>
        <v>0</v>
      </c>
      <c r="G33" s="445">
        <f>Oppervlakte!G$5</f>
        <v>0</v>
      </c>
      <c r="H33" s="445">
        <f>Oppervlakte!H$5</f>
        <v>0</v>
      </c>
      <c r="J33" s="444">
        <f>Oppervlakte!J$5</f>
        <v>0</v>
      </c>
      <c r="K33" s="445">
        <f>Oppervlakte!K$5</f>
        <v>0</v>
      </c>
      <c r="L33" s="445">
        <f>Oppervlakte!L$5</f>
        <v>0</v>
      </c>
      <c r="N33" s="444">
        <f>Oppervlakte!N$5</f>
        <v>0</v>
      </c>
      <c r="O33" s="445">
        <f>Oppervlakte!O$5</f>
        <v>0</v>
      </c>
      <c r="P33" s="445">
        <f>Oppervlakte!P$5</f>
        <v>0</v>
      </c>
    </row>
    <row r="34" spans="2:16" x14ac:dyDescent="0.3">
      <c r="B34" s="444">
        <f>Oppervlakte!B34</f>
        <v>0</v>
      </c>
      <c r="C34" s="445">
        <f>Oppervlakte!C34</f>
        <v>0</v>
      </c>
      <c r="D34" s="445">
        <f>Oppervlakte!D34</f>
        <v>0</v>
      </c>
      <c r="F34" s="444">
        <f>Oppervlakte!F$5</f>
        <v>0</v>
      </c>
      <c r="G34" s="445">
        <f>Oppervlakte!G$5</f>
        <v>0</v>
      </c>
      <c r="H34" s="445">
        <f>Oppervlakte!H$5</f>
        <v>0</v>
      </c>
      <c r="J34" s="444">
        <f>Oppervlakte!J$5</f>
        <v>0</v>
      </c>
      <c r="K34" s="445">
        <f>Oppervlakte!K$5</f>
        <v>0</v>
      </c>
      <c r="L34" s="445">
        <f>Oppervlakte!L$5</f>
        <v>0</v>
      </c>
      <c r="N34" s="444">
        <f>Oppervlakte!N$5</f>
        <v>0</v>
      </c>
      <c r="O34" s="445">
        <f>Oppervlakte!O$5</f>
        <v>0</v>
      </c>
      <c r="P34" s="445">
        <f>Oppervlakte!P$5</f>
        <v>0</v>
      </c>
    </row>
    <row r="35" spans="2:16" x14ac:dyDescent="0.3">
      <c r="B35" s="444">
        <f>Oppervlakte!B35</f>
        <v>0</v>
      </c>
      <c r="C35" s="445">
        <f>Oppervlakte!C35</f>
        <v>0</v>
      </c>
      <c r="D35" s="445">
        <f>Oppervlakte!D35</f>
        <v>0</v>
      </c>
      <c r="F35" s="444">
        <f>Oppervlakte!F$5</f>
        <v>0</v>
      </c>
      <c r="G35" s="445">
        <f>Oppervlakte!G$5</f>
        <v>0</v>
      </c>
      <c r="H35" s="445">
        <f>Oppervlakte!H$5</f>
        <v>0</v>
      </c>
      <c r="J35" s="444">
        <f>Oppervlakte!J$5</f>
        <v>0</v>
      </c>
      <c r="K35" s="445">
        <f>Oppervlakte!K$5</f>
        <v>0</v>
      </c>
      <c r="L35" s="445">
        <f>Oppervlakte!L$5</f>
        <v>0</v>
      </c>
      <c r="N35" s="444">
        <f>Oppervlakte!N$5</f>
        <v>0</v>
      </c>
      <c r="O35" s="445">
        <f>Oppervlakte!O$5</f>
        <v>0</v>
      </c>
      <c r="P35" s="445">
        <f>Oppervlakte!P$5</f>
        <v>0</v>
      </c>
    </row>
    <row r="36" spans="2:16" x14ac:dyDescent="0.3">
      <c r="B36" s="444">
        <f>Oppervlakte!B36</f>
        <v>0</v>
      </c>
      <c r="C36" s="445">
        <f>Oppervlakte!C36</f>
        <v>0</v>
      </c>
      <c r="D36" s="445">
        <f>Oppervlakte!D36</f>
        <v>0</v>
      </c>
      <c r="F36" s="444">
        <f>Oppervlakte!F$5</f>
        <v>0</v>
      </c>
      <c r="G36" s="445">
        <f>Oppervlakte!G$5</f>
        <v>0</v>
      </c>
      <c r="H36" s="445">
        <f>Oppervlakte!H$5</f>
        <v>0</v>
      </c>
      <c r="J36" s="444">
        <f>Oppervlakte!J$5</f>
        <v>0</v>
      </c>
      <c r="K36" s="445">
        <f>Oppervlakte!K$5</f>
        <v>0</v>
      </c>
      <c r="L36" s="445">
        <f>Oppervlakte!L$5</f>
        <v>0</v>
      </c>
      <c r="N36" s="444">
        <f>Oppervlakte!N$5</f>
        <v>0</v>
      </c>
      <c r="O36" s="445">
        <f>Oppervlakte!O$5</f>
        <v>0</v>
      </c>
      <c r="P36" s="445">
        <f>Oppervlakte!P$5</f>
        <v>0</v>
      </c>
    </row>
    <row r="37" spans="2:16" x14ac:dyDescent="0.3">
      <c r="B37" s="444">
        <f>Oppervlakte!B37</f>
        <v>0</v>
      </c>
      <c r="C37" s="445">
        <f>Oppervlakte!C37</f>
        <v>0</v>
      </c>
      <c r="D37" s="445">
        <f>Oppervlakte!D37</f>
        <v>0</v>
      </c>
      <c r="F37" s="444">
        <f>Oppervlakte!F$5</f>
        <v>0</v>
      </c>
      <c r="G37" s="445">
        <f>Oppervlakte!G$5</f>
        <v>0</v>
      </c>
      <c r="H37" s="445">
        <f>Oppervlakte!H$5</f>
        <v>0</v>
      </c>
      <c r="J37" s="444">
        <f>Oppervlakte!J$5</f>
        <v>0</v>
      </c>
      <c r="K37" s="445">
        <f>Oppervlakte!K$5</f>
        <v>0</v>
      </c>
      <c r="L37" s="445">
        <f>Oppervlakte!L$5</f>
        <v>0</v>
      </c>
      <c r="N37" s="444">
        <f>Oppervlakte!N$5</f>
        <v>0</v>
      </c>
      <c r="O37" s="445">
        <f>Oppervlakte!O$5</f>
        <v>0</v>
      </c>
      <c r="P37" s="445">
        <f>Oppervlakte!P$5</f>
        <v>0</v>
      </c>
    </row>
    <row r="38" spans="2:16" x14ac:dyDescent="0.3">
      <c r="B38" s="444">
        <f>Oppervlakte!B38</f>
        <v>0</v>
      </c>
      <c r="C38" s="445">
        <f>Oppervlakte!C38</f>
        <v>0</v>
      </c>
      <c r="D38" s="445">
        <f>Oppervlakte!D38</f>
        <v>0</v>
      </c>
      <c r="F38" s="444">
        <f>Oppervlakte!F$5</f>
        <v>0</v>
      </c>
      <c r="G38" s="445">
        <f>Oppervlakte!G$5</f>
        <v>0</v>
      </c>
      <c r="H38" s="445">
        <f>Oppervlakte!H$5</f>
        <v>0</v>
      </c>
      <c r="J38" s="444">
        <f>Oppervlakte!J$5</f>
        <v>0</v>
      </c>
      <c r="K38" s="445">
        <f>Oppervlakte!K$5</f>
        <v>0</v>
      </c>
      <c r="L38" s="445">
        <f>Oppervlakte!L$5</f>
        <v>0</v>
      </c>
      <c r="N38" s="444">
        <f>Oppervlakte!N$5</f>
        <v>0</v>
      </c>
      <c r="O38" s="445">
        <f>Oppervlakte!O$5</f>
        <v>0</v>
      </c>
      <c r="P38" s="445">
        <f>Oppervlakte!P$5</f>
        <v>0</v>
      </c>
    </row>
    <row r="39" spans="2:16" x14ac:dyDescent="0.3">
      <c r="B39" s="444">
        <f>Oppervlakte!B39</f>
        <v>0</v>
      </c>
      <c r="C39" s="445">
        <f>Oppervlakte!C39</f>
        <v>0</v>
      </c>
      <c r="D39" s="445">
        <f>Oppervlakte!D39</f>
        <v>0</v>
      </c>
      <c r="F39" s="444">
        <f>Oppervlakte!F$5</f>
        <v>0</v>
      </c>
      <c r="G39" s="445">
        <f>Oppervlakte!G$5</f>
        <v>0</v>
      </c>
      <c r="H39" s="445">
        <f>Oppervlakte!H$5</f>
        <v>0</v>
      </c>
      <c r="J39" s="444">
        <f>Oppervlakte!J$5</f>
        <v>0</v>
      </c>
      <c r="K39" s="445">
        <f>Oppervlakte!K$5</f>
        <v>0</v>
      </c>
      <c r="L39" s="445">
        <f>Oppervlakte!L$5</f>
        <v>0</v>
      </c>
      <c r="N39" s="444">
        <f>Oppervlakte!N$5</f>
        <v>0</v>
      </c>
      <c r="O39" s="445">
        <f>Oppervlakte!O$5</f>
        <v>0</v>
      </c>
      <c r="P39" s="445">
        <f>Oppervlakte!P$5</f>
        <v>0</v>
      </c>
    </row>
    <row r="40" spans="2:16" x14ac:dyDescent="0.3">
      <c r="B40" s="444">
        <f>Oppervlakte!B40</f>
        <v>0</v>
      </c>
      <c r="C40" s="445">
        <f>Oppervlakte!C40</f>
        <v>0</v>
      </c>
      <c r="D40" s="445">
        <f>Oppervlakte!D40</f>
        <v>0</v>
      </c>
      <c r="F40" s="444">
        <f>Oppervlakte!F$5</f>
        <v>0</v>
      </c>
      <c r="G40" s="445">
        <f>Oppervlakte!G$5</f>
        <v>0</v>
      </c>
      <c r="H40" s="445">
        <f>Oppervlakte!H$5</f>
        <v>0</v>
      </c>
      <c r="J40" s="444">
        <f>Oppervlakte!J$5</f>
        <v>0</v>
      </c>
      <c r="K40" s="445">
        <f>Oppervlakte!K$5</f>
        <v>0</v>
      </c>
      <c r="L40" s="445">
        <f>Oppervlakte!L$5</f>
        <v>0</v>
      </c>
      <c r="N40" s="444">
        <f>Oppervlakte!N$5</f>
        <v>0</v>
      </c>
      <c r="O40" s="445">
        <f>Oppervlakte!O$5</f>
        <v>0</v>
      </c>
      <c r="P40" s="445">
        <f>Oppervlakte!P$5</f>
        <v>0</v>
      </c>
    </row>
    <row r="41" spans="2:16" x14ac:dyDescent="0.3">
      <c r="B41" s="444">
        <f>Oppervlakte!B41</f>
        <v>0</v>
      </c>
      <c r="C41" s="445">
        <f>Oppervlakte!C41</f>
        <v>0</v>
      </c>
      <c r="D41" s="445">
        <f>Oppervlakte!D41</f>
        <v>0</v>
      </c>
      <c r="F41" s="444">
        <f>Oppervlakte!F$5</f>
        <v>0</v>
      </c>
      <c r="G41" s="445">
        <f>Oppervlakte!G$5</f>
        <v>0</v>
      </c>
      <c r="H41" s="445">
        <f>Oppervlakte!H$5</f>
        <v>0</v>
      </c>
      <c r="J41" s="444">
        <f>Oppervlakte!J$5</f>
        <v>0</v>
      </c>
      <c r="K41" s="445">
        <f>Oppervlakte!K$5</f>
        <v>0</v>
      </c>
      <c r="L41" s="445">
        <f>Oppervlakte!L$5</f>
        <v>0</v>
      </c>
      <c r="N41" s="444">
        <f>Oppervlakte!N$5</f>
        <v>0</v>
      </c>
      <c r="O41" s="445">
        <f>Oppervlakte!O$5</f>
        <v>0</v>
      </c>
      <c r="P41" s="445">
        <f>Oppervlakte!P$5</f>
        <v>0</v>
      </c>
    </row>
    <row r="42" spans="2:16" x14ac:dyDescent="0.3">
      <c r="B42" s="444">
        <f>Oppervlakte!B42</f>
        <v>0</v>
      </c>
      <c r="C42" s="445">
        <f>Oppervlakte!C42</f>
        <v>0</v>
      </c>
      <c r="D42" s="445">
        <f>Oppervlakte!D42</f>
        <v>0</v>
      </c>
      <c r="F42" s="444">
        <f>Oppervlakte!F$5</f>
        <v>0</v>
      </c>
      <c r="G42" s="445">
        <f>Oppervlakte!G$5</f>
        <v>0</v>
      </c>
      <c r="H42" s="445">
        <f>Oppervlakte!H$5</f>
        <v>0</v>
      </c>
      <c r="J42" s="444">
        <f>Oppervlakte!J$5</f>
        <v>0</v>
      </c>
      <c r="K42" s="445">
        <f>Oppervlakte!K$5</f>
        <v>0</v>
      </c>
      <c r="L42" s="445">
        <f>Oppervlakte!L$5</f>
        <v>0</v>
      </c>
      <c r="N42" s="444">
        <f>Oppervlakte!N$5</f>
        <v>0</v>
      </c>
      <c r="O42" s="445">
        <f>Oppervlakte!O$5</f>
        <v>0</v>
      </c>
      <c r="P42" s="445">
        <f>Oppervlakte!P$5</f>
        <v>0</v>
      </c>
    </row>
    <row r="43" spans="2:16" x14ac:dyDescent="0.3">
      <c r="B43" s="444">
        <f>Oppervlakte!B43</f>
        <v>0</v>
      </c>
      <c r="C43" s="445">
        <f>Oppervlakte!C43</f>
        <v>0</v>
      </c>
      <c r="D43" s="445">
        <f>Oppervlakte!D43</f>
        <v>0</v>
      </c>
      <c r="F43" s="444">
        <f>Oppervlakte!F$5</f>
        <v>0</v>
      </c>
      <c r="G43" s="445">
        <f>Oppervlakte!G$5</f>
        <v>0</v>
      </c>
      <c r="H43" s="445">
        <f>Oppervlakte!H$5</f>
        <v>0</v>
      </c>
      <c r="J43" s="444">
        <f>Oppervlakte!J$5</f>
        <v>0</v>
      </c>
      <c r="K43" s="445">
        <f>Oppervlakte!K$5</f>
        <v>0</v>
      </c>
      <c r="L43" s="445">
        <f>Oppervlakte!L$5</f>
        <v>0</v>
      </c>
      <c r="N43" s="444">
        <f>Oppervlakte!N$5</f>
        <v>0</v>
      </c>
      <c r="O43" s="445">
        <f>Oppervlakte!O$5</f>
        <v>0</v>
      </c>
      <c r="P43" s="445">
        <f>Oppervlakte!P$5</f>
        <v>0</v>
      </c>
    </row>
    <row r="44" spans="2:16" x14ac:dyDescent="0.3">
      <c r="B44" s="444">
        <f>Oppervlakte!B44</f>
        <v>0</v>
      </c>
      <c r="C44" s="445">
        <f>Oppervlakte!C44</f>
        <v>0</v>
      </c>
      <c r="D44" s="445">
        <f>Oppervlakte!D44</f>
        <v>0</v>
      </c>
      <c r="F44" s="444">
        <f>Oppervlakte!F$5</f>
        <v>0</v>
      </c>
      <c r="G44" s="445">
        <f>Oppervlakte!G$5</f>
        <v>0</v>
      </c>
      <c r="H44" s="445">
        <f>Oppervlakte!H$5</f>
        <v>0</v>
      </c>
      <c r="J44" s="444">
        <f>Oppervlakte!J$5</f>
        <v>0</v>
      </c>
      <c r="K44" s="445">
        <f>Oppervlakte!K$5</f>
        <v>0</v>
      </c>
      <c r="L44" s="445">
        <f>Oppervlakte!L$5</f>
        <v>0</v>
      </c>
      <c r="N44" s="444">
        <f>Oppervlakte!N$5</f>
        <v>0</v>
      </c>
      <c r="O44" s="445">
        <f>Oppervlakte!O$5</f>
        <v>0</v>
      </c>
      <c r="P44" s="445">
        <f>Oppervlakte!P$5</f>
        <v>0</v>
      </c>
    </row>
    <row r="45" spans="2:16" x14ac:dyDescent="0.3">
      <c r="B45" s="444">
        <f>Oppervlakte!B45</f>
        <v>0</v>
      </c>
      <c r="C45" s="445">
        <f>Oppervlakte!C45</f>
        <v>0</v>
      </c>
      <c r="D45" s="445">
        <f>Oppervlakte!D45</f>
        <v>0</v>
      </c>
      <c r="F45" s="444">
        <f>Oppervlakte!F$5</f>
        <v>0</v>
      </c>
      <c r="G45" s="445">
        <f>Oppervlakte!G$5</f>
        <v>0</v>
      </c>
      <c r="H45" s="445">
        <f>Oppervlakte!H$5</f>
        <v>0</v>
      </c>
      <c r="J45" s="444">
        <f>Oppervlakte!J$5</f>
        <v>0</v>
      </c>
      <c r="K45" s="445">
        <f>Oppervlakte!K$5</f>
        <v>0</v>
      </c>
      <c r="L45" s="445">
        <f>Oppervlakte!L$5</f>
        <v>0</v>
      </c>
      <c r="N45" s="444">
        <f>Oppervlakte!N$5</f>
        <v>0</v>
      </c>
      <c r="O45" s="445">
        <f>Oppervlakte!O$5</f>
        <v>0</v>
      </c>
      <c r="P45" s="445">
        <f>Oppervlakte!P$5</f>
        <v>0</v>
      </c>
    </row>
    <row r="46" spans="2:16" x14ac:dyDescent="0.3">
      <c r="B46" s="444">
        <f>Oppervlakte!B46</f>
        <v>0</v>
      </c>
      <c r="C46" s="445">
        <f>Oppervlakte!C46</f>
        <v>0</v>
      </c>
      <c r="D46" s="445">
        <f>Oppervlakte!D46</f>
        <v>0</v>
      </c>
      <c r="F46" s="444">
        <f>Oppervlakte!F$5</f>
        <v>0</v>
      </c>
      <c r="G46" s="445">
        <f>Oppervlakte!G$5</f>
        <v>0</v>
      </c>
      <c r="H46" s="445">
        <f>Oppervlakte!H$5</f>
        <v>0</v>
      </c>
      <c r="J46" s="444">
        <f>Oppervlakte!J$5</f>
        <v>0</v>
      </c>
      <c r="K46" s="445">
        <f>Oppervlakte!K$5</f>
        <v>0</v>
      </c>
      <c r="L46" s="445">
        <f>Oppervlakte!L$5</f>
        <v>0</v>
      </c>
      <c r="N46" s="444">
        <f>Oppervlakte!N$5</f>
        <v>0</v>
      </c>
      <c r="O46" s="445">
        <f>Oppervlakte!O$5</f>
        <v>0</v>
      </c>
      <c r="P46" s="445">
        <f>Oppervlakte!P$5</f>
        <v>0</v>
      </c>
    </row>
    <row r="47" spans="2:16" x14ac:dyDescent="0.3">
      <c r="B47" s="444">
        <f>Oppervlakte!B47</f>
        <v>0</v>
      </c>
      <c r="C47" s="445">
        <f>Oppervlakte!C47</f>
        <v>0</v>
      </c>
      <c r="D47" s="445">
        <f>Oppervlakte!D47</f>
        <v>0</v>
      </c>
      <c r="F47" s="444">
        <f>Oppervlakte!F$5</f>
        <v>0</v>
      </c>
      <c r="G47" s="445">
        <f>Oppervlakte!G$5</f>
        <v>0</v>
      </c>
      <c r="H47" s="445">
        <f>Oppervlakte!H$5</f>
        <v>0</v>
      </c>
      <c r="J47" s="444">
        <f>Oppervlakte!J$5</f>
        <v>0</v>
      </c>
      <c r="K47" s="445">
        <f>Oppervlakte!K$5</f>
        <v>0</v>
      </c>
      <c r="L47" s="445">
        <f>Oppervlakte!L$5</f>
        <v>0</v>
      </c>
      <c r="N47" s="444">
        <f>Oppervlakte!N$5</f>
        <v>0</v>
      </c>
      <c r="O47" s="445">
        <f>Oppervlakte!O$5</f>
        <v>0</v>
      </c>
      <c r="P47" s="445">
        <f>Oppervlakte!P$5</f>
        <v>0</v>
      </c>
    </row>
    <row r="48" spans="2:16" x14ac:dyDescent="0.3">
      <c r="B48" s="444">
        <f>Oppervlakte!B48</f>
        <v>0</v>
      </c>
      <c r="C48" s="445">
        <f>Oppervlakte!C48</f>
        <v>0</v>
      </c>
      <c r="D48" s="445">
        <f>Oppervlakte!D48</f>
        <v>0</v>
      </c>
      <c r="F48" s="444">
        <f>Oppervlakte!F$5</f>
        <v>0</v>
      </c>
      <c r="G48" s="445">
        <f>Oppervlakte!G$5</f>
        <v>0</v>
      </c>
      <c r="H48" s="445">
        <f>Oppervlakte!H$5</f>
        <v>0</v>
      </c>
      <c r="J48" s="444">
        <f>Oppervlakte!J$5</f>
        <v>0</v>
      </c>
      <c r="K48" s="445">
        <f>Oppervlakte!K$5</f>
        <v>0</v>
      </c>
      <c r="L48" s="445">
        <f>Oppervlakte!L$5</f>
        <v>0</v>
      </c>
      <c r="N48" s="444">
        <f>Oppervlakte!N$5</f>
        <v>0</v>
      </c>
      <c r="O48" s="445">
        <f>Oppervlakte!O$5</f>
        <v>0</v>
      </c>
      <c r="P48" s="445">
        <f>Oppervlakte!P$5</f>
        <v>0</v>
      </c>
    </row>
    <row r="49" spans="2:16" x14ac:dyDescent="0.3">
      <c r="B49" s="444">
        <f>Oppervlakte!B49</f>
        <v>0</v>
      </c>
      <c r="C49" s="445">
        <f>Oppervlakte!C49</f>
        <v>0</v>
      </c>
      <c r="D49" s="445">
        <f>Oppervlakte!D49</f>
        <v>0</v>
      </c>
      <c r="F49" s="444">
        <f>Oppervlakte!F$5</f>
        <v>0</v>
      </c>
      <c r="G49" s="445">
        <f>Oppervlakte!G$5</f>
        <v>0</v>
      </c>
      <c r="H49" s="445">
        <f>Oppervlakte!H$5</f>
        <v>0</v>
      </c>
      <c r="J49" s="444">
        <f>Oppervlakte!J$5</f>
        <v>0</v>
      </c>
      <c r="K49" s="445">
        <f>Oppervlakte!K$5</f>
        <v>0</v>
      </c>
      <c r="L49" s="445">
        <f>Oppervlakte!L$5</f>
        <v>0</v>
      </c>
      <c r="N49" s="444">
        <f>Oppervlakte!N$5</f>
        <v>0</v>
      </c>
      <c r="O49" s="445">
        <f>Oppervlakte!O$5</f>
        <v>0</v>
      </c>
      <c r="P49" s="445">
        <f>Oppervlakte!P$5</f>
        <v>0</v>
      </c>
    </row>
    <row r="50" spans="2:16" x14ac:dyDescent="0.3">
      <c r="B50" s="444">
        <f>Oppervlakte!B50</f>
        <v>0</v>
      </c>
      <c r="C50" s="445">
        <f>Oppervlakte!C50</f>
        <v>0</v>
      </c>
      <c r="D50" s="445">
        <f>Oppervlakte!D50</f>
        <v>0</v>
      </c>
      <c r="F50" s="444">
        <f>Oppervlakte!F$5</f>
        <v>0</v>
      </c>
      <c r="G50" s="445">
        <f>Oppervlakte!G$5</f>
        <v>0</v>
      </c>
      <c r="H50" s="445">
        <f>Oppervlakte!H$5</f>
        <v>0</v>
      </c>
      <c r="J50" s="444">
        <f>Oppervlakte!J$5</f>
        <v>0</v>
      </c>
      <c r="K50" s="445">
        <f>Oppervlakte!K$5</f>
        <v>0</v>
      </c>
      <c r="L50" s="445">
        <f>Oppervlakte!L$5</f>
        <v>0</v>
      </c>
      <c r="N50" s="444">
        <f>Oppervlakte!N$5</f>
        <v>0</v>
      </c>
      <c r="O50" s="445">
        <f>Oppervlakte!O$5</f>
        <v>0</v>
      </c>
      <c r="P50" s="445">
        <f>Oppervlakte!P$5</f>
        <v>0</v>
      </c>
    </row>
    <row r="51" spans="2:16" x14ac:dyDescent="0.3">
      <c r="B51" s="444">
        <f>Oppervlakte!B51</f>
        <v>0</v>
      </c>
      <c r="C51" s="445">
        <f>Oppervlakte!C51</f>
        <v>0</v>
      </c>
      <c r="D51" s="445">
        <f>Oppervlakte!D51</f>
        <v>0</v>
      </c>
      <c r="F51" s="444">
        <f>Oppervlakte!F$5</f>
        <v>0</v>
      </c>
      <c r="G51" s="445">
        <f>Oppervlakte!G$5</f>
        <v>0</v>
      </c>
      <c r="H51" s="445">
        <f>Oppervlakte!H$5</f>
        <v>0</v>
      </c>
      <c r="J51" s="444">
        <f>Oppervlakte!J$5</f>
        <v>0</v>
      </c>
      <c r="K51" s="445">
        <f>Oppervlakte!K$5</f>
        <v>0</v>
      </c>
      <c r="L51" s="445">
        <f>Oppervlakte!L$5</f>
        <v>0</v>
      </c>
      <c r="N51" s="444">
        <f>Oppervlakte!N$5</f>
        <v>0</v>
      </c>
      <c r="O51" s="445">
        <f>Oppervlakte!O$5</f>
        <v>0</v>
      </c>
      <c r="P51" s="445">
        <f>Oppervlakte!P$5</f>
        <v>0</v>
      </c>
    </row>
    <row r="52" spans="2:16" x14ac:dyDescent="0.3">
      <c r="B52" s="444">
        <f>Oppervlakte!B52</f>
        <v>0</v>
      </c>
      <c r="C52" s="445">
        <f>Oppervlakte!C52</f>
        <v>0</v>
      </c>
      <c r="D52" s="445">
        <f>Oppervlakte!D52</f>
        <v>0</v>
      </c>
      <c r="F52" s="444">
        <f>Oppervlakte!F$5</f>
        <v>0</v>
      </c>
      <c r="G52" s="445">
        <f>Oppervlakte!G$5</f>
        <v>0</v>
      </c>
      <c r="H52" s="445">
        <f>Oppervlakte!H$5</f>
        <v>0</v>
      </c>
      <c r="J52" s="444">
        <f>Oppervlakte!J$5</f>
        <v>0</v>
      </c>
      <c r="K52" s="445">
        <f>Oppervlakte!K$5</f>
        <v>0</v>
      </c>
      <c r="L52" s="445">
        <f>Oppervlakte!L$5</f>
        <v>0</v>
      </c>
      <c r="N52" s="444">
        <f>Oppervlakte!N$5</f>
        <v>0</v>
      </c>
      <c r="O52" s="445">
        <f>Oppervlakte!O$5</f>
        <v>0</v>
      </c>
      <c r="P52" s="445">
        <f>Oppervlakte!P$5</f>
        <v>0</v>
      </c>
    </row>
    <row r="53" spans="2:16" x14ac:dyDescent="0.3">
      <c r="B53" s="444">
        <f>Oppervlakte!B53</f>
        <v>0</v>
      </c>
      <c r="C53" s="445">
        <f>Oppervlakte!C53</f>
        <v>0</v>
      </c>
      <c r="D53" s="445">
        <f>Oppervlakte!D53</f>
        <v>0</v>
      </c>
      <c r="F53" s="444">
        <f>Oppervlakte!F$5</f>
        <v>0</v>
      </c>
      <c r="G53" s="445">
        <f>Oppervlakte!G$5</f>
        <v>0</v>
      </c>
      <c r="H53" s="445">
        <f>Oppervlakte!H$5</f>
        <v>0</v>
      </c>
      <c r="J53" s="444">
        <f>Oppervlakte!J$5</f>
        <v>0</v>
      </c>
      <c r="K53" s="445">
        <f>Oppervlakte!K$5</f>
        <v>0</v>
      </c>
      <c r="L53" s="445">
        <f>Oppervlakte!L$5</f>
        <v>0</v>
      </c>
      <c r="N53" s="444">
        <f>Oppervlakte!N$5</f>
        <v>0</v>
      </c>
      <c r="O53" s="445">
        <f>Oppervlakte!O$5</f>
        <v>0</v>
      </c>
      <c r="P53" s="445">
        <f>Oppervlakte!P$5</f>
        <v>0</v>
      </c>
    </row>
    <row r="54" spans="2:16" x14ac:dyDescent="0.3">
      <c r="B54" s="444">
        <f>Oppervlakte!B54</f>
        <v>0</v>
      </c>
      <c r="C54" s="445">
        <f>Oppervlakte!C54</f>
        <v>0</v>
      </c>
      <c r="D54" s="445">
        <f>Oppervlakte!D54</f>
        <v>0</v>
      </c>
      <c r="F54" s="444">
        <f>Oppervlakte!F$5</f>
        <v>0</v>
      </c>
      <c r="G54" s="445">
        <f>Oppervlakte!G$5</f>
        <v>0</v>
      </c>
      <c r="H54" s="445">
        <f>Oppervlakte!H$5</f>
        <v>0</v>
      </c>
      <c r="J54" s="444">
        <f>Oppervlakte!J$5</f>
        <v>0</v>
      </c>
      <c r="K54" s="445">
        <f>Oppervlakte!K$5</f>
        <v>0</v>
      </c>
      <c r="L54" s="445">
        <f>Oppervlakte!L$5</f>
        <v>0</v>
      </c>
      <c r="N54" s="444">
        <f>Oppervlakte!N$5</f>
        <v>0</v>
      </c>
      <c r="O54" s="445">
        <f>Oppervlakte!O$5</f>
        <v>0</v>
      </c>
      <c r="P54" s="445">
        <f>Oppervlakte!P$5</f>
        <v>0</v>
      </c>
    </row>
    <row r="55" spans="2:16" x14ac:dyDescent="0.3">
      <c r="B55" s="444">
        <f>Oppervlakte!B55</f>
        <v>0</v>
      </c>
      <c r="C55" s="445">
        <f>Oppervlakte!C55</f>
        <v>0</v>
      </c>
      <c r="D55" s="445">
        <f>Oppervlakte!D55</f>
        <v>0</v>
      </c>
      <c r="F55" s="444">
        <f>Oppervlakte!F$5</f>
        <v>0</v>
      </c>
      <c r="G55" s="445">
        <f>Oppervlakte!G$5</f>
        <v>0</v>
      </c>
      <c r="H55" s="445">
        <f>Oppervlakte!H$5</f>
        <v>0</v>
      </c>
      <c r="J55" s="444">
        <f>Oppervlakte!J$5</f>
        <v>0</v>
      </c>
      <c r="K55" s="445">
        <f>Oppervlakte!K$5</f>
        <v>0</v>
      </c>
      <c r="L55" s="445">
        <f>Oppervlakte!L$5</f>
        <v>0</v>
      </c>
      <c r="N55" s="444">
        <f>Oppervlakte!N$5</f>
        <v>0</v>
      </c>
      <c r="O55" s="445">
        <f>Oppervlakte!O$5</f>
        <v>0</v>
      </c>
      <c r="P55" s="445">
        <f>Oppervlakte!P$5</f>
        <v>0</v>
      </c>
    </row>
    <row r="56" spans="2:16" x14ac:dyDescent="0.3">
      <c r="B56" s="444">
        <f>Oppervlakte!B56</f>
        <v>0</v>
      </c>
      <c r="C56" s="445">
        <f>Oppervlakte!C56</f>
        <v>0</v>
      </c>
      <c r="D56" s="445">
        <f>Oppervlakte!D56</f>
        <v>0</v>
      </c>
      <c r="F56" s="444">
        <f>Oppervlakte!F$5</f>
        <v>0</v>
      </c>
      <c r="G56" s="445">
        <f>Oppervlakte!G$5</f>
        <v>0</v>
      </c>
      <c r="H56" s="445">
        <f>Oppervlakte!H$5</f>
        <v>0</v>
      </c>
      <c r="J56" s="444">
        <f>Oppervlakte!J$5</f>
        <v>0</v>
      </c>
      <c r="K56" s="445">
        <f>Oppervlakte!K$5</f>
        <v>0</v>
      </c>
      <c r="L56" s="445">
        <f>Oppervlakte!L$5</f>
        <v>0</v>
      </c>
      <c r="N56" s="444">
        <f>Oppervlakte!N$5</f>
        <v>0</v>
      </c>
      <c r="O56" s="445">
        <f>Oppervlakte!O$5</f>
        <v>0</v>
      </c>
      <c r="P56" s="445">
        <f>Oppervlakte!P$5</f>
        <v>0</v>
      </c>
    </row>
    <row r="57" spans="2:16" x14ac:dyDescent="0.3">
      <c r="B57" s="444">
        <f>Oppervlakte!B57</f>
        <v>0</v>
      </c>
      <c r="C57" s="445">
        <f>Oppervlakte!C57</f>
        <v>0</v>
      </c>
      <c r="D57" s="445">
        <f>Oppervlakte!D57</f>
        <v>0</v>
      </c>
      <c r="F57" s="444">
        <f>Oppervlakte!F$5</f>
        <v>0</v>
      </c>
      <c r="G57" s="445">
        <f>Oppervlakte!G$5</f>
        <v>0</v>
      </c>
      <c r="H57" s="445">
        <f>Oppervlakte!H$5</f>
        <v>0</v>
      </c>
      <c r="J57" s="444">
        <f>Oppervlakte!J$5</f>
        <v>0</v>
      </c>
      <c r="K57" s="445">
        <f>Oppervlakte!K$5</f>
        <v>0</v>
      </c>
      <c r="L57" s="445">
        <f>Oppervlakte!L$5</f>
        <v>0</v>
      </c>
      <c r="N57" s="444">
        <f>Oppervlakte!N$5</f>
        <v>0</v>
      </c>
      <c r="O57" s="445">
        <f>Oppervlakte!O$5</f>
        <v>0</v>
      </c>
      <c r="P57" s="445">
        <f>Oppervlakte!P$5</f>
        <v>0</v>
      </c>
    </row>
    <row r="58" spans="2:16" x14ac:dyDescent="0.3">
      <c r="B58" s="444">
        <f>Oppervlakte!B58</f>
        <v>0</v>
      </c>
      <c r="C58" s="445">
        <f>Oppervlakte!C58</f>
        <v>0</v>
      </c>
      <c r="D58" s="445">
        <f>Oppervlakte!D58</f>
        <v>0</v>
      </c>
      <c r="F58" s="444">
        <f>Oppervlakte!F$5</f>
        <v>0</v>
      </c>
      <c r="G58" s="445">
        <f>Oppervlakte!G$5</f>
        <v>0</v>
      </c>
      <c r="H58" s="445">
        <f>Oppervlakte!H$5</f>
        <v>0</v>
      </c>
      <c r="J58" s="444">
        <f>Oppervlakte!J$5</f>
        <v>0</v>
      </c>
      <c r="K58" s="445">
        <f>Oppervlakte!K$5</f>
        <v>0</v>
      </c>
      <c r="L58" s="445">
        <f>Oppervlakte!L$5</f>
        <v>0</v>
      </c>
      <c r="N58" s="444">
        <f>Oppervlakte!N$5</f>
        <v>0</v>
      </c>
      <c r="O58" s="445">
        <f>Oppervlakte!O$5</f>
        <v>0</v>
      </c>
      <c r="P58" s="445">
        <f>Oppervlakte!P$5</f>
        <v>0</v>
      </c>
    </row>
    <row r="59" spans="2:16" x14ac:dyDescent="0.3">
      <c r="B59" s="444">
        <f>Oppervlakte!B59</f>
        <v>0</v>
      </c>
      <c r="C59" s="445">
        <f>Oppervlakte!C59</f>
        <v>0</v>
      </c>
      <c r="D59" s="445">
        <f>Oppervlakte!D59</f>
        <v>0</v>
      </c>
      <c r="F59" s="444">
        <f>Oppervlakte!F$5</f>
        <v>0</v>
      </c>
      <c r="G59" s="445">
        <f>Oppervlakte!G$5</f>
        <v>0</v>
      </c>
      <c r="H59" s="445">
        <f>Oppervlakte!H$5</f>
        <v>0</v>
      </c>
      <c r="J59" s="444">
        <f>Oppervlakte!J$5</f>
        <v>0</v>
      </c>
      <c r="K59" s="445">
        <f>Oppervlakte!K$5</f>
        <v>0</v>
      </c>
      <c r="L59" s="445">
        <f>Oppervlakte!L$5</f>
        <v>0</v>
      </c>
      <c r="N59" s="444">
        <f>Oppervlakte!N$5</f>
        <v>0</v>
      </c>
      <c r="O59" s="445">
        <f>Oppervlakte!O$5</f>
        <v>0</v>
      </c>
      <c r="P59" s="445">
        <f>Oppervlakte!P$5</f>
        <v>0</v>
      </c>
    </row>
    <row r="60" spans="2:16" x14ac:dyDescent="0.3">
      <c r="B60" s="444">
        <f>Oppervlakte!B60</f>
        <v>0</v>
      </c>
      <c r="C60" s="445">
        <f>Oppervlakte!C60</f>
        <v>0</v>
      </c>
      <c r="D60" s="445">
        <f>Oppervlakte!D60</f>
        <v>0</v>
      </c>
      <c r="F60" s="444">
        <f>Oppervlakte!F$5</f>
        <v>0</v>
      </c>
      <c r="G60" s="445">
        <f>Oppervlakte!G$5</f>
        <v>0</v>
      </c>
      <c r="H60" s="445">
        <f>Oppervlakte!H$5</f>
        <v>0</v>
      </c>
      <c r="J60" s="444">
        <f>Oppervlakte!J$5</f>
        <v>0</v>
      </c>
      <c r="K60" s="445">
        <f>Oppervlakte!K$5</f>
        <v>0</v>
      </c>
      <c r="L60" s="445">
        <f>Oppervlakte!L$5</f>
        <v>0</v>
      </c>
      <c r="N60" s="444">
        <f>Oppervlakte!N$5</f>
        <v>0</v>
      </c>
      <c r="O60" s="445">
        <f>Oppervlakte!O$5</f>
        <v>0</v>
      </c>
      <c r="P60" s="445">
        <f>Oppervlakte!P$5</f>
        <v>0</v>
      </c>
    </row>
    <row r="61" spans="2:16" x14ac:dyDescent="0.3">
      <c r="B61" s="444">
        <f>Oppervlakte!B61</f>
        <v>0</v>
      </c>
      <c r="C61" s="445">
        <f>Oppervlakte!C61</f>
        <v>0</v>
      </c>
      <c r="D61" s="445">
        <f>Oppervlakte!D61</f>
        <v>0</v>
      </c>
      <c r="F61" s="444">
        <f>Oppervlakte!F$5</f>
        <v>0</v>
      </c>
      <c r="G61" s="445">
        <f>Oppervlakte!G$5</f>
        <v>0</v>
      </c>
      <c r="H61" s="445">
        <f>Oppervlakte!H$5</f>
        <v>0</v>
      </c>
      <c r="J61" s="444">
        <f>Oppervlakte!J$5</f>
        <v>0</v>
      </c>
      <c r="K61" s="445">
        <f>Oppervlakte!K$5</f>
        <v>0</v>
      </c>
      <c r="L61" s="445">
        <f>Oppervlakte!L$5</f>
        <v>0</v>
      </c>
      <c r="N61" s="444">
        <f>Oppervlakte!N$5</f>
        <v>0</v>
      </c>
      <c r="O61" s="445">
        <f>Oppervlakte!O$5</f>
        <v>0</v>
      </c>
      <c r="P61" s="445">
        <f>Oppervlakte!P$5</f>
        <v>0</v>
      </c>
    </row>
    <row r="62" spans="2:16" x14ac:dyDescent="0.3">
      <c r="B62" s="444">
        <f>Oppervlakte!B62</f>
        <v>0</v>
      </c>
      <c r="C62" s="445">
        <f>Oppervlakte!C62</f>
        <v>0</v>
      </c>
      <c r="D62" s="445">
        <f>Oppervlakte!D62</f>
        <v>0</v>
      </c>
      <c r="F62" s="444">
        <f>Oppervlakte!F$5</f>
        <v>0</v>
      </c>
      <c r="G62" s="445">
        <f>Oppervlakte!G$5</f>
        <v>0</v>
      </c>
      <c r="H62" s="445">
        <f>Oppervlakte!H$5</f>
        <v>0</v>
      </c>
      <c r="J62" s="444">
        <f>Oppervlakte!J$5</f>
        <v>0</v>
      </c>
      <c r="K62" s="445">
        <f>Oppervlakte!K$5</f>
        <v>0</v>
      </c>
      <c r="L62" s="445">
        <f>Oppervlakte!L$5</f>
        <v>0</v>
      </c>
      <c r="N62" s="444">
        <f>Oppervlakte!N$5</f>
        <v>0</v>
      </c>
      <c r="O62" s="445">
        <f>Oppervlakte!O$5</f>
        <v>0</v>
      </c>
      <c r="P62" s="445">
        <f>Oppervlakte!P$5</f>
        <v>0</v>
      </c>
    </row>
    <row r="63" spans="2:16" x14ac:dyDescent="0.3">
      <c r="B63" s="444">
        <f>Oppervlakte!B63</f>
        <v>0</v>
      </c>
      <c r="C63" s="445">
        <f>Oppervlakte!C63</f>
        <v>0</v>
      </c>
      <c r="D63" s="445">
        <f>Oppervlakte!D63</f>
        <v>0</v>
      </c>
      <c r="F63" s="444">
        <f>Oppervlakte!F$5</f>
        <v>0</v>
      </c>
      <c r="G63" s="445">
        <f>Oppervlakte!G$5</f>
        <v>0</v>
      </c>
      <c r="H63" s="445">
        <f>Oppervlakte!H$5</f>
        <v>0</v>
      </c>
      <c r="J63" s="444">
        <f>Oppervlakte!J$5</f>
        <v>0</v>
      </c>
      <c r="K63" s="445">
        <f>Oppervlakte!K$5</f>
        <v>0</v>
      </c>
      <c r="L63" s="445">
        <f>Oppervlakte!L$5</f>
        <v>0</v>
      </c>
      <c r="N63" s="444">
        <f>Oppervlakte!N$5</f>
        <v>0</v>
      </c>
      <c r="O63" s="445">
        <f>Oppervlakte!O$5</f>
        <v>0</v>
      </c>
      <c r="P63" s="445">
        <f>Oppervlakte!P$5</f>
        <v>0</v>
      </c>
    </row>
    <row r="64" spans="2:16" x14ac:dyDescent="0.3">
      <c r="B64" s="444">
        <f>Oppervlakte!B64</f>
        <v>0</v>
      </c>
      <c r="C64" s="445">
        <f>Oppervlakte!C64</f>
        <v>0</v>
      </c>
      <c r="D64" s="445">
        <f>Oppervlakte!D64</f>
        <v>0</v>
      </c>
      <c r="F64" s="444">
        <f>Oppervlakte!F$5</f>
        <v>0</v>
      </c>
      <c r="G64" s="445">
        <f>Oppervlakte!G$5</f>
        <v>0</v>
      </c>
      <c r="H64" s="445">
        <f>Oppervlakte!H$5</f>
        <v>0</v>
      </c>
      <c r="J64" s="444">
        <f>Oppervlakte!J$5</f>
        <v>0</v>
      </c>
      <c r="K64" s="445">
        <f>Oppervlakte!K$5</f>
        <v>0</v>
      </c>
      <c r="L64" s="445">
        <f>Oppervlakte!L$5</f>
        <v>0</v>
      </c>
      <c r="N64" s="444">
        <f>Oppervlakte!N$5</f>
        <v>0</v>
      </c>
      <c r="O64" s="445">
        <f>Oppervlakte!O$5</f>
        <v>0</v>
      </c>
      <c r="P64" s="445">
        <f>Oppervlakte!P$5</f>
        <v>0</v>
      </c>
    </row>
    <row r="65" spans="2:16" x14ac:dyDescent="0.3">
      <c r="B65" s="444">
        <f>Oppervlakte!B65</f>
        <v>0</v>
      </c>
      <c r="C65" s="445">
        <f>Oppervlakte!C65</f>
        <v>0</v>
      </c>
      <c r="D65" s="445">
        <f>Oppervlakte!D65</f>
        <v>0</v>
      </c>
      <c r="F65" s="444">
        <f>Oppervlakte!F$5</f>
        <v>0</v>
      </c>
      <c r="G65" s="445">
        <f>Oppervlakte!G$5</f>
        <v>0</v>
      </c>
      <c r="H65" s="445">
        <f>Oppervlakte!H$5</f>
        <v>0</v>
      </c>
      <c r="J65" s="444">
        <f>Oppervlakte!J$5</f>
        <v>0</v>
      </c>
      <c r="K65" s="445">
        <f>Oppervlakte!K$5</f>
        <v>0</v>
      </c>
      <c r="L65" s="445">
        <f>Oppervlakte!L$5</f>
        <v>0</v>
      </c>
      <c r="N65" s="444">
        <f>Oppervlakte!N$5</f>
        <v>0</v>
      </c>
      <c r="O65" s="445">
        <f>Oppervlakte!O$5</f>
        <v>0</v>
      </c>
      <c r="P65" s="445">
        <f>Oppervlakte!P$5</f>
        <v>0</v>
      </c>
    </row>
    <row r="66" spans="2:16" x14ac:dyDescent="0.3">
      <c r="B66" s="444">
        <f>Oppervlakte!B66</f>
        <v>0</v>
      </c>
      <c r="C66" s="445">
        <f>Oppervlakte!C66</f>
        <v>0</v>
      </c>
      <c r="D66" s="445">
        <f>Oppervlakte!D66</f>
        <v>0</v>
      </c>
      <c r="F66" s="444">
        <f>Oppervlakte!F$5</f>
        <v>0</v>
      </c>
      <c r="G66" s="445">
        <f>Oppervlakte!G$5</f>
        <v>0</v>
      </c>
      <c r="H66" s="445">
        <f>Oppervlakte!H$5</f>
        <v>0</v>
      </c>
      <c r="J66" s="444">
        <f>Oppervlakte!J$5</f>
        <v>0</v>
      </c>
      <c r="K66" s="445">
        <f>Oppervlakte!K$5</f>
        <v>0</v>
      </c>
      <c r="L66" s="445">
        <f>Oppervlakte!L$5</f>
        <v>0</v>
      </c>
      <c r="N66" s="444">
        <f>Oppervlakte!N$5</f>
        <v>0</v>
      </c>
      <c r="O66" s="445">
        <f>Oppervlakte!O$5</f>
        <v>0</v>
      </c>
      <c r="P66" s="445">
        <f>Oppervlakte!P$5</f>
        <v>0</v>
      </c>
    </row>
    <row r="67" spans="2:16" x14ac:dyDescent="0.3">
      <c r="B67" s="444">
        <f>Oppervlakte!B67</f>
        <v>0</v>
      </c>
      <c r="C67" s="445">
        <f>Oppervlakte!C67</f>
        <v>0</v>
      </c>
      <c r="D67" s="445">
        <f>Oppervlakte!D67</f>
        <v>0</v>
      </c>
      <c r="F67" s="444">
        <f>Oppervlakte!F$5</f>
        <v>0</v>
      </c>
      <c r="G67" s="445">
        <f>Oppervlakte!G$5</f>
        <v>0</v>
      </c>
      <c r="H67" s="445">
        <f>Oppervlakte!H$5</f>
        <v>0</v>
      </c>
      <c r="J67" s="444">
        <f>Oppervlakte!J$5</f>
        <v>0</v>
      </c>
      <c r="K67" s="445">
        <f>Oppervlakte!K$5</f>
        <v>0</v>
      </c>
      <c r="L67" s="445">
        <f>Oppervlakte!L$5</f>
        <v>0</v>
      </c>
      <c r="N67" s="444">
        <f>Oppervlakte!N$5</f>
        <v>0</v>
      </c>
      <c r="O67" s="445">
        <f>Oppervlakte!O$5</f>
        <v>0</v>
      </c>
      <c r="P67" s="445">
        <f>Oppervlakte!P$5</f>
        <v>0</v>
      </c>
    </row>
    <row r="68" spans="2:16" x14ac:dyDescent="0.3">
      <c r="B68" s="444">
        <f>Oppervlakte!B68</f>
        <v>0</v>
      </c>
      <c r="C68" s="445">
        <f>Oppervlakte!C68</f>
        <v>0</v>
      </c>
      <c r="D68" s="445">
        <f>Oppervlakte!D68</f>
        <v>0</v>
      </c>
      <c r="F68" s="444">
        <f>Oppervlakte!F$5</f>
        <v>0</v>
      </c>
      <c r="G68" s="445">
        <f>Oppervlakte!G$5</f>
        <v>0</v>
      </c>
      <c r="H68" s="445">
        <f>Oppervlakte!H$5</f>
        <v>0</v>
      </c>
      <c r="J68" s="444">
        <f>Oppervlakte!J$5</f>
        <v>0</v>
      </c>
      <c r="K68" s="445">
        <f>Oppervlakte!K$5</f>
        <v>0</v>
      </c>
      <c r="L68" s="445">
        <f>Oppervlakte!L$5</f>
        <v>0</v>
      </c>
      <c r="N68" s="444">
        <f>Oppervlakte!N$5</f>
        <v>0</v>
      </c>
      <c r="O68" s="445">
        <f>Oppervlakte!O$5</f>
        <v>0</v>
      </c>
      <c r="P68" s="445">
        <f>Oppervlakte!P$5</f>
        <v>0</v>
      </c>
    </row>
    <row r="69" spans="2:16" x14ac:dyDescent="0.3">
      <c r="B69" s="444">
        <f>Oppervlakte!B69</f>
        <v>0</v>
      </c>
      <c r="C69" s="445">
        <f>Oppervlakte!C69</f>
        <v>0</v>
      </c>
      <c r="D69" s="445">
        <f>Oppervlakte!D69</f>
        <v>0</v>
      </c>
      <c r="F69" s="444">
        <f>Oppervlakte!F$5</f>
        <v>0</v>
      </c>
      <c r="G69" s="445">
        <f>Oppervlakte!G$5</f>
        <v>0</v>
      </c>
      <c r="H69" s="445">
        <f>Oppervlakte!H$5</f>
        <v>0</v>
      </c>
      <c r="J69" s="444">
        <f>Oppervlakte!J$5</f>
        <v>0</v>
      </c>
      <c r="K69" s="445">
        <f>Oppervlakte!K$5</f>
        <v>0</v>
      </c>
      <c r="L69" s="445">
        <f>Oppervlakte!L$5</f>
        <v>0</v>
      </c>
      <c r="N69" s="444">
        <f>Oppervlakte!N$5</f>
        <v>0</v>
      </c>
      <c r="O69" s="445">
        <f>Oppervlakte!O$5</f>
        <v>0</v>
      </c>
      <c r="P69" s="445">
        <f>Oppervlakte!P$5</f>
        <v>0</v>
      </c>
    </row>
    <row r="70" spans="2:16" x14ac:dyDescent="0.3">
      <c r="B70" s="444">
        <f>Oppervlakte!B70</f>
        <v>0</v>
      </c>
      <c r="C70" s="445">
        <f>Oppervlakte!C70</f>
        <v>0</v>
      </c>
      <c r="D70" s="445">
        <f>Oppervlakte!D70</f>
        <v>0</v>
      </c>
      <c r="F70" s="444">
        <f>Oppervlakte!F$5</f>
        <v>0</v>
      </c>
      <c r="G70" s="445">
        <f>Oppervlakte!G$5</f>
        <v>0</v>
      </c>
      <c r="H70" s="445">
        <f>Oppervlakte!H$5</f>
        <v>0</v>
      </c>
      <c r="J70" s="444">
        <f>Oppervlakte!J$5</f>
        <v>0</v>
      </c>
      <c r="K70" s="445">
        <f>Oppervlakte!K$5</f>
        <v>0</v>
      </c>
      <c r="L70" s="445">
        <f>Oppervlakte!L$5</f>
        <v>0</v>
      </c>
      <c r="N70" s="444">
        <f>Oppervlakte!N$5</f>
        <v>0</v>
      </c>
      <c r="O70" s="445">
        <f>Oppervlakte!O$5</f>
        <v>0</v>
      </c>
      <c r="P70" s="445">
        <f>Oppervlakte!P$5</f>
        <v>0</v>
      </c>
    </row>
    <row r="71" spans="2:16" x14ac:dyDescent="0.3">
      <c r="B71" s="444">
        <f>Oppervlakte!B71</f>
        <v>0</v>
      </c>
      <c r="C71" s="445">
        <f>Oppervlakte!C71</f>
        <v>0</v>
      </c>
      <c r="D71" s="445">
        <f>Oppervlakte!D71</f>
        <v>0</v>
      </c>
      <c r="F71" s="444">
        <f>Oppervlakte!F$5</f>
        <v>0</v>
      </c>
      <c r="G71" s="445">
        <f>Oppervlakte!G$5</f>
        <v>0</v>
      </c>
      <c r="H71" s="445">
        <f>Oppervlakte!H$5</f>
        <v>0</v>
      </c>
      <c r="J71" s="444">
        <f>Oppervlakte!J$5</f>
        <v>0</v>
      </c>
      <c r="K71" s="445">
        <f>Oppervlakte!K$5</f>
        <v>0</v>
      </c>
      <c r="L71" s="445">
        <f>Oppervlakte!L$5</f>
        <v>0</v>
      </c>
      <c r="N71" s="444">
        <f>Oppervlakte!N$5</f>
        <v>0</v>
      </c>
      <c r="O71" s="445">
        <f>Oppervlakte!O$5</f>
        <v>0</v>
      </c>
      <c r="P71" s="445">
        <f>Oppervlakte!P$5</f>
        <v>0</v>
      </c>
    </row>
    <row r="72" spans="2:16" x14ac:dyDescent="0.3">
      <c r="B72" s="444">
        <f>Oppervlakte!B72</f>
        <v>0</v>
      </c>
      <c r="C72" s="445">
        <f>Oppervlakte!C72</f>
        <v>0</v>
      </c>
      <c r="D72" s="445">
        <f>Oppervlakte!D72</f>
        <v>0</v>
      </c>
      <c r="F72" s="444">
        <f>Oppervlakte!F$5</f>
        <v>0</v>
      </c>
      <c r="G72" s="445">
        <f>Oppervlakte!G$5</f>
        <v>0</v>
      </c>
      <c r="H72" s="445">
        <f>Oppervlakte!H$5</f>
        <v>0</v>
      </c>
      <c r="J72" s="444">
        <f>Oppervlakte!J$5</f>
        <v>0</v>
      </c>
      <c r="K72" s="445">
        <f>Oppervlakte!K$5</f>
        <v>0</v>
      </c>
      <c r="L72" s="445">
        <f>Oppervlakte!L$5</f>
        <v>0</v>
      </c>
      <c r="N72" s="444">
        <f>Oppervlakte!N$5</f>
        <v>0</v>
      </c>
      <c r="O72" s="445">
        <f>Oppervlakte!O$5</f>
        <v>0</v>
      </c>
      <c r="P72" s="445">
        <f>Oppervlakte!P$5</f>
        <v>0</v>
      </c>
    </row>
    <row r="73" spans="2:16" x14ac:dyDescent="0.3">
      <c r="B73" s="444">
        <f>Oppervlakte!B73</f>
        <v>0</v>
      </c>
      <c r="C73" s="445">
        <f>Oppervlakte!C73</f>
        <v>0</v>
      </c>
      <c r="D73" s="445">
        <f>Oppervlakte!D73</f>
        <v>0</v>
      </c>
      <c r="F73" s="444">
        <f>Oppervlakte!F$5</f>
        <v>0</v>
      </c>
      <c r="G73" s="445">
        <f>Oppervlakte!G$5</f>
        <v>0</v>
      </c>
      <c r="H73" s="445">
        <f>Oppervlakte!H$5</f>
        <v>0</v>
      </c>
      <c r="J73" s="444">
        <f>Oppervlakte!J$5</f>
        <v>0</v>
      </c>
      <c r="K73" s="445">
        <f>Oppervlakte!K$5</f>
        <v>0</v>
      </c>
      <c r="L73" s="445">
        <f>Oppervlakte!L$5</f>
        <v>0</v>
      </c>
      <c r="N73" s="444">
        <f>Oppervlakte!N$5</f>
        <v>0</v>
      </c>
      <c r="O73" s="445">
        <f>Oppervlakte!O$5</f>
        <v>0</v>
      </c>
      <c r="P73" s="445">
        <f>Oppervlakte!P$5</f>
        <v>0</v>
      </c>
    </row>
    <row r="74" spans="2:16" x14ac:dyDescent="0.3">
      <c r="B74" s="444">
        <f>Oppervlakte!B74</f>
        <v>0</v>
      </c>
      <c r="C74" s="445">
        <f>Oppervlakte!C74</f>
        <v>0</v>
      </c>
      <c r="D74" s="445">
        <f>Oppervlakte!D74</f>
        <v>0</v>
      </c>
      <c r="F74" s="444">
        <f>Oppervlakte!F$5</f>
        <v>0</v>
      </c>
      <c r="G74" s="445">
        <f>Oppervlakte!G$5</f>
        <v>0</v>
      </c>
      <c r="H74" s="445">
        <f>Oppervlakte!H$5</f>
        <v>0</v>
      </c>
      <c r="J74" s="444">
        <f>Oppervlakte!J$5</f>
        <v>0</v>
      </c>
      <c r="K74" s="445">
        <f>Oppervlakte!K$5</f>
        <v>0</v>
      </c>
      <c r="L74" s="445">
        <f>Oppervlakte!L$5</f>
        <v>0</v>
      </c>
      <c r="N74" s="444">
        <f>Oppervlakte!N$5</f>
        <v>0</v>
      </c>
      <c r="O74" s="445">
        <f>Oppervlakte!O$5</f>
        <v>0</v>
      </c>
      <c r="P74" s="445">
        <f>Oppervlakte!P$5</f>
        <v>0</v>
      </c>
    </row>
    <row r="75" spans="2:16" x14ac:dyDescent="0.3">
      <c r="B75" s="444">
        <f>Oppervlakte!B75</f>
        <v>0</v>
      </c>
      <c r="C75" s="445">
        <f>Oppervlakte!C75</f>
        <v>0</v>
      </c>
      <c r="D75" s="445">
        <f>Oppervlakte!D75</f>
        <v>0</v>
      </c>
      <c r="F75" s="444">
        <f>Oppervlakte!F$5</f>
        <v>0</v>
      </c>
      <c r="G75" s="445">
        <f>Oppervlakte!G$5</f>
        <v>0</v>
      </c>
      <c r="H75" s="445">
        <f>Oppervlakte!H$5</f>
        <v>0</v>
      </c>
      <c r="J75" s="444">
        <f>Oppervlakte!J$5</f>
        <v>0</v>
      </c>
      <c r="K75" s="445">
        <f>Oppervlakte!K$5</f>
        <v>0</v>
      </c>
      <c r="L75" s="445">
        <f>Oppervlakte!L$5</f>
        <v>0</v>
      </c>
      <c r="N75" s="444">
        <f>Oppervlakte!N$5</f>
        <v>0</v>
      </c>
      <c r="O75" s="445">
        <f>Oppervlakte!O$5</f>
        <v>0</v>
      </c>
      <c r="P75" s="445">
        <f>Oppervlakte!P$5</f>
        <v>0</v>
      </c>
    </row>
    <row r="76" spans="2:16" x14ac:dyDescent="0.3">
      <c r="B76" s="444">
        <f>Oppervlakte!B76</f>
        <v>0</v>
      </c>
      <c r="C76" s="445">
        <f>Oppervlakte!C76</f>
        <v>0</v>
      </c>
      <c r="D76" s="445">
        <f>Oppervlakte!D76</f>
        <v>0</v>
      </c>
      <c r="F76" s="444">
        <f>Oppervlakte!F$5</f>
        <v>0</v>
      </c>
      <c r="G76" s="445">
        <f>Oppervlakte!G$5</f>
        <v>0</v>
      </c>
      <c r="H76" s="445">
        <f>Oppervlakte!H$5</f>
        <v>0</v>
      </c>
      <c r="J76" s="444">
        <f>Oppervlakte!J$5</f>
        <v>0</v>
      </c>
      <c r="K76" s="445">
        <f>Oppervlakte!K$5</f>
        <v>0</v>
      </c>
      <c r="L76" s="445">
        <f>Oppervlakte!L$5</f>
        <v>0</v>
      </c>
      <c r="N76" s="444">
        <f>Oppervlakte!N$5</f>
        <v>0</v>
      </c>
      <c r="O76" s="445">
        <f>Oppervlakte!O$5</f>
        <v>0</v>
      </c>
      <c r="P76" s="445">
        <f>Oppervlakte!P$5</f>
        <v>0</v>
      </c>
    </row>
    <row r="77" spans="2:16" x14ac:dyDescent="0.3">
      <c r="B77" s="444">
        <f>Oppervlakte!B77</f>
        <v>0</v>
      </c>
      <c r="C77" s="445">
        <f>Oppervlakte!C77</f>
        <v>0</v>
      </c>
      <c r="D77" s="445">
        <f>Oppervlakte!D77</f>
        <v>0</v>
      </c>
      <c r="F77" s="444">
        <f>Oppervlakte!F$5</f>
        <v>0</v>
      </c>
      <c r="G77" s="445">
        <f>Oppervlakte!G$5</f>
        <v>0</v>
      </c>
      <c r="H77" s="445">
        <f>Oppervlakte!H$5</f>
        <v>0</v>
      </c>
      <c r="J77" s="444">
        <f>Oppervlakte!J$5</f>
        <v>0</v>
      </c>
      <c r="K77" s="445">
        <f>Oppervlakte!K$5</f>
        <v>0</v>
      </c>
      <c r="L77" s="445">
        <f>Oppervlakte!L$5</f>
        <v>0</v>
      </c>
      <c r="N77" s="444">
        <f>Oppervlakte!N$5</f>
        <v>0</v>
      </c>
      <c r="O77" s="445">
        <f>Oppervlakte!O$5</f>
        <v>0</v>
      </c>
      <c r="P77" s="445">
        <f>Oppervlakte!P$5</f>
        <v>0</v>
      </c>
    </row>
    <row r="78" spans="2:16" x14ac:dyDescent="0.3">
      <c r="B78" s="444">
        <f>Oppervlakte!B78</f>
        <v>0</v>
      </c>
      <c r="C78" s="445">
        <f>Oppervlakte!C78</f>
        <v>0</v>
      </c>
      <c r="D78" s="445">
        <f>Oppervlakte!D78</f>
        <v>0</v>
      </c>
      <c r="F78" s="444">
        <f>Oppervlakte!F$5</f>
        <v>0</v>
      </c>
      <c r="G78" s="445">
        <f>Oppervlakte!G$5</f>
        <v>0</v>
      </c>
      <c r="H78" s="445">
        <f>Oppervlakte!H$5</f>
        <v>0</v>
      </c>
      <c r="J78" s="444">
        <f>Oppervlakte!J$5</f>
        <v>0</v>
      </c>
      <c r="K78" s="445">
        <f>Oppervlakte!K$5</f>
        <v>0</v>
      </c>
      <c r="L78" s="445">
        <f>Oppervlakte!L$5</f>
        <v>0</v>
      </c>
      <c r="N78" s="444">
        <f>Oppervlakte!N$5</f>
        <v>0</v>
      </c>
      <c r="O78" s="445">
        <f>Oppervlakte!O$5</f>
        <v>0</v>
      </c>
      <c r="P78" s="445">
        <f>Oppervlakte!P$5</f>
        <v>0</v>
      </c>
    </row>
    <row r="79" spans="2:16" x14ac:dyDescent="0.3">
      <c r="B79" s="444">
        <f>Oppervlakte!B79</f>
        <v>0</v>
      </c>
      <c r="C79" s="445">
        <f>Oppervlakte!C79</f>
        <v>0</v>
      </c>
      <c r="D79" s="445">
        <f>Oppervlakte!D79</f>
        <v>0</v>
      </c>
      <c r="F79" s="444">
        <f>Oppervlakte!F$5</f>
        <v>0</v>
      </c>
      <c r="G79" s="445">
        <f>Oppervlakte!G$5</f>
        <v>0</v>
      </c>
      <c r="H79" s="445">
        <f>Oppervlakte!H$5</f>
        <v>0</v>
      </c>
      <c r="J79" s="444">
        <f>Oppervlakte!J$5</f>
        <v>0</v>
      </c>
      <c r="K79" s="445">
        <f>Oppervlakte!K$5</f>
        <v>0</v>
      </c>
      <c r="L79" s="445">
        <f>Oppervlakte!L$5</f>
        <v>0</v>
      </c>
      <c r="N79" s="444">
        <f>Oppervlakte!N$5</f>
        <v>0</v>
      </c>
      <c r="O79" s="445">
        <f>Oppervlakte!O$5</f>
        <v>0</v>
      </c>
      <c r="P79" s="445">
        <f>Oppervlakte!P$5</f>
        <v>0</v>
      </c>
    </row>
    <row r="80" spans="2:16" x14ac:dyDescent="0.3">
      <c r="B80" s="444">
        <f>Oppervlakte!B80</f>
        <v>0</v>
      </c>
      <c r="C80" s="445">
        <f>Oppervlakte!C80</f>
        <v>0</v>
      </c>
      <c r="D80" s="445">
        <f>Oppervlakte!D80</f>
        <v>0</v>
      </c>
      <c r="F80" s="444">
        <f>Oppervlakte!F$5</f>
        <v>0</v>
      </c>
      <c r="G80" s="445">
        <f>Oppervlakte!G$5</f>
        <v>0</v>
      </c>
      <c r="H80" s="445">
        <f>Oppervlakte!H$5</f>
        <v>0</v>
      </c>
      <c r="J80" s="444">
        <f>Oppervlakte!J$5</f>
        <v>0</v>
      </c>
      <c r="K80" s="445">
        <f>Oppervlakte!K$5</f>
        <v>0</v>
      </c>
      <c r="L80" s="445">
        <f>Oppervlakte!L$5</f>
        <v>0</v>
      </c>
      <c r="N80" s="444">
        <f>Oppervlakte!N$5</f>
        <v>0</v>
      </c>
      <c r="O80" s="445">
        <f>Oppervlakte!O$5</f>
        <v>0</v>
      </c>
      <c r="P80" s="445">
        <f>Oppervlakte!P$5</f>
        <v>0</v>
      </c>
    </row>
    <row r="81" spans="2:16" x14ac:dyDescent="0.3">
      <c r="B81" s="444">
        <f>Oppervlakte!B81</f>
        <v>0</v>
      </c>
      <c r="C81" s="445">
        <f>Oppervlakte!C81</f>
        <v>0</v>
      </c>
      <c r="D81" s="445">
        <f>Oppervlakte!D81</f>
        <v>0</v>
      </c>
      <c r="F81" s="444">
        <f>Oppervlakte!F$5</f>
        <v>0</v>
      </c>
      <c r="G81" s="445">
        <f>Oppervlakte!G$5</f>
        <v>0</v>
      </c>
      <c r="H81" s="445">
        <f>Oppervlakte!H$5</f>
        <v>0</v>
      </c>
      <c r="J81" s="444">
        <f>Oppervlakte!J$5</f>
        <v>0</v>
      </c>
      <c r="K81" s="445">
        <f>Oppervlakte!K$5</f>
        <v>0</v>
      </c>
      <c r="L81" s="445">
        <f>Oppervlakte!L$5</f>
        <v>0</v>
      </c>
      <c r="N81" s="444">
        <f>Oppervlakte!N$5</f>
        <v>0</v>
      </c>
      <c r="O81" s="445">
        <f>Oppervlakte!O$5</f>
        <v>0</v>
      </c>
      <c r="P81" s="445">
        <f>Oppervlakte!P$5</f>
        <v>0</v>
      </c>
    </row>
    <row r="82" spans="2:16" x14ac:dyDescent="0.3">
      <c r="B82" s="444">
        <f>Oppervlakte!B82</f>
        <v>0</v>
      </c>
      <c r="C82" s="445">
        <f>Oppervlakte!C82</f>
        <v>0</v>
      </c>
      <c r="D82" s="445">
        <f>Oppervlakte!D82</f>
        <v>0</v>
      </c>
      <c r="F82" s="444">
        <f>Oppervlakte!F$5</f>
        <v>0</v>
      </c>
      <c r="G82" s="445">
        <f>Oppervlakte!G$5</f>
        <v>0</v>
      </c>
      <c r="H82" s="445">
        <f>Oppervlakte!H$5</f>
        <v>0</v>
      </c>
      <c r="J82" s="444">
        <f>Oppervlakte!J$5</f>
        <v>0</v>
      </c>
      <c r="K82" s="445">
        <f>Oppervlakte!K$5</f>
        <v>0</v>
      </c>
      <c r="L82" s="445">
        <f>Oppervlakte!L$5</f>
        <v>0</v>
      </c>
      <c r="N82" s="444">
        <f>Oppervlakte!N$5</f>
        <v>0</v>
      </c>
      <c r="O82" s="445">
        <f>Oppervlakte!O$5</f>
        <v>0</v>
      </c>
      <c r="P82" s="445">
        <f>Oppervlakte!P$5</f>
        <v>0</v>
      </c>
    </row>
    <row r="83" spans="2:16" x14ac:dyDescent="0.3">
      <c r="B83" s="444">
        <f>Oppervlakte!B83</f>
        <v>0</v>
      </c>
      <c r="C83" s="445">
        <f>Oppervlakte!C83</f>
        <v>0</v>
      </c>
      <c r="D83" s="445">
        <f>Oppervlakte!D83</f>
        <v>0</v>
      </c>
      <c r="F83" s="444">
        <f>Oppervlakte!F$5</f>
        <v>0</v>
      </c>
      <c r="G83" s="445">
        <f>Oppervlakte!G$5</f>
        <v>0</v>
      </c>
      <c r="H83" s="445">
        <f>Oppervlakte!H$5</f>
        <v>0</v>
      </c>
      <c r="J83" s="444">
        <f>Oppervlakte!J$5</f>
        <v>0</v>
      </c>
      <c r="K83" s="445">
        <f>Oppervlakte!K$5</f>
        <v>0</v>
      </c>
      <c r="L83" s="445">
        <f>Oppervlakte!L$5</f>
        <v>0</v>
      </c>
      <c r="N83" s="444">
        <f>Oppervlakte!N$5</f>
        <v>0</v>
      </c>
      <c r="O83" s="445">
        <f>Oppervlakte!O$5</f>
        <v>0</v>
      </c>
      <c r="P83" s="445">
        <f>Oppervlakte!P$5</f>
        <v>0</v>
      </c>
    </row>
    <row r="84" spans="2:16" x14ac:dyDescent="0.3">
      <c r="B84" s="444">
        <f>Oppervlakte!B84</f>
        <v>0</v>
      </c>
      <c r="C84" s="445">
        <f>Oppervlakte!C84</f>
        <v>0</v>
      </c>
      <c r="D84" s="445">
        <f>Oppervlakte!D84</f>
        <v>0</v>
      </c>
      <c r="F84" s="444">
        <f>Oppervlakte!F$5</f>
        <v>0</v>
      </c>
      <c r="G84" s="445">
        <f>Oppervlakte!G$5</f>
        <v>0</v>
      </c>
      <c r="H84" s="445">
        <f>Oppervlakte!H$5</f>
        <v>0</v>
      </c>
      <c r="J84" s="444">
        <f>Oppervlakte!J$5</f>
        <v>0</v>
      </c>
      <c r="K84" s="445">
        <f>Oppervlakte!K$5</f>
        <v>0</v>
      </c>
      <c r="L84" s="445">
        <f>Oppervlakte!L$5</f>
        <v>0</v>
      </c>
      <c r="N84" s="444">
        <f>Oppervlakte!N$5</f>
        <v>0</v>
      </c>
      <c r="O84" s="445">
        <f>Oppervlakte!O$5</f>
        <v>0</v>
      </c>
      <c r="P84" s="445">
        <f>Oppervlakte!P$5</f>
        <v>0</v>
      </c>
    </row>
    <row r="85" spans="2:16" x14ac:dyDescent="0.3">
      <c r="B85" s="444">
        <f>Oppervlakte!B85</f>
        <v>0</v>
      </c>
      <c r="C85" s="445">
        <f>Oppervlakte!C85</f>
        <v>0</v>
      </c>
      <c r="D85" s="445">
        <f>Oppervlakte!D85</f>
        <v>0</v>
      </c>
      <c r="F85" s="444">
        <f>Oppervlakte!F$5</f>
        <v>0</v>
      </c>
      <c r="G85" s="445">
        <f>Oppervlakte!G$5</f>
        <v>0</v>
      </c>
      <c r="H85" s="445">
        <f>Oppervlakte!H$5</f>
        <v>0</v>
      </c>
      <c r="J85" s="444">
        <f>Oppervlakte!J$5</f>
        <v>0</v>
      </c>
      <c r="K85" s="445">
        <f>Oppervlakte!K$5</f>
        <v>0</v>
      </c>
      <c r="L85" s="445">
        <f>Oppervlakte!L$5</f>
        <v>0</v>
      </c>
      <c r="N85" s="444">
        <f>Oppervlakte!N$5</f>
        <v>0</v>
      </c>
      <c r="O85" s="445">
        <f>Oppervlakte!O$5</f>
        <v>0</v>
      </c>
      <c r="P85" s="445">
        <f>Oppervlakte!P$5</f>
        <v>0</v>
      </c>
    </row>
    <row r="86" spans="2:16" x14ac:dyDescent="0.3">
      <c r="B86" s="444">
        <f>Oppervlakte!B86</f>
        <v>0</v>
      </c>
      <c r="C86" s="445">
        <f>Oppervlakte!C86</f>
        <v>0</v>
      </c>
      <c r="D86" s="445">
        <f>Oppervlakte!D86</f>
        <v>0</v>
      </c>
      <c r="F86" s="444">
        <f>Oppervlakte!F$5</f>
        <v>0</v>
      </c>
      <c r="G86" s="445">
        <f>Oppervlakte!G$5</f>
        <v>0</v>
      </c>
      <c r="H86" s="445">
        <f>Oppervlakte!H$5</f>
        <v>0</v>
      </c>
      <c r="J86" s="444">
        <f>Oppervlakte!J$5</f>
        <v>0</v>
      </c>
      <c r="K86" s="445">
        <f>Oppervlakte!K$5</f>
        <v>0</v>
      </c>
      <c r="L86" s="445">
        <f>Oppervlakte!L$5</f>
        <v>0</v>
      </c>
      <c r="N86" s="444">
        <f>Oppervlakte!N$5</f>
        <v>0</v>
      </c>
      <c r="O86" s="445">
        <f>Oppervlakte!O$5</f>
        <v>0</v>
      </c>
      <c r="P86" s="445">
        <f>Oppervlakte!P$5</f>
        <v>0</v>
      </c>
    </row>
    <row r="87" spans="2:16" x14ac:dyDescent="0.3">
      <c r="B87" s="444">
        <f>Oppervlakte!B87</f>
        <v>0</v>
      </c>
      <c r="C87" s="445">
        <f>Oppervlakte!C87</f>
        <v>0</v>
      </c>
      <c r="D87" s="445">
        <f>Oppervlakte!D87</f>
        <v>0</v>
      </c>
      <c r="F87" s="444">
        <f>Oppervlakte!F$5</f>
        <v>0</v>
      </c>
      <c r="G87" s="445">
        <f>Oppervlakte!G$5</f>
        <v>0</v>
      </c>
      <c r="H87" s="445">
        <f>Oppervlakte!H$5</f>
        <v>0</v>
      </c>
      <c r="J87" s="444">
        <f>Oppervlakte!J$5</f>
        <v>0</v>
      </c>
      <c r="K87" s="445">
        <f>Oppervlakte!K$5</f>
        <v>0</v>
      </c>
      <c r="L87" s="445">
        <f>Oppervlakte!L$5</f>
        <v>0</v>
      </c>
      <c r="N87" s="444">
        <f>Oppervlakte!N$5</f>
        <v>0</v>
      </c>
      <c r="O87" s="445">
        <f>Oppervlakte!O$5</f>
        <v>0</v>
      </c>
      <c r="P87" s="445">
        <f>Oppervlakte!P$5</f>
        <v>0</v>
      </c>
    </row>
    <row r="88" spans="2:16" x14ac:dyDescent="0.3">
      <c r="B88" s="444">
        <f>Oppervlakte!B88</f>
        <v>0</v>
      </c>
      <c r="C88" s="445">
        <f>Oppervlakte!C88</f>
        <v>0</v>
      </c>
      <c r="D88" s="445">
        <f>Oppervlakte!D88</f>
        <v>0</v>
      </c>
      <c r="F88" s="444">
        <f>Oppervlakte!F$5</f>
        <v>0</v>
      </c>
      <c r="G88" s="445">
        <f>Oppervlakte!G$5</f>
        <v>0</v>
      </c>
      <c r="H88" s="445">
        <f>Oppervlakte!H$5</f>
        <v>0</v>
      </c>
      <c r="J88" s="444">
        <f>Oppervlakte!J$5</f>
        <v>0</v>
      </c>
      <c r="K88" s="445">
        <f>Oppervlakte!K$5</f>
        <v>0</v>
      </c>
      <c r="L88" s="445">
        <f>Oppervlakte!L$5</f>
        <v>0</v>
      </c>
      <c r="N88" s="444">
        <f>Oppervlakte!N$5</f>
        <v>0</v>
      </c>
      <c r="O88" s="445">
        <f>Oppervlakte!O$5</f>
        <v>0</v>
      </c>
      <c r="P88" s="445">
        <f>Oppervlakte!P$5</f>
        <v>0</v>
      </c>
    </row>
    <row r="89" spans="2:16" x14ac:dyDescent="0.3">
      <c r="B89" s="444">
        <f>Oppervlakte!B89</f>
        <v>0</v>
      </c>
      <c r="C89" s="445">
        <f>Oppervlakte!C89</f>
        <v>0</v>
      </c>
      <c r="D89" s="445">
        <f>Oppervlakte!D89</f>
        <v>0</v>
      </c>
      <c r="F89" s="444">
        <f>Oppervlakte!F$5</f>
        <v>0</v>
      </c>
      <c r="G89" s="445">
        <f>Oppervlakte!G$5</f>
        <v>0</v>
      </c>
      <c r="H89" s="445">
        <f>Oppervlakte!H$5</f>
        <v>0</v>
      </c>
      <c r="J89" s="444">
        <f>Oppervlakte!J$5</f>
        <v>0</v>
      </c>
      <c r="K89" s="445">
        <f>Oppervlakte!K$5</f>
        <v>0</v>
      </c>
      <c r="L89" s="445">
        <f>Oppervlakte!L$5</f>
        <v>0</v>
      </c>
      <c r="N89" s="444">
        <f>Oppervlakte!N$5</f>
        <v>0</v>
      </c>
      <c r="O89" s="445">
        <f>Oppervlakte!O$5</f>
        <v>0</v>
      </c>
      <c r="P89" s="445">
        <f>Oppervlakte!P$5</f>
        <v>0</v>
      </c>
    </row>
    <row r="90" spans="2:16" x14ac:dyDescent="0.3">
      <c r="B90" s="444">
        <f>Oppervlakte!B90</f>
        <v>0</v>
      </c>
      <c r="C90" s="445">
        <f>Oppervlakte!C90</f>
        <v>0</v>
      </c>
      <c r="D90" s="445">
        <f>Oppervlakte!D90</f>
        <v>0</v>
      </c>
      <c r="F90" s="444">
        <f>Oppervlakte!F$5</f>
        <v>0</v>
      </c>
      <c r="G90" s="445">
        <f>Oppervlakte!G$5</f>
        <v>0</v>
      </c>
      <c r="H90" s="445">
        <f>Oppervlakte!H$5</f>
        <v>0</v>
      </c>
      <c r="J90" s="444">
        <f>Oppervlakte!J$5</f>
        <v>0</v>
      </c>
      <c r="K90" s="445">
        <f>Oppervlakte!K$5</f>
        <v>0</v>
      </c>
      <c r="L90" s="445">
        <f>Oppervlakte!L$5</f>
        <v>0</v>
      </c>
      <c r="N90" s="444">
        <f>Oppervlakte!N$5</f>
        <v>0</v>
      </c>
      <c r="O90" s="445">
        <f>Oppervlakte!O$5</f>
        <v>0</v>
      </c>
      <c r="P90" s="445">
        <f>Oppervlakte!P$5</f>
        <v>0</v>
      </c>
    </row>
    <row r="91" spans="2:16" x14ac:dyDescent="0.3">
      <c r="B91" s="444">
        <f>Oppervlakte!B91</f>
        <v>0</v>
      </c>
      <c r="C91" s="445">
        <f>Oppervlakte!C91</f>
        <v>0</v>
      </c>
      <c r="D91" s="445">
        <f>Oppervlakte!D91</f>
        <v>0</v>
      </c>
      <c r="F91" s="444">
        <f>Oppervlakte!F$5</f>
        <v>0</v>
      </c>
      <c r="G91" s="445">
        <f>Oppervlakte!G$5</f>
        <v>0</v>
      </c>
      <c r="H91" s="445">
        <f>Oppervlakte!H$5</f>
        <v>0</v>
      </c>
      <c r="J91" s="444">
        <f>Oppervlakte!J$5</f>
        <v>0</v>
      </c>
      <c r="K91" s="445">
        <f>Oppervlakte!K$5</f>
        <v>0</v>
      </c>
      <c r="L91" s="445">
        <f>Oppervlakte!L$5</f>
        <v>0</v>
      </c>
      <c r="N91" s="444">
        <f>Oppervlakte!N$5</f>
        <v>0</v>
      </c>
      <c r="O91" s="445">
        <f>Oppervlakte!O$5</f>
        <v>0</v>
      </c>
      <c r="P91" s="445">
        <f>Oppervlakte!P$5</f>
        <v>0</v>
      </c>
    </row>
    <row r="92" spans="2:16" x14ac:dyDescent="0.3">
      <c r="B92" s="444">
        <f>Oppervlakte!B92</f>
        <v>0</v>
      </c>
      <c r="C92" s="445">
        <f>Oppervlakte!C92</f>
        <v>0</v>
      </c>
      <c r="D92" s="445">
        <f>Oppervlakte!D92</f>
        <v>0</v>
      </c>
      <c r="F92" s="444">
        <f>Oppervlakte!F$5</f>
        <v>0</v>
      </c>
      <c r="G92" s="445">
        <f>Oppervlakte!G$5</f>
        <v>0</v>
      </c>
      <c r="H92" s="445">
        <f>Oppervlakte!H$5</f>
        <v>0</v>
      </c>
      <c r="J92" s="444">
        <f>Oppervlakte!J$5</f>
        <v>0</v>
      </c>
      <c r="K92" s="445">
        <f>Oppervlakte!K$5</f>
        <v>0</v>
      </c>
      <c r="L92" s="445">
        <f>Oppervlakte!L$5</f>
        <v>0</v>
      </c>
      <c r="N92" s="444">
        <f>Oppervlakte!N$5</f>
        <v>0</v>
      </c>
      <c r="O92" s="445">
        <f>Oppervlakte!O$5</f>
        <v>0</v>
      </c>
      <c r="P92" s="445">
        <f>Oppervlakte!P$5</f>
        <v>0</v>
      </c>
    </row>
    <row r="93" spans="2:16" x14ac:dyDescent="0.3">
      <c r="B93" s="444">
        <f>Oppervlakte!B93</f>
        <v>0</v>
      </c>
      <c r="C93" s="445">
        <f>Oppervlakte!C93</f>
        <v>0</v>
      </c>
      <c r="D93" s="445">
        <f>Oppervlakte!D93</f>
        <v>0</v>
      </c>
      <c r="F93" s="444">
        <f>Oppervlakte!F$5</f>
        <v>0</v>
      </c>
      <c r="G93" s="445">
        <f>Oppervlakte!G$5</f>
        <v>0</v>
      </c>
      <c r="H93" s="445">
        <f>Oppervlakte!H$5</f>
        <v>0</v>
      </c>
      <c r="J93" s="444">
        <f>Oppervlakte!J$5</f>
        <v>0</v>
      </c>
      <c r="K93" s="445">
        <f>Oppervlakte!K$5</f>
        <v>0</v>
      </c>
      <c r="L93" s="445">
        <f>Oppervlakte!L$5</f>
        <v>0</v>
      </c>
      <c r="N93" s="444">
        <f>Oppervlakte!N$5</f>
        <v>0</v>
      </c>
      <c r="O93" s="445">
        <f>Oppervlakte!O$5</f>
        <v>0</v>
      </c>
      <c r="P93" s="445">
        <f>Oppervlakte!P$5</f>
        <v>0</v>
      </c>
    </row>
    <row r="94" spans="2:16" x14ac:dyDescent="0.3">
      <c r="B94" s="444">
        <f>Oppervlakte!B94</f>
        <v>0</v>
      </c>
      <c r="C94" s="445">
        <f>Oppervlakte!C94</f>
        <v>0</v>
      </c>
      <c r="D94" s="445">
        <f>Oppervlakte!D94</f>
        <v>0</v>
      </c>
      <c r="F94" s="444">
        <f>Oppervlakte!F$5</f>
        <v>0</v>
      </c>
      <c r="G94" s="445">
        <f>Oppervlakte!G$5</f>
        <v>0</v>
      </c>
      <c r="H94" s="445">
        <f>Oppervlakte!H$5</f>
        <v>0</v>
      </c>
      <c r="J94" s="444">
        <f>Oppervlakte!J$5</f>
        <v>0</v>
      </c>
      <c r="K94" s="445">
        <f>Oppervlakte!K$5</f>
        <v>0</v>
      </c>
      <c r="L94" s="445">
        <f>Oppervlakte!L$5</f>
        <v>0</v>
      </c>
      <c r="N94" s="444">
        <f>Oppervlakte!N$5</f>
        <v>0</v>
      </c>
      <c r="O94" s="445">
        <f>Oppervlakte!O$5</f>
        <v>0</v>
      </c>
      <c r="P94" s="445">
        <f>Oppervlakte!P$5</f>
        <v>0</v>
      </c>
    </row>
    <row r="95" spans="2:16" x14ac:dyDescent="0.3">
      <c r="B95" s="444">
        <f>Oppervlakte!B95</f>
        <v>0</v>
      </c>
      <c r="C95" s="445">
        <f>Oppervlakte!C95</f>
        <v>0</v>
      </c>
      <c r="D95" s="445">
        <f>Oppervlakte!D95</f>
        <v>0</v>
      </c>
      <c r="F95" s="444">
        <f>Oppervlakte!F$5</f>
        <v>0</v>
      </c>
      <c r="G95" s="445">
        <f>Oppervlakte!G$5</f>
        <v>0</v>
      </c>
      <c r="H95" s="445">
        <f>Oppervlakte!H$5</f>
        <v>0</v>
      </c>
      <c r="J95" s="444">
        <f>Oppervlakte!J$5</f>
        <v>0</v>
      </c>
      <c r="K95" s="445">
        <f>Oppervlakte!K$5</f>
        <v>0</v>
      </c>
      <c r="L95" s="445">
        <f>Oppervlakte!L$5</f>
        <v>0</v>
      </c>
      <c r="N95" s="444">
        <f>Oppervlakte!N$5</f>
        <v>0</v>
      </c>
      <c r="O95" s="445">
        <f>Oppervlakte!O$5</f>
        <v>0</v>
      </c>
      <c r="P95" s="445">
        <f>Oppervlakte!P$5</f>
        <v>0</v>
      </c>
    </row>
    <row r="96" spans="2:16" x14ac:dyDescent="0.3">
      <c r="B96" s="444">
        <f>Oppervlakte!B96</f>
        <v>0</v>
      </c>
      <c r="C96" s="445">
        <f>Oppervlakte!C96</f>
        <v>0</v>
      </c>
      <c r="D96" s="445">
        <f>Oppervlakte!D96</f>
        <v>0</v>
      </c>
      <c r="F96" s="444">
        <f>Oppervlakte!F$5</f>
        <v>0</v>
      </c>
      <c r="G96" s="445">
        <f>Oppervlakte!G$5</f>
        <v>0</v>
      </c>
      <c r="H96" s="445">
        <f>Oppervlakte!H$5</f>
        <v>0</v>
      </c>
      <c r="J96" s="444">
        <f>Oppervlakte!J$5</f>
        <v>0</v>
      </c>
      <c r="K96" s="445">
        <f>Oppervlakte!K$5</f>
        <v>0</v>
      </c>
      <c r="L96" s="445">
        <f>Oppervlakte!L$5</f>
        <v>0</v>
      </c>
      <c r="N96" s="444">
        <f>Oppervlakte!N$5</f>
        <v>0</v>
      </c>
      <c r="O96" s="445">
        <f>Oppervlakte!O$5</f>
        <v>0</v>
      </c>
      <c r="P96" s="445">
        <f>Oppervlakte!P$5</f>
        <v>0</v>
      </c>
    </row>
    <row r="97" spans="2:16" x14ac:dyDescent="0.3">
      <c r="B97" s="444">
        <f>Oppervlakte!B97</f>
        <v>0</v>
      </c>
      <c r="C97" s="445">
        <f>Oppervlakte!C97</f>
        <v>0</v>
      </c>
      <c r="D97" s="445">
        <f>Oppervlakte!D97</f>
        <v>0</v>
      </c>
      <c r="F97" s="444">
        <f>Oppervlakte!F$5</f>
        <v>0</v>
      </c>
      <c r="G97" s="445">
        <f>Oppervlakte!G$5</f>
        <v>0</v>
      </c>
      <c r="H97" s="445">
        <f>Oppervlakte!H$5</f>
        <v>0</v>
      </c>
      <c r="J97" s="444">
        <f>Oppervlakte!J$5</f>
        <v>0</v>
      </c>
      <c r="K97" s="445">
        <f>Oppervlakte!K$5</f>
        <v>0</v>
      </c>
      <c r="L97" s="445">
        <f>Oppervlakte!L$5</f>
        <v>0</v>
      </c>
      <c r="N97" s="444">
        <f>Oppervlakte!N$5</f>
        <v>0</v>
      </c>
      <c r="O97" s="445">
        <f>Oppervlakte!O$5</f>
        <v>0</v>
      </c>
      <c r="P97" s="445">
        <f>Oppervlakte!P$5</f>
        <v>0</v>
      </c>
    </row>
    <row r="98" spans="2:16" x14ac:dyDescent="0.3">
      <c r="B98" s="444">
        <f>Oppervlakte!B98</f>
        <v>0</v>
      </c>
      <c r="C98" s="445">
        <f>Oppervlakte!C98</f>
        <v>0</v>
      </c>
      <c r="D98" s="445">
        <f>Oppervlakte!D98</f>
        <v>0</v>
      </c>
      <c r="F98" s="444">
        <f>Oppervlakte!F$5</f>
        <v>0</v>
      </c>
      <c r="G98" s="445">
        <f>Oppervlakte!G$5</f>
        <v>0</v>
      </c>
      <c r="H98" s="445">
        <f>Oppervlakte!H$5</f>
        <v>0</v>
      </c>
      <c r="J98" s="444">
        <f>Oppervlakte!J$5</f>
        <v>0</v>
      </c>
      <c r="K98" s="445">
        <f>Oppervlakte!K$5</f>
        <v>0</v>
      </c>
      <c r="L98" s="445">
        <f>Oppervlakte!L$5</f>
        <v>0</v>
      </c>
      <c r="N98" s="444">
        <f>Oppervlakte!N$5</f>
        <v>0</v>
      </c>
      <c r="O98" s="445">
        <f>Oppervlakte!O$5</f>
        <v>0</v>
      </c>
      <c r="P98" s="445">
        <f>Oppervlakte!P$5</f>
        <v>0</v>
      </c>
    </row>
    <row r="99" spans="2:16" x14ac:dyDescent="0.3">
      <c r="B99" s="444">
        <f>Oppervlakte!B99</f>
        <v>0</v>
      </c>
      <c r="C99" s="445">
        <f>Oppervlakte!C99</f>
        <v>0</v>
      </c>
      <c r="D99" s="445">
        <f>Oppervlakte!D99</f>
        <v>0</v>
      </c>
      <c r="F99" s="444">
        <f>Oppervlakte!F$5</f>
        <v>0</v>
      </c>
      <c r="G99" s="445">
        <f>Oppervlakte!G$5</f>
        <v>0</v>
      </c>
      <c r="H99" s="445">
        <f>Oppervlakte!H$5</f>
        <v>0</v>
      </c>
      <c r="J99" s="444">
        <f>Oppervlakte!J$5</f>
        <v>0</v>
      </c>
      <c r="K99" s="445">
        <f>Oppervlakte!K$5</f>
        <v>0</v>
      </c>
      <c r="L99" s="445">
        <f>Oppervlakte!L$5</f>
        <v>0</v>
      </c>
      <c r="N99" s="444">
        <f>Oppervlakte!N$5</f>
        <v>0</v>
      </c>
      <c r="O99" s="445">
        <f>Oppervlakte!O$5</f>
        <v>0</v>
      </c>
      <c r="P99" s="445">
        <f>Oppervlakte!P$5</f>
        <v>0</v>
      </c>
    </row>
    <row r="100" spans="2:16" x14ac:dyDescent="0.3">
      <c r="B100" s="444">
        <f>Oppervlakte!B100</f>
        <v>0</v>
      </c>
      <c r="C100" s="445">
        <f>Oppervlakte!C100</f>
        <v>0</v>
      </c>
      <c r="D100" s="445">
        <f>Oppervlakte!D100</f>
        <v>0</v>
      </c>
      <c r="F100" s="444">
        <f>Oppervlakte!F$5</f>
        <v>0</v>
      </c>
      <c r="G100" s="445">
        <f>Oppervlakte!G$5</f>
        <v>0</v>
      </c>
      <c r="H100" s="445">
        <f>Oppervlakte!H$5</f>
        <v>0</v>
      </c>
      <c r="J100" s="444">
        <f>Oppervlakte!J$5</f>
        <v>0</v>
      </c>
      <c r="K100" s="445">
        <f>Oppervlakte!K$5</f>
        <v>0</v>
      </c>
      <c r="L100" s="445">
        <f>Oppervlakte!L$5</f>
        <v>0</v>
      </c>
      <c r="N100" s="444">
        <f>Oppervlakte!N$5</f>
        <v>0</v>
      </c>
      <c r="O100" s="445">
        <f>Oppervlakte!O$5</f>
        <v>0</v>
      </c>
      <c r="P100" s="445">
        <f>Oppervlakte!P$5</f>
        <v>0</v>
      </c>
    </row>
    <row r="101" spans="2:16" x14ac:dyDescent="0.3">
      <c r="B101" s="444">
        <f>Oppervlakte!B101</f>
        <v>0</v>
      </c>
      <c r="C101" s="445">
        <f>Oppervlakte!C101</f>
        <v>0</v>
      </c>
      <c r="D101" s="445">
        <f>Oppervlakte!D101</f>
        <v>0</v>
      </c>
      <c r="F101" s="444">
        <f>Oppervlakte!F$5</f>
        <v>0</v>
      </c>
      <c r="G101" s="445">
        <f>Oppervlakte!G$5</f>
        <v>0</v>
      </c>
      <c r="H101" s="445">
        <f>Oppervlakte!H$5</f>
        <v>0</v>
      </c>
      <c r="J101" s="444">
        <f>Oppervlakte!J$5</f>
        <v>0</v>
      </c>
      <c r="K101" s="445">
        <f>Oppervlakte!K$5</f>
        <v>0</v>
      </c>
      <c r="L101" s="445">
        <f>Oppervlakte!L$5</f>
        <v>0</v>
      </c>
      <c r="N101" s="444">
        <f>Oppervlakte!N$5</f>
        <v>0</v>
      </c>
      <c r="O101" s="445">
        <f>Oppervlakte!O$5</f>
        <v>0</v>
      </c>
      <c r="P101" s="445">
        <f>Oppervlakte!P$5</f>
        <v>0</v>
      </c>
    </row>
    <row r="102" spans="2:16" x14ac:dyDescent="0.3">
      <c r="B102" s="444">
        <f>Oppervlakte!B102</f>
        <v>0</v>
      </c>
      <c r="C102" s="445">
        <f>Oppervlakte!C102</f>
        <v>0</v>
      </c>
      <c r="D102" s="445">
        <f>Oppervlakte!D102</f>
        <v>0</v>
      </c>
      <c r="F102" s="444">
        <f>Oppervlakte!F$5</f>
        <v>0</v>
      </c>
      <c r="G102" s="445">
        <f>Oppervlakte!G$5</f>
        <v>0</v>
      </c>
      <c r="H102" s="445">
        <f>Oppervlakte!H$5</f>
        <v>0</v>
      </c>
      <c r="J102" s="444">
        <f>Oppervlakte!J$5</f>
        <v>0</v>
      </c>
      <c r="K102" s="445">
        <f>Oppervlakte!K$5</f>
        <v>0</v>
      </c>
      <c r="L102" s="445">
        <f>Oppervlakte!L$5</f>
        <v>0</v>
      </c>
      <c r="N102" s="444">
        <f>Oppervlakte!N$5</f>
        <v>0</v>
      </c>
      <c r="O102" s="445">
        <f>Oppervlakte!O$5</f>
        <v>0</v>
      </c>
      <c r="P102" s="445">
        <f>Oppervlakte!P$5</f>
        <v>0</v>
      </c>
    </row>
    <row r="103" spans="2:16" x14ac:dyDescent="0.3">
      <c r="B103" s="444">
        <f>Oppervlakte!B103</f>
        <v>0</v>
      </c>
      <c r="C103" s="445">
        <f>Oppervlakte!C103</f>
        <v>0</v>
      </c>
      <c r="D103" s="445">
        <f>Oppervlakte!D103</f>
        <v>0</v>
      </c>
      <c r="F103" s="444">
        <f>Oppervlakte!F$5</f>
        <v>0</v>
      </c>
      <c r="G103" s="445">
        <f>Oppervlakte!G$5</f>
        <v>0</v>
      </c>
      <c r="H103" s="445">
        <f>Oppervlakte!H$5</f>
        <v>0</v>
      </c>
      <c r="J103" s="444">
        <f>Oppervlakte!J$5</f>
        <v>0</v>
      </c>
      <c r="K103" s="445">
        <f>Oppervlakte!K$5</f>
        <v>0</v>
      </c>
      <c r="L103" s="445">
        <f>Oppervlakte!L$5</f>
        <v>0</v>
      </c>
      <c r="N103" s="444">
        <f>Oppervlakte!N$5</f>
        <v>0</v>
      </c>
      <c r="O103" s="445">
        <f>Oppervlakte!O$5</f>
        <v>0</v>
      </c>
      <c r="P103" s="445">
        <f>Oppervlakte!P$5</f>
        <v>0</v>
      </c>
    </row>
    <row r="104" spans="2:16" x14ac:dyDescent="0.3">
      <c r="B104" s="444">
        <f>Oppervlakte!B104</f>
        <v>0</v>
      </c>
      <c r="C104" s="445">
        <f>Oppervlakte!C104</f>
        <v>0</v>
      </c>
      <c r="D104" s="445">
        <f>Oppervlakte!D104</f>
        <v>0</v>
      </c>
      <c r="F104" s="444">
        <f>Oppervlakte!F$5</f>
        <v>0</v>
      </c>
      <c r="G104" s="445">
        <f>Oppervlakte!G$5</f>
        <v>0</v>
      </c>
      <c r="H104" s="445">
        <f>Oppervlakte!H$5</f>
        <v>0</v>
      </c>
      <c r="J104" s="444">
        <f>Oppervlakte!J$5</f>
        <v>0</v>
      </c>
      <c r="K104" s="445">
        <f>Oppervlakte!K$5</f>
        <v>0</v>
      </c>
      <c r="L104" s="445">
        <f>Oppervlakte!L$5</f>
        <v>0</v>
      </c>
      <c r="N104" s="444">
        <f>Oppervlakte!N$5</f>
        <v>0</v>
      </c>
      <c r="O104" s="445">
        <f>Oppervlakte!O$5</f>
        <v>0</v>
      </c>
      <c r="P104" s="445">
        <f>Oppervlakte!P$5</f>
        <v>0</v>
      </c>
    </row>
    <row r="105" spans="2:16" x14ac:dyDescent="0.3">
      <c r="B105" s="444"/>
      <c r="C105" s="445"/>
      <c r="D105" s="445"/>
      <c r="F105" s="444"/>
      <c r="G105" s="445"/>
      <c r="H105" s="445"/>
      <c r="J105" s="444"/>
      <c r="K105" s="445"/>
      <c r="L105" s="445"/>
      <c r="N105" s="444"/>
      <c r="O105" s="445"/>
      <c r="P105" s="445"/>
    </row>
    <row r="106" spans="2:16" x14ac:dyDescent="0.3">
      <c r="B106" s="444"/>
      <c r="C106" s="445"/>
      <c r="D106" s="445"/>
      <c r="F106" s="444"/>
      <c r="G106" s="445"/>
      <c r="H106" s="445"/>
      <c r="J106" s="444"/>
      <c r="K106" s="445"/>
      <c r="L106" s="445"/>
      <c r="N106" s="444"/>
      <c r="O106" s="445"/>
      <c r="P106" s="445"/>
    </row>
    <row r="107" spans="2:16" x14ac:dyDescent="0.3">
      <c r="B107" s="444"/>
      <c r="C107" s="445"/>
      <c r="D107" s="445"/>
      <c r="F107" s="444"/>
      <c r="G107" s="445"/>
      <c r="H107" s="445"/>
      <c r="J107" s="444"/>
      <c r="K107" s="445"/>
      <c r="L107" s="445"/>
      <c r="N107" s="444"/>
      <c r="O107" s="445"/>
      <c r="P107" s="445"/>
    </row>
    <row r="108" spans="2:16" x14ac:dyDescent="0.3">
      <c r="B108" s="444"/>
      <c r="C108" s="445"/>
      <c r="D108" s="445"/>
      <c r="F108" s="444"/>
      <c r="G108" s="445"/>
      <c r="H108" s="445"/>
      <c r="J108" s="444"/>
      <c r="K108" s="445"/>
      <c r="L108" s="445"/>
      <c r="N108" s="444"/>
      <c r="O108" s="445"/>
      <c r="P108" s="445"/>
    </row>
    <row r="109" spans="2:16" x14ac:dyDescent="0.3">
      <c r="B109" s="444"/>
      <c r="C109" s="445"/>
      <c r="D109" s="445"/>
      <c r="F109" s="444"/>
      <c r="G109" s="445"/>
      <c r="H109" s="445"/>
      <c r="J109" s="444"/>
      <c r="K109" s="445"/>
      <c r="L109" s="445"/>
      <c r="N109" s="444"/>
      <c r="O109" s="445"/>
      <c r="P109" s="445"/>
    </row>
    <row r="110" spans="2:16" x14ac:dyDescent="0.3">
      <c r="B110" s="444"/>
      <c r="C110" s="445"/>
      <c r="D110" s="445"/>
      <c r="F110" s="444"/>
      <c r="G110" s="445"/>
      <c r="H110" s="445"/>
      <c r="J110" s="444"/>
      <c r="K110" s="445"/>
      <c r="L110" s="445"/>
      <c r="N110" s="444"/>
      <c r="O110" s="445"/>
      <c r="P110" s="445"/>
    </row>
    <row r="111" spans="2:16" x14ac:dyDescent="0.3">
      <c r="B111" s="155"/>
      <c r="C111" s="350"/>
      <c r="D111" s="350"/>
      <c r="F111" s="155"/>
      <c r="G111" s="350"/>
      <c r="H111" s="350"/>
      <c r="J111" s="155"/>
      <c r="K111" s="350"/>
      <c r="L111" s="350"/>
    </row>
    <row r="112" spans="2:16" x14ac:dyDescent="0.3">
      <c r="B112" s="155"/>
      <c r="C112" s="350"/>
      <c r="D112" s="350"/>
      <c r="F112" s="155"/>
      <c r="G112" s="350"/>
      <c r="H112" s="350"/>
      <c r="J112" s="155"/>
      <c r="K112" s="350"/>
      <c r="L112" s="350"/>
    </row>
    <row r="113" spans="2:12" x14ac:dyDescent="0.3">
      <c r="B113" s="155"/>
      <c r="C113" s="350"/>
      <c r="D113" s="350"/>
      <c r="F113" s="155"/>
      <c r="G113" s="350"/>
      <c r="H113" s="350"/>
      <c r="J113" s="155"/>
      <c r="K113" s="350"/>
      <c r="L113" s="350"/>
    </row>
    <row r="114" spans="2:12" x14ac:dyDescent="0.3">
      <c r="B114" s="155"/>
      <c r="C114" s="350"/>
      <c r="D114" s="350"/>
      <c r="F114" s="155"/>
      <c r="G114" s="350"/>
      <c r="H114" s="350"/>
      <c r="J114" s="155"/>
      <c r="K114" s="350"/>
      <c r="L114" s="350"/>
    </row>
    <row r="115" spans="2:12" x14ac:dyDescent="0.3">
      <c r="B115" s="155"/>
      <c r="C115" s="350"/>
      <c r="D115" s="350"/>
      <c r="F115" s="155"/>
      <c r="G115" s="350"/>
      <c r="H115" s="350"/>
      <c r="J115" s="155"/>
      <c r="K115" s="350"/>
      <c r="L115" s="350"/>
    </row>
    <row r="116" spans="2:12" x14ac:dyDescent="0.3">
      <c r="B116" s="155"/>
      <c r="C116" s="350"/>
      <c r="D116" s="350"/>
      <c r="F116" s="155"/>
      <c r="G116" s="350"/>
      <c r="H116" s="350"/>
      <c r="J116" s="155"/>
      <c r="K116" s="350"/>
      <c r="L116" s="350"/>
    </row>
    <row r="117" spans="2:12" x14ac:dyDescent="0.3">
      <c r="B117" s="155"/>
      <c r="C117" s="350"/>
      <c r="D117" s="350"/>
      <c r="F117" s="155"/>
      <c r="G117" s="350"/>
      <c r="H117" s="350"/>
      <c r="J117" s="155"/>
      <c r="K117" s="350"/>
      <c r="L117" s="350"/>
    </row>
    <row r="118" spans="2:12" x14ac:dyDescent="0.3">
      <c r="B118" s="155"/>
      <c r="C118" s="350"/>
      <c r="D118" s="350"/>
      <c r="F118" s="155"/>
      <c r="G118" s="350"/>
      <c r="H118" s="350"/>
      <c r="J118" s="155"/>
      <c r="K118" s="350"/>
      <c r="L118" s="350"/>
    </row>
    <row r="119" spans="2:12" x14ac:dyDescent="0.3">
      <c r="B119" s="155"/>
      <c r="C119" s="350"/>
      <c r="D119" s="350"/>
      <c r="F119" s="155"/>
      <c r="G119" s="350"/>
      <c r="H119" s="350"/>
      <c r="J119" s="155"/>
      <c r="K119" s="350"/>
      <c r="L119" s="350"/>
    </row>
    <row r="120" spans="2:12" x14ac:dyDescent="0.3">
      <c r="B120" s="155"/>
      <c r="C120" s="350"/>
      <c r="D120" s="350"/>
      <c r="F120" s="155"/>
      <c r="G120" s="350"/>
      <c r="H120" s="350"/>
      <c r="J120" s="155"/>
      <c r="K120" s="350"/>
      <c r="L120" s="350"/>
    </row>
    <row r="121" spans="2:12" x14ac:dyDescent="0.3">
      <c r="B121" s="155"/>
      <c r="C121" s="350"/>
      <c r="D121" s="350"/>
      <c r="F121" s="155"/>
      <c r="G121" s="350"/>
      <c r="H121" s="350"/>
      <c r="J121" s="155"/>
      <c r="K121" s="350"/>
      <c r="L121" s="350"/>
    </row>
    <row r="122" spans="2:12" x14ac:dyDescent="0.3">
      <c r="B122" s="155"/>
      <c r="C122" s="350"/>
      <c r="D122" s="350"/>
      <c r="F122" s="155"/>
      <c r="G122" s="350"/>
      <c r="H122" s="350"/>
      <c r="J122" s="155"/>
      <c r="K122" s="350"/>
      <c r="L122" s="350"/>
    </row>
    <row r="123" spans="2:12" x14ac:dyDescent="0.3">
      <c r="B123" s="155"/>
      <c r="C123" s="350"/>
      <c r="D123" s="350"/>
      <c r="F123" s="155"/>
      <c r="G123" s="350"/>
      <c r="H123" s="350"/>
      <c r="J123" s="155"/>
      <c r="K123" s="350"/>
      <c r="L123" s="350"/>
    </row>
    <row r="124" spans="2:12" x14ac:dyDescent="0.3">
      <c r="B124" s="155"/>
      <c r="C124" s="350"/>
      <c r="D124" s="350"/>
      <c r="F124" s="155"/>
      <c r="G124" s="350"/>
      <c r="H124" s="350"/>
      <c r="J124" s="155"/>
      <c r="K124" s="350"/>
      <c r="L124" s="350"/>
    </row>
    <row r="125" spans="2:12" x14ac:dyDescent="0.3">
      <c r="B125" s="155"/>
      <c r="C125" s="350"/>
      <c r="D125" s="350"/>
      <c r="F125" s="155"/>
      <c r="G125" s="350"/>
      <c r="H125" s="350"/>
      <c r="J125" s="155"/>
      <c r="K125" s="350"/>
      <c r="L125" s="350"/>
    </row>
    <row r="126" spans="2:12" x14ac:dyDescent="0.3">
      <c r="B126" s="155"/>
      <c r="C126" s="350"/>
      <c r="D126" s="350"/>
      <c r="F126" s="155"/>
      <c r="G126" s="350"/>
      <c r="H126" s="350"/>
      <c r="J126" s="155"/>
      <c r="K126" s="350"/>
      <c r="L126" s="350"/>
    </row>
    <row r="127" spans="2:12" x14ac:dyDescent="0.3">
      <c r="B127" s="155"/>
      <c r="C127" s="350"/>
      <c r="D127" s="350"/>
      <c r="F127" s="155"/>
      <c r="G127" s="350"/>
      <c r="H127" s="350"/>
      <c r="J127" s="155"/>
      <c r="K127" s="350"/>
      <c r="L127" s="350"/>
    </row>
    <row r="128" spans="2:12" x14ac:dyDescent="0.3">
      <c r="B128" s="155"/>
      <c r="C128" s="350"/>
      <c r="D128" s="350"/>
      <c r="F128" s="155"/>
      <c r="G128" s="350"/>
      <c r="H128" s="350"/>
      <c r="J128" s="155"/>
      <c r="K128" s="350"/>
      <c r="L128" s="350"/>
    </row>
    <row r="129" spans="2:12" x14ac:dyDescent="0.3">
      <c r="B129" s="155"/>
      <c r="C129" s="350"/>
      <c r="D129" s="350"/>
      <c r="F129" s="155"/>
      <c r="G129" s="350"/>
      <c r="H129" s="350"/>
      <c r="J129" s="155"/>
      <c r="K129" s="350"/>
      <c r="L129" s="350"/>
    </row>
    <row r="130" spans="2:12" x14ac:dyDescent="0.3">
      <c r="B130" s="155"/>
      <c r="C130" s="350"/>
      <c r="D130" s="350"/>
      <c r="F130" s="155"/>
      <c r="G130" s="350"/>
      <c r="H130" s="350"/>
      <c r="J130" s="155"/>
      <c r="K130" s="350"/>
      <c r="L130" s="350"/>
    </row>
    <row r="131" spans="2:12" x14ac:dyDescent="0.3">
      <c r="B131" s="155"/>
      <c r="C131" s="350"/>
      <c r="D131" s="350"/>
      <c r="F131" s="155"/>
      <c r="G131" s="350"/>
      <c r="H131" s="350"/>
      <c r="J131" s="155"/>
      <c r="K131" s="350"/>
      <c r="L131" s="350"/>
    </row>
    <row r="132" spans="2:12" x14ac:dyDescent="0.3">
      <c r="B132" s="155"/>
      <c r="C132" s="350"/>
      <c r="D132" s="350"/>
      <c r="F132" s="155"/>
      <c r="G132" s="350"/>
      <c r="H132" s="350"/>
      <c r="J132" s="155"/>
      <c r="K132" s="350"/>
      <c r="L132" s="350"/>
    </row>
    <row r="133" spans="2:12" x14ac:dyDescent="0.3">
      <c r="B133" s="155"/>
      <c r="C133" s="350"/>
      <c r="D133" s="350"/>
      <c r="F133" s="155"/>
      <c r="G133" s="350"/>
      <c r="H133" s="350"/>
      <c r="J133" s="155"/>
      <c r="K133" s="350"/>
      <c r="L133" s="350"/>
    </row>
    <row r="134" spans="2:12" x14ac:dyDescent="0.3">
      <c r="B134" s="155"/>
      <c r="C134" s="350"/>
      <c r="D134" s="350"/>
      <c r="F134" s="155"/>
      <c r="G134" s="350"/>
      <c r="H134" s="350"/>
      <c r="J134" s="155"/>
      <c r="K134" s="350"/>
      <c r="L134" s="350"/>
    </row>
    <row r="135" spans="2:12" x14ac:dyDescent="0.3">
      <c r="B135" s="155"/>
      <c r="C135" s="350"/>
      <c r="D135" s="350"/>
      <c r="F135" s="155"/>
      <c r="G135" s="350"/>
      <c r="H135" s="350"/>
      <c r="J135" s="155"/>
      <c r="K135" s="350"/>
      <c r="L135" s="350"/>
    </row>
    <row r="136" spans="2:12" x14ac:dyDescent="0.3">
      <c r="B136" s="155"/>
      <c r="C136" s="350"/>
      <c r="D136" s="350"/>
      <c r="F136" s="155"/>
      <c r="G136" s="350"/>
      <c r="H136" s="350"/>
      <c r="J136" s="155"/>
      <c r="K136" s="350"/>
      <c r="L136" s="350"/>
    </row>
    <row r="137" spans="2:12" x14ac:dyDescent="0.3">
      <c r="B137" s="155"/>
      <c r="C137" s="350"/>
      <c r="D137" s="350"/>
      <c r="F137" s="155"/>
      <c r="G137" s="350"/>
      <c r="H137" s="350"/>
      <c r="J137" s="155"/>
      <c r="K137" s="350"/>
      <c r="L137" s="350"/>
    </row>
    <row r="138" spans="2:12" x14ac:dyDescent="0.3">
      <c r="B138" s="155"/>
      <c r="C138" s="350"/>
      <c r="D138" s="350"/>
      <c r="F138" s="155"/>
      <c r="G138" s="350"/>
      <c r="H138" s="350"/>
      <c r="J138" s="155"/>
      <c r="K138" s="350"/>
      <c r="L138" s="350"/>
    </row>
    <row r="139" spans="2:12" x14ac:dyDescent="0.3">
      <c r="B139" s="155"/>
      <c r="C139" s="350"/>
      <c r="D139" s="350"/>
      <c r="F139" s="155"/>
      <c r="G139" s="350"/>
      <c r="H139" s="350"/>
      <c r="J139" s="155"/>
      <c r="K139" s="350"/>
      <c r="L139" s="350"/>
    </row>
    <row r="140" spans="2:12" x14ac:dyDescent="0.3">
      <c r="B140" s="155"/>
      <c r="C140" s="350"/>
      <c r="D140" s="350"/>
      <c r="F140" s="155"/>
      <c r="G140" s="350"/>
      <c r="H140" s="350"/>
      <c r="J140" s="155"/>
      <c r="K140" s="350"/>
      <c r="L140" s="350"/>
    </row>
    <row r="141" spans="2:12" x14ac:dyDescent="0.3">
      <c r="B141" s="155"/>
      <c r="C141" s="350"/>
      <c r="D141" s="350"/>
      <c r="F141" s="155"/>
      <c r="G141" s="350"/>
      <c r="H141" s="350"/>
      <c r="J141" s="155"/>
      <c r="K141" s="350"/>
      <c r="L141" s="350"/>
    </row>
    <row r="142" spans="2:12" x14ac:dyDescent="0.3">
      <c r="B142" s="155"/>
      <c r="C142" s="350"/>
      <c r="D142" s="350"/>
      <c r="F142" s="155"/>
      <c r="G142" s="350"/>
      <c r="H142" s="350"/>
      <c r="J142" s="155"/>
      <c r="K142" s="350"/>
      <c r="L142" s="350"/>
    </row>
    <row r="143" spans="2:12" x14ac:dyDescent="0.3">
      <c r="B143" s="155"/>
      <c r="C143" s="350"/>
      <c r="D143" s="350"/>
      <c r="F143" s="155"/>
      <c r="G143" s="350"/>
      <c r="H143" s="350"/>
      <c r="J143" s="155"/>
      <c r="K143" s="350"/>
      <c r="L143" s="350"/>
    </row>
    <row r="144" spans="2:12" x14ac:dyDescent="0.3">
      <c r="B144" s="155"/>
      <c r="C144" s="350"/>
      <c r="D144" s="350"/>
      <c r="F144" s="155"/>
      <c r="G144" s="350"/>
      <c r="H144" s="350"/>
      <c r="J144" s="155"/>
      <c r="K144" s="350"/>
      <c r="L144" s="350"/>
    </row>
    <row r="145" spans="2:12" x14ac:dyDescent="0.3">
      <c r="B145" s="155"/>
      <c r="C145" s="350"/>
      <c r="D145" s="350"/>
      <c r="F145" s="155"/>
      <c r="G145" s="350"/>
      <c r="H145" s="350"/>
      <c r="J145" s="155"/>
      <c r="K145" s="350"/>
      <c r="L145" s="350"/>
    </row>
    <row r="146" spans="2:12" x14ac:dyDescent="0.3">
      <c r="B146" s="155"/>
      <c r="C146" s="350"/>
      <c r="D146" s="350"/>
      <c r="F146" s="155"/>
      <c r="G146" s="350"/>
      <c r="H146" s="350"/>
      <c r="J146" s="155"/>
      <c r="K146" s="350"/>
      <c r="L146" s="350"/>
    </row>
    <row r="147" spans="2:12" x14ac:dyDescent="0.3">
      <c r="B147" s="155"/>
      <c r="C147" s="350"/>
      <c r="D147" s="350"/>
      <c r="F147" s="155"/>
      <c r="G147" s="350"/>
      <c r="H147" s="350"/>
      <c r="J147" s="155"/>
      <c r="K147" s="350"/>
      <c r="L147" s="350"/>
    </row>
    <row r="148" spans="2:12" x14ac:dyDescent="0.3">
      <c r="B148" s="155"/>
      <c r="C148" s="350"/>
      <c r="D148" s="350"/>
      <c r="F148" s="155"/>
      <c r="G148" s="350"/>
      <c r="H148" s="350"/>
      <c r="J148" s="155"/>
      <c r="K148" s="350"/>
      <c r="L148" s="350"/>
    </row>
    <row r="149" spans="2:12" x14ac:dyDescent="0.3">
      <c r="B149" s="155"/>
      <c r="C149" s="350"/>
      <c r="D149" s="350"/>
      <c r="F149" s="155"/>
      <c r="G149" s="350"/>
      <c r="H149" s="350"/>
      <c r="J149" s="155"/>
      <c r="K149" s="350"/>
      <c r="L149" s="350"/>
    </row>
    <row r="150" spans="2:12" x14ac:dyDescent="0.3">
      <c r="B150" s="155"/>
      <c r="C150" s="350"/>
      <c r="D150" s="350"/>
      <c r="F150" s="155"/>
      <c r="G150" s="350"/>
      <c r="H150" s="350"/>
      <c r="J150" s="155"/>
      <c r="K150" s="350"/>
      <c r="L150" s="350"/>
    </row>
    <row r="151" spans="2:12" x14ac:dyDescent="0.3">
      <c r="B151" s="155"/>
      <c r="C151" s="350"/>
      <c r="D151" s="350"/>
      <c r="F151" s="155"/>
      <c r="G151" s="350"/>
      <c r="H151" s="350"/>
      <c r="J151" s="155"/>
      <c r="K151" s="350"/>
      <c r="L151" s="350"/>
    </row>
    <row r="152" spans="2:12" x14ac:dyDescent="0.3">
      <c r="B152" s="155"/>
      <c r="C152" s="350"/>
      <c r="D152" s="350"/>
      <c r="F152" s="155"/>
      <c r="G152" s="350"/>
      <c r="H152" s="350"/>
      <c r="J152" s="155"/>
      <c r="K152" s="350"/>
      <c r="L152" s="350"/>
    </row>
    <row r="153" spans="2:12" x14ac:dyDescent="0.3">
      <c r="B153" s="155"/>
      <c r="C153" s="350"/>
      <c r="D153" s="350"/>
      <c r="F153" s="155"/>
      <c r="G153" s="350"/>
      <c r="H153" s="350"/>
      <c r="J153" s="155"/>
      <c r="K153" s="350"/>
      <c r="L153" s="350"/>
    </row>
    <row r="154" spans="2:12" x14ac:dyDescent="0.3">
      <c r="B154" s="155"/>
      <c r="C154" s="350"/>
      <c r="D154" s="350"/>
      <c r="F154" s="155"/>
      <c r="G154" s="350"/>
      <c r="H154" s="350"/>
      <c r="J154" s="155"/>
      <c r="K154" s="350"/>
      <c r="L154" s="350"/>
    </row>
    <row r="155" spans="2:12" x14ac:dyDescent="0.3">
      <c r="B155" s="155"/>
      <c r="C155" s="350"/>
      <c r="D155" s="350"/>
      <c r="F155" s="155"/>
      <c r="G155" s="350"/>
      <c r="H155" s="350"/>
      <c r="J155" s="155"/>
      <c r="K155" s="350"/>
      <c r="L155" s="350"/>
    </row>
    <row r="156" spans="2:12" x14ac:dyDescent="0.3">
      <c r="B156" s="155"/>
      <c r="C156" s="350"/>
      <c r="D156" s="350"/>
      <c r="F156" s="155"/>
      <c r="G156" s="350"/>
      <c r="H156" s="350"/>
      <c r="J156" s="155"/>
      <c r="K156" s="350"/>
      <c r="L156" s="350"/>
    </row>
    <row r="157" spans="2:12" x14ac:dyDescent="0.3">
      <c r="B157" s="155"/>
      <c r="C157" s="350"/>
      <c r="D157" s="350"/>
      <c r="F157" s="155"/>
      <c r="G157" s="350"/>
      <c r="H157" s="350"/>
      <c r="J157" s="155"/>
      <c r="K157" s="350"/>
      <c r="L157" s="350"/>
    </row>
    <row r="158" spans="2:12" x14ac:dyDescent="0.3">
      <c r="B158" s="155"/>
      <c r="C158" s="350"/>
      <c r="D158" s="350"/>
      <c r="F158" s="155"/>
      <c r="G158" s="350"/>
      <c r="H158" s="350"/>
      <c r="J158" s="155"/>
      <c r="K158" s="350"/>
      <c r="L158" s="350"/>
    </row>
    <row r="159" spans="2:12" x14ac:dyDescent="0.3">
      <c r="B159" s="155"/>
      <c r="C159" s="350"/>
      <c r="D159" s="350"/>
      <c r="F159" s="155"/>
      <c r="G159" s="350"/>
      <c r="H159" s="350"/>
      <c r="J159" s="155"/>
      <c r="K159" s="350"/>
      <c r="L159" s="350"/>
    </row>
    <row r="160" spans="2:12" x14ac:dyDescent="0.3">
      <c r="B160" s="155"/>
      <c r="C160" s="350"/>
      <c r="D160" s="350"/>
      <c r="F160" s="155"/>
      <c r="G160" s="350"/>
      <c r="H160" s="350"/>
      <c r="J160" s="155"/>
      <c r="K160" s="350"/>
      <c r="L160" s="350"/>
    </row>
    <row r="161" spans="2:12" x14ac:dyDescent="0.3">
      <c r="B161" s="155"/>
      <c r="C161" s="350"/>
      <c r="D161" s="350"/>
      <c r="F161" s="155"/>
      <c r="G161" s="350"/>
      <c r="H161" s="350"/>
      <c r="J161" s="155"/>
      <c r="K161" s="350"/>
      <c r="L161" s="350"/>
    </row>
    <row r="162" spans="2:12" x14ac:dyDescent="0.3">
      <c r="B162" s="155"/>
      <c r="C162" s="350"/>
      <c r="D162" s="350"/>
      <c r="F162" s="155"/>
      <c r="G162" s="350"/>
      <c r="H162" s="350"/>
      <c r="J162" s="155"/>
      <c r="K162" s="350"/>
      <c r="L162" s="350"/>
    </row>
    <row r="163" spans="2:12" x14ac:dyDescent="0.3">
      <c r="B163" s="155"/>
      <c r="C163" s="350"/>
      <c r="D163" s="350"/>
      <c r="F163" s="155"/>
      <c r="G163" s="350"/>
      <c r="H163" s="350"/>
      <c r="J163" s="155"/>
      <c r="K163" s="350"/>
      <c r="L163" s="350"/>
    </row>
    <row r="164" spans="2:12" x14ac:dyDescent="0.3">
      <c r="B164" s="155"/>
      <c r="C164" s="350"/>
      <c r="D164" s="350"/>
      <c r="F164" s="155"/>
      <c r="G164" s="350"/>
      <c r="H164" s="350"/>
      <c r="J164" s="155"/>
      <c r="K164" s="350"/>
      <c r="L164" s="350"/>
    </row>
    <row r="165" spans="2:12" x14ac:dyDescent="0.3">
      <c r="B165" s="155"/>
      <c r="C165" s="350"/>
      <c r="D165" s="350"/>
      <c r="F165" s="155"/>
      <c r="G165" s="350"/>
      <c r="H165" s="350"/>
      <c r="J165" s="155"/>
      <c r="K165" s="350"/>
      <c r="L165" s="350"/>
    </row>
    <row r="166" spans="2:12" x14ac:dyDescent="0.3">
      <c r="B166" s="155"/>
      <c r="C166" s="350"/>
      <c r="D166" s="350"/>
      <c r="F166" s="155"/>
      <c r="G166" s="350"/>
      <c r="H166" s="350"/>
      <c r="J166" s="155"/>
      <c r="K166" s="350"/>
      <c r="L166" s="350"/>
    </row>
    <row r="167" spans="2:12" x14ac:dyDescent="0.3">
      <c r="B167" s="155"/>
      <c r="C167" s="350"/>
      <c r="D167" s="350"/>
      <c r="F167" s="155"/>
      <c r="G167" s="350"/>
      <c r="H167" s="350"/>
      <c r="J167" s="155"/>
      <c r="K167" s="350"/>
      <c r="L167" s="350"/>
    </row>
    <row r="168" spans="2:12" x14ac:dyDescent="0.3">
      <c r="B168" s="155"/>
      <c r="C168" s="350"/>
      <c r="D168" s="350"/>
      <c r="F168" s="155"/>
      <c r="G168" s="350"/>
      <c r="H168" s="350"/>
      <c r="J168" s="155"/>
      <c r="K168" s="350"/>
      <c r="L168" s="350"/>
    </row>
    <row r="169" spans="2:12" x14ac:dyDescent="0.3">
      <c r="B169" s="155"/>
      <c r="C169" s="350"/>
      <c r="D169" s="350"/>
      <c r="F169" s="155"/>
      <c r="G169" s="350"/>
      <c r="H169" s="350"/>
      <c r="J169" s="155"/>
      <c r="K169" s="350"/>
      <c r="L169" s="350"/>
    </row>
    <row r="170" spans="2:12" x14ac:dyDescent="0.3">
      <c r="B170" s="155"/>
      <c r="C170" s="350"/>
      <c r="D170" s="350"/>
      <c r="F170" s="155"/>
      <c r="G170" s="350"/>
      <c r="H170" s="350"/>
      <c r="J170" s="155"/>
      <c r="K170" s="350"/>
      <c r="L170" s="350"/>
    </row>
    <row r="171" spans="2:12" x14ac:dyDescent="0.3">
      <c r="B171" s="155"/>
      <c r="C171" s="350"/>
      <c r="D171" s="350"/>
      <c r="F171" s="155"/>
      <c r="G171" s="350"/>
      <c r="H171" s="350"/>
      <c r="J171" s="155"/>
      <c r="K171" s="350"/>
      <c r="L171" s="350"/>
    </row>
    <row r="172" spans="2:12" x14ac:dyDescent="0.3">
      <c r="B172" s="155"/>
      <c r="C172" s="350"/>
      <c r="D172" s="350"/>
      <c r="F172" s="155"/>
      <c r="G172" s="350"/>
      <c r="H172" s="350"/>
      <c r="J172" s="155"/>
      <c r="K172" s="350"/>
      <c r="L172" s="350"/>
    </row>
    <row r="173" spans="2:12" x14ac:dyDescent="0.3">
      <c r="B173" s="155"/>
      <c r="C173" s="350"/>
      <c r="D173" s="350"/>
      <c r="F173" s="155"/>
      <c r="G173" s="350"/>
      <c r="H173" s="350"/>
      <c r="J173" s="155"/>
      <c r="K173" s="350"/>
      <c r="L173" s="350"/>
    </row>
    <row r="174" spans="2:12" x14ac:dyDescent="0.3">
      <c r="B174" s="155"/>
      <c r="C174" s="350"/>
      <c r="D174" s="350"/>
      <c r="F174" s="155"/>
      <c r="G174" s="350"/>
      <c r="H174" s="350"/>
      <c r="J174" s="155"/>
      <c r="K174" s="350"/>
      <c r="L174" s="350"/>
    </row>
    <row r="175" spans="2:12" x14ac:dyDescent="0.3">
      <c r="B175" s="155"/>
      <c r="C175" s="350"/>
      <c r="D175" s="350"/>
      <c r="F175" s="155"/>
      <c r="G175" s="350"/>
      <c r="H175" s="350"/>
      <c r="J175" s="155"/>
      <c r="K175" s="350"/>
      <c r="L175" s="350"/>
    </row>
    <row r="176" spans="2:12" x14ac:dyDescent="0.3">
      <c r="B176" s="155"/>
      <c r="C176" s="350"/>
      <c r="D176" s="350"/>
      <c r="F176" s="155"/>
      <c r="G176" s="350"/>
      <c r="H176" s="350"/>
      <c r="J176" s="155"/>
      <c r="K176" s="350"/>
      <c r="L176" s="350"/>
    </row>
    <row r="177" spans="2:12" x14ac:dyDescent="0.3">
      <c r="B177" s="155"/>
      <c r="C177" s="350"/>
      <c r="D177" s="350"/>
      <c r="F177" s="155"/>
      <c r="G177" s="350"/>
      <c r="H177" s="350"/>
      <c r="J177" s="155"/>
      <c r="K177" s="350"/>
      <c r="L177" s="350"/>
    </row>
    <row r="178" spans="2:12" x14ac:dyDescent="0.3">
      <c r="B178" s="155"/>
      <c r="C178" s="350"/>
      <c r="D178" s="350"/>
      <c r="F178" s="155"/>
      <c r="G178" s="350"/>
      <c r="H178" s="350"/>
      <c r="J178" s="155"/>
      <c r="K178" s="350"/>
      <c r="L178" s="350"/>
    </row>
    <row r="179" spans="2:12" x14ac:dyDescent="0.3">
      <c r="B179" s="155"/>
      <c r="C179" s="350"/>
      <c r="D179" s="350"/>
      <c r="F179" s="155"/>
      <c r="G179" s="350"/>
      <c r="H179" s="350"/>
      <c r="J179" s="155"/>
      <c r="K179" s="350"/>
      <c r="L179" s="350"/>
    </row>
    <row r="180" spans="2:12" x14ac:dyDescent="0.3">
      <c r="B180" s="155"/>
      <c r="C180" s="350"/>
      <c r="D180" s="350"/>
      <c r="F180" s="155"/>
      <c r="G180" s="350"/>
      <c r="H180" s="350"/>
      <c r="J180" s="155"/>
      <c r="K180" s="350"/>
      <c r="L180" s="350"/>
    </row>
    <row r="181" spans="2:12" x14ac:dyDescent="0.3">
      <c r="B181" s="155"/>
      <c r="C181" s="350"/>
      <c r="D181" s="350"/>
      <c r="F181" s="155"/>
      <c r="G181" s="350"/>
      <c r="H181" s="350"/>
      <c r="J181" s="155"/>
      <c r="K181" s="350"/>
      <c r="L181" s="350"/>
    </row>
    <row r="182" spans="2:12" x14ac:dyDescent="0.3">
      <c r="B182" s="155"/>
      <c r="F182" s="155"/>
      <c r="J182" s="155"/>
    </row>
    <row r="183" spans="2:12" x14ac:dyDescent="0.3">
      <c r="B183" s="155"/>
      <c r="F183" s="155"/>
      <c r="J183" s="155"/>
    </row>
    <row r="184" spans="2:12" x14ac:dyDescent="0.3">
      <c r="B184" s="155"/>
      <c r="F184" s="155"/>
      <c r="J184" s="155"/>
    </row>
    <row r="185" spans="2:12" x14ac:dyDescent="0.3">
      <c r="B185" s="155"/>
      <c r="F185" s="155"/>
      <c r="J185" s="155"/>
    </row>
    <row r="186" spans="2:12" x14ac:dyDescent="0.3">
      <c r="B186" s="155"/>
      <c r="F186" s="155"/>
      <c r="J186" s="155"/>
    </row>
    <row r="187" spans="2:12" x14ac:dyDescent="0.3">
      <c r="B187" s="155"/>
      <c r="F187" s="155"/>
      <c r="J187" s="155"/>
    </row>
    <row r="188" spans="2:12" x14ac:dyDescent="0.3">
      <c r="B188" s="155"/>
      <c r="F188" s="155"/>
      <c r="J188" s="155"/>
    </row>
    <row r="189" spans="2:12" x14ac:dyDescent="0.3">
      <c r="B189" s="155"/>
      <c r="F189" s="155"/>
      <c r="J189" s="155"/>
    </row>
    <row r="190" spans="2:12" x14ac:dyDescent="0.3">
      <c r="B190" s="155"/>
      <c r="F190" s="155"/>
      <c r="J190" s="155"/>
    </row>
    <row r="191" spans="2:12" x14ac:dyDescent="0.3">
      <c r="B191" s="155"/>
      <c r="F191" s="155"/>
      <c r="J191" s="155"/>
    </row>
    <row r="192" spans="2:12" x14ac:dyDescent="0.3">
      <c r="B192" s="155"/>
      <c r="F192" s="155"/>
      <c r="J192" s="155"/>
    </row>
    <row r="193" spans="2:10" x14ac:dyDescent="0.3">
      <c r="B193" s="155"/>
      <c r="F193" s="155"/>
      <c r="J193" s="155"/>
    </row>
    <row r="194" spans="2:10" x14ac:dyDescent="0.3">
      <c r="B194" s="155"/>
      <c r="F194" s="155"/>
      <c r="J194" s="155"/>
    </row>
    <row r="195" spans="2:10" x14ac:dyDescent="0.3">
      <c r="B195" s="155"/>
      <c r="F195" s="155"/>
      <c r="J195" s="155"/>
    </row>
    <row r="196" spans="2:10" x14ac:dyDescent="0.3">
      <c r="B196" s="155"/>
      <c r="F196" s="155"/>
      <c r="J196" s="155"/>
    </row>
    <row r="197" spans="2:10" x14ac:dyDescent="0.3">
      <c r="B197" s="155"/>
      <c r="F197" s="155"/>
      <c r="J197" s="155"/>
    </row>
    <row r="198" spans="2:10" x14ac:dyDescent="0.3">
      <c r="B198" s="155"/>
      <c r="F198" s="155"/>
      <c r="J198" s="155"/>
    </row>
    <row r="199" spans="2:10" x14ac:dyDescent="0.3">
      <c r="B199" s="155"/>
      <c r="F199" s="155"/>
      <c r="J199" s="155"/>
    </row>
    <row r="200" spans="2:10" x14ac:dyDescent="0.3">
      <c r="B200" s="155"/>
      <c r="F200" s="155"/>
      <c r="J200" s="155"/>
    </row>
    <row r="201" spans="2:10" x14ac:dyDescent="0.3">
      <c r="B201" s="155"/>
      <c r="F201" s="155"/>
      <c r="J201" s="155"/>
    </row>
    <row r="202" spans="2:10" x14ac:dyDescent="0.3">
      <c r="B202" s="155"/>
      <c r="F202" s="155"/>
      <c r="J202" s="155"/>
    </row>
    <row r="203" spans="2:10" x14ac:dyDescent="0.3">
      <c r="B203" s="155"/>
      <c r="F203" s="155"/>
      <c r="J203" s="155"/>
    </row>
    <row r="204" spans="2:10" x14ac:dyDescent="0.3">
      <c r="B204" s="155"/>
      <c r="F204" s="155"/>
      <c r="J204" s="155"/>
    </row>
    <row r="205" spans="2:10" x14ac:dyDescent="0.3">
      <c r="B205" s="155"/>
      <c r="F205" s="155"/>
      <c r="J205" s="155"/>
    </row>
    <row r="206" spans="2:10" x14ac:dyDescent="0.3">
      <c r="B206" s="155"/>
      <c r="F206" s="155"/>
      <c r="J206" s="155"/>
    </row>
    <row r="207" spans="2:10" x14ac:dyDescent="0.3">
      <c r="B207" s="155"/>
      <c r="F207" s="155"/>
      <c r="J207" s="155"/>
    </row>
    <row r="208" spans="2:10" x14ac:dyDescent="0.3">
      <c r="B208" s="155"/>
      <c r="F208" s="155"/>
      <c r="J208" s="155"/>
    </row>
    <row r="209" spans="2:10" x14ac:dyDescent="0.3">
      <c r="B209" s="155"/>
      <c r="F209" s="155"/>
      <c r="J209" s="155"/>
    </row>
    <row r="210" spans="2:10" x14ac:dyDescent="0.3">
      <c r="B210" s="155"/>
      <c r="F210" s="155"/>
      <c r="J210" s="155"/>
    </row>
    <row r="211" spans="2:10" x14ac:dyDescent="0.3">
      <c r="B211" s="155"/>
      <c r="F211" s="155"/>
      <c r="J211" s="155"/>
    </row>
    <row r="212" spans="2:10" x14ac:dyDescent="0.3">
      <c r="B212" s="155"/>
      <c r="F212" s="155"/>
      <c r="J212" s="155"/>
    </row>
    <row r="213" spans="2:10" x14ac:dyDescent="0.3">
      <c r="B213" s="155"/>
      <c r="F213" s="155"/>
      <c r="J213" s="155"/>
    </row>
    <row r="214" spans="2:10" x14ac:dyDescent="0.3">
      <c r="B214" s="155"/>
      <c r="F214" s="155"/>
      <c r="J214" s="155"/>
    </row>
    <row r="215" spans="2:10" x14ac:dyDescent="0.3">
      <c r="B215" s="155"/>
      <c r="F215" s="155"/>
      <c r="J215" s="155"/>
    </row>
    <row r="216" spans="2:10" x14ac:dyDescent="0.3">
      <c r="B216" s="155"/>
      <c r="F216" s="155"/>
      <c r="J216" s="155"/>
    </row>
    <row r="217" spans="2:10" x14ac:dyDescent="0.3">
      <c r="B217" s="155"/>
      <c r="F217" s="155"/>
      <c r="J217" s="155"/>
    </row>
    <row r="218" spans="2:10" x14ac:dyDescent="0.3">
      <c r="B218" s="155"/>
      <c r="F218" s="155"/>
      <c r="J218" s="155"/>
    </row>
    <row r="219" spans="2:10" x14ac:dyDescent="0.3">
      <c r="B219" s="155"/>
      <c r="F219" s="155"/>
      <c r="J219" s="155"/>
    </row>
    <row r="220" spans="2:10" x14ac:dyDescent="0.3">
      <c r="B220" s="155"/>
      <c r="F220" s="155"/>
      <c r="J220" s="155"/>
    </row>
    <row r="221" spans="2:10" x14ac:dyDescent="0.3">
      <c r="B221" s="155"/>
      <c r="F221" s="155"/>
      <c r="J221" s="155"/>
    </row>
    <row r="222" spans="2:10" x14ac:dyDescent="0.3">
      <c r="B222" s="155"/>
      <c r="F222" s="155"/>
      <c r="J222" s="155"/>
    </row>
    <row r="223" spans="2:10" x14ac:dyDescent="0.3">
      <c r="B223" s="155"/>
      <c r="F223" s="155"/>
      <c r="J223" s="155"/>
    </row>
    <row r="224" spans="2:10" x14ac:dyDescent="0.3">
      <c r="B224" s="155"/>
      <c r="F224" s="155"/>
      <c r="J224" s="155"/>
    </row>
    <row r="225" spans="2:10" x14ac:dyDescent="0.3">
      <c r="B225" s="155"/>
      <c r="F225" s="155"/>
      <c r="J225" s="155"/>
    </row>
    <row r="226" spans="2:10" x14ac:dyDescent="0.3">
      <c r="B226" s="155"/>
      <c r="F226" s="155"/>
      <c r="J226" s="155"/>
    </row>
    <row r="227" spans="2:10" x14ac:dyDescent="0.3">
      <c r="B227" s="155"/>
      <c r="F227" s="155"/>
      <c r="J227" s="155"/>
    </row>
    <row r="228" spans="2:10" x14ac:dyDescent="0.3">
      <c r="B228" s="155"/>
      <c r="F228" s="155"/>
      <c r="J228" s="155"/>
    </row>
    <row r="229" spans="2:10" x14ac:dyDescent="0.3">
      <c r="B229" s="155"/>
      <c r="F229" s="155"/>
      <c r="J229" s="155"/>
    </row>
    <row r="230" spans="2:10" x14ac:dyDescent="0.3">
      <c r="B230" s="155"/>
      <c r="F230" s="155"/>
      <c r="J230" s="155"/>
    </row>
    <row r="231" spans="2:10" x14ac:dyDescent="0.3">
      <c r="B231" s="155"/>
      <c r="F231" s="155"/>
      <c r="J231" s="155"/>
    </row>
    <row r="232" spans="2:10" x14ac:dyDescent="0.3">
      <c r="B232" s="155"/>
      <c r="F232" s="155"/>
      <c r="J232" s="155"/>
    </row>
    <row r="233" spans="2:10" x14ac:dyDescent="0.3">
      <c r="B233" s="155"/>
      <c r="F233" s="155"/>
      <c r="J233" s="155"/>
    </row>
    <row r="234" spans="2:10" x14ac:dyDescent="0.3">
      <c r="B234" s="155"/>
      <c r="F234" s="155"/>
      <c r="J234" s="155"/>
    </row>
    <row r="235" spans="2:10" x14ac:dyDescent="0.3">
      <c r="B235" s="155"/>
      <c r="F235" s="155"/>
      <c r="J235" s="155"/>
    </row>
    <row r="236" spans="2:10" x14ac:dyDescent="0.3">
      <c r="B236" s="155"/>
      <c r="F236" s="155"/>
      <c r="J236" s="155"/>
    </row>
    <row r="237" spans="2:10" x14ac:dyDescent="0.3">
      <c r="B237" s="155"/>
      <c r="F237" s="155"/>
      <c r="J237" s="155"/>
    </row>
    <row r="238" spans="2:10" x14ac:dyDescent="0.3">
      <c r="B238" s="155"/>
      <c r="F238" s="155"/>
      <c r="J238" s="155"/>
    </row>
    <row r="239" spans="2:10" x14ac:dyDescent="0.3">
      <c r="B239" s="155"/>
      <c r="F239" s="155"/>
      <c r="J239" s="155"/>
    </row>
    <row r="240" spans="2:10" x14ac:dyDescent="0.3">
      <c r="B240" s="155"/>
      <c r="F240" s="155"/>
      <c r="J240" s="155"/>
    </row>
    <row r="241" spans="2:10" x14ac:dyDescent="0.3">
      <c r="B241" s="155"/>
      <c r="F241" s="155"/>
      <c r="J241" s="155"/>
    </row>
    <row r="242" spans="2:10" x14ac:dyDescent="0.3">
      <c r="B242" s="155"/>
      <c r="F242" s="155"/>
      <c r="J242" s="155"/>
    </row>
    <row r="243" spans="2:10" x14ac:dyDescent="0.3">
      <c r="B243" s="155"/>
      <c r="F243" s="155"/>
      <c r="J243" s="155"/>
    </row>
    <row r="244" spans="2:10" x14ac:dyDescent="0.3">
      <c r="B244" s="155"/>
      <c r="F244" s="155"/>
      <c r="J244" s="155"/>
    </row>
    <row r="245" spans="2:10" x14ac:dyDescent="0.3">
      <c r="B245" s="155"/>
      <c r="F245" s="155"/>
      <c r="J245" s="155"/>
    </row>
    <row r="246" spans="2:10" x14ac:dyDescent="0.3">
      <c r="B246" s="155"/>
      <c r="F246" s="155"/>
      <c r="J246" s="155"/>
    </row>
    <row r="247" spans="2:10" x14ac:dyDescent="0.3">
      <c r="B247" s="155"/>
      <c r="F247" s="155"/>
      <c r="J247" s="155"/>
    </row>
    <row r="248" spans="2:10" x14ac:dyDescent="0.3">
      <c r="B248" s="155"/>
      <c r="F248" s="155"/>
      <c r="J248" s="155"/>
    </row>
    <row r="249" spans="2:10" x14ac:dyDescent="0.3">
      <c r="B249" s="155"/>
      <c r="F249" s="155"/>
      <c r="J249" s="155"/>
    </row>
    <row r="250" spans="2:10" x14ac:dyDescent="0.3">
      <c r="B250" s="155"/>
      <c r="F250" s="155"/>
      <c r="J250" s="155"/>
    </row>
    <row r="251" spans="2:10" x14ac:dyDescent="0.3">
      <c r="B251" s="155"/>
      <c r="F251" s="155"/>
      <c r="J251" s="155"/>
    </row>
    <row r="252" spans="2:10" x14ac:dyDescent="0.3">
      <c r="B252" s="155"/>
      <c r="F252" s="155"/>
      <c r="J252" s="155"/>
    </row>
    <row r="253" spans="2:10" x14ac:dyDescent="0.3">
      <c r="B253" s="155"/>
      <c r="F253" s="155"/>
      <c r="J253" s="155"/>
    </row>
    <row r="254" spans="2:10" x14ac:dyDescent="0.3">
      <c r="B254" s="155"/>
      <c r="F254" s="155"/>
      <c r="J254" s="155"/>
    </row>
    <row r="255" spans="2:10" x14ac:dyDescent="0.3">
      <c r="B255" s="155"/>
      <c r="F255" s="155"/>
      <c r="J255" s="155"/>
    </row>
    <row r="256" spans="2:10" x14ac:dyDescent="0.3">
      <c r="B256" s="155"/>
      <c r="F256" s="155"/>
      <c r="J256" s="155"/>
    </row>
    <row r="257" spans="2:10" x14ac:dyDescent="0.3">
      <c r="B257" s="155"/>
      <c r="F257" s="155"/>
      <c r="J257" s="155"/>
    </row>
    <row r="258" spans="2:10" x14ac:dyDescent="0.3">
      <c r="B258" s="155"/>
      <c r="F258" s="155"/>
      <c r="J258" s="155"/>
    </row>
    <row r="259" spans="2:10" x14ac:dyDescent="0.3">
      <c r="B259" s="155"/>
      <c r="F259" s="155"/>
      <c r="J259" s="155"/>
    </row>
    <row r="260" spans="2:10" x14ac:dyDescent="0.3">
      <c r="B260" s="155"/>
      <c r="F260" s="155"/>
      <c r="J260" s="155"/>
    </row>
    <row r="261" spans="2:10" x14ac:dyDescent="0.3">
      <c r="B261" s="155"/>
      <c r="F261" s="155"/>
      <c r="J261" s="155"/>
    </row>
    <row r="262" spans="2:10" x14ac:dyDescent="0.3">
      <c r="B262" s="155"/>
      <c r="F262" s="155"/>
      <c r="J262" s="155"/>
    </row>
    <row r="263" spans="2:10" x14ac:dyDescent="0.3">
      <c r="B263" s="155"/>
      <c r="F263" s="155"/>
      <c r="J263" s="155"/>
    </row>
    <row r="264" spans="2:10" x14ac:dyDescent="0.3">
      <c r="B264" s="155"/>
      <c r="F264" s="155"/>
      <c r="J264" s="155"/>
    </row>
    <row r="265" spans="2:10" x14ac:dyDescent="0.3">
      <c r="B265" s="155"/>
      <c r="F265" s="155"/>
      <c r="J265" s="155"/>
    </row>
    <row r="266" spans="2:10" x14ac:dyDescent="0.3">
      <c r="B266" s="155"/>
      <c r="F266" s="155"/>
      <c r="J266" s="155"/>
    </row>
    <row r="267" spans="2:10" x14ac:dyDescent="0.3">
      <c r="B267" s="155"/>
      <c r="F267" s="155"/>
      <c r="J267" s="155"/>
    </row>
    <row r="268" spans="2:10" x14ac:dyDescent="0.3">
      <c r="B268" s="155"/>
      <c r="F268" s="155"/>
      <c r="J268" s="155"/>
    </row>
    <row r="269" spans="2:10" x14ac:dyDescent="0.3">
      <c r="B269" s="155"/>
      <c r="F269" s="155"/>
      <c r="J269" s="155"/>
    </row>
    <row r="270" spans="2:10" x14ac:dyDescent="0.3">
      <c r="B270" s="155"/>
      <c r="F270" s="155"/>
      <c r="J270" s="155"/>
    </row>
    <row r="271" spans="2:10" x14ac:dyDescent="0.3">
      <c r="B271" s="155"/>
      <c r="F271" s="155"/>
      <c r="J271" s="155"/>
    </row>
    <row r="272" spans="2:10" x14ac:dyDescent="0.3">
      <c r="B272" s="155"/>
      <c r="F272" s="155"/>
      <c r="J272" s="155"/>
    </row>
    <row r="273" spans="2:10" x14ac:dyDescent="0.3">
      <c r="B273" s="155"/>
      <c r="F273" s="155"/>
      <c r="J273" s="155"/>
    </row>
    <row r="274" spans="2:10" x14ac:dyDescent="0.3">
      <c r="B274" s="155"/>
      <c r="F274" s="155"/>
      <c r="J274" s="155"/>
    </row>
    <row r="275" spans="2:10" x14ac:dyDescent="0.3">
      <c r="B275" s="155"/>
      <c r="F275" s="155"/>
      <c r="J275" s="155"/>
    </row>
    <row r="276" spans="2:10" x14ac:dyDescent="0.3">
      <c r="B276" s="155"/>
      <c r="F276" s="155"/>
      <c r="J276" s="155"/>
    </row>
    <row r="277" spans="2:10" x14ac:dyDescent="0.3">
      <c r="B277" s="155"/>
      <c r="F277" s="155"/>
      <c r="J277" s="155"/>
    </row>
    <row r="278" spans="2:10" x14ac:dyDescent="0.3">
      <c r="B278" s="155"/>
      <c r="F278" s="155"/>
      <c r="J278" s="155"/>
    </row>
    <row r="279" spans="2:10" x14ac:dyDescent="0.3">
      <c r="B279" s="155"/>
      <c r="F279" s="155"/>
      <c r="J279" s="155"/>
    </row>
    <row r="280" spans="2:10" x14ac:dyDescent="0.3">
      <c r="B280" s="155"/>
      <c r="F280" s="155"/>
      <c r="J280" s="155"/>
    </row>
    <row r="281" spans="2:10" x14ac:dyDescent="0.3">
      <c r="B281" s="155"/>
      <c r="F281" s="155"/>
      <c r="J281" s="155"/>
    </row>
    <row r="282" spans="2:10" x14ac:dyDescent="0.3">
      <c r="B282" s="155"/>
      <c r="F282" s="155"/>
      <c r="J282" s="155"/>
    </row>
    <row r="283" spans="2:10" x14ac:dyDescent="0.3">
      <c r="B283" s="155"/>
      <c r="F283" s="155"/>
      <c r="J283" s="155"/>
    </row>
    <row r="284" spans="2:10" x14ac:dyDescent="0.3">
      <c r="B284" s="155"/>
      <c r="F284" s="155"/>
      <c r="J284" s="155"/>
    </row>
    <row r="285" spans="2:10" x14ac:dyDescent="0.3">
      <c r="B285" s="155"/>
      <c r="F285" s="155"/>
      <c r="J285" s="155"/>
    </row>
    <row r="286" spans="2:10" x14ac:dyDescent="0.3">
      <c r="B286" s="155"/>
      <c r="F286" s="155"/>
      <c r="J286" s="155"/>
    </row>
    <row r="287" spans="2:10" x14ac:dyDescent="0.3">
      <c r="B287" s="155"/>
      <c r="F287" s="155"/>
      <c r="J287" s="155"/>
    </row>
    <row r="288" spans="2:10" x14ac:dyDescent="0.3">
      <c r="B288" s="155"/>
      <c r="F288" s="155"/>
      <c r="J288" s="155"/>
    </row>
    <row r="289" spans="2:10" x14ac:dyDescent="0.3">
      <c r="B289" s="155"/>
      <c r="F289" s="155"/>
      <c r="J289" s="155"/>
    </row>
    <row r="290" spans="2:10" x14ac:dyDescent="0.3">
      <c r="B290" s="155"/>
      <c r="F290" s="155"/>
      <c r="J290" s="155"/>
    </row>
    <row r="291" spans="2:10" x14ac:dyDescent="0.3">
      <c r="B291" s="155"/>
      <c r="F291" s="155"/>
      <c r="J291" s="155"/>
    </row>
    <row r="292" spans="2:10" x14ac:dyDescent="0.3">
      <c r="B292" s="155"/>
      <c r="F292" s="155"/>
      <c r="J292" s="155"/>
    </row>
    <row r="293" spans="2:10" x14ac:dyDescent="0.3">
      <c r="B293" s="155"/>
      <c r="F293" s="155"/>
      <c r="J293" s="155"/>
    </row>
    <row r="294" spans="2:10" x14ac:dyDescent="0.3">
      <c r="B294" s="155"/>
      <c r="F294" s="155"/>
      <c r="J294" s="155"/>
    </row>
    <row r="295" spans="2:10" x14ac:dyDescent="0.3">
      <c r="B295" s="155"/>
      <c r="F295" s="155"/>
      <c r="J295" s="155"/>
    </row>
    <row r="296" spans="2:10" x14ac:dyDescent="0.3">
      <c r="B296" s="155"/>
      <c r="F296" s="155"/>
      <c r="J296" s="155"/>
    </row>
    <row r="297" spans="2:10" x14ac:dyDescent="0.3">
      <c r="B297" s="155"/>
      <c r="F297" s="155"/>
      <c r="J297" s="155"/>
    </row>
    <row r="298" spans="2:10" x14ac:dyDescent="0.3">
      <c r="B298" s="155"/>
      <c r="F298" s="155"/>
      <c r="J298" s="155"/>
    </row>
    <row r="299" spans="2:10" x14ac:dyDescent="0.3">
      <c r="B299" s="155"/>
      <c r="F299" s="155"/>
      <c r="J299" s="155"/>
    </row>
    <row r="300" spans="2:10" x14ac:dyDescent="0.3">
      <c r="B300" s="155"/>
      <c r="F300" s="155"/>
      <c r="J300" s="155"/>
    </row>
    <row r="301" spans="2:10" x14ac:dyDescent="0.3">
      <c r="B301" s="155"/>
      <c r="F301" s="155"/>
      <c r="J301" s="155"/>
    </row>
    <row r="302" spans="2:10" x14ac:dyDescent="0.3">
      <c r="B302" s="155"/>
      <c r="F302" s="155"/>
      <c r="J302" s="155"/>
    </row>
    <row r="303" spans="2:10" x14ac:dyDescent="0.3">
      <c r="B303" s="155"/>
      <c r="F303" s="155"/>
      <c r="J303" s="155"/>
    </row>
    <row r="304" spans="2:10" x14ac:dyDescent="0.3">
      <c r="B304" s="155"/>
      <c r="F304" s="155"/>
      <c r="J304" s="155"/>
    </row>
    <row r="305" spans="2:10" x14ac:dyDescent="0.3">
      <c r="B305" s="155"/>
      <c r="F305" s="155"/>
      <c r="J305" s="155"/>
    </row>
    <row r="306" spans="2:10" x14ac:dyDescent="0.3">
      <c r="B306" s="155"/>
      <c r="F306" s="155"/>
      <c r="J306" s="155"/>
    </row>
    <row r="307" spans="2:10" x14ac:dyDescent="0.3">
      <c r="B307" s="155"/>
      <c r="F307" s="155"/>
      <c r="J307" s="155"/>
    </row>
    <row r="308" spans="2:10" x14ac:dyDescent="0.3">
      <c r="B308" s="155"/>
      <c r="F308" s="155"/>
      <c r="J308" s="155"/>
    </row>
    <row r="309" spans="2:10" x14ac:dyDescent="0.3">
      <c r="B309" s="155"/>
      <c r="F309" s="155"/>
      <c r="J309" s="155"/>
    </row>
    <row r="310" spans="2:10" x14ac:dyDescent="0.3">
      <c r="B310" s="155"/>
      <c r="F310" s="155"/>
      <c r="J310" s="155"/>
    </row>
    <row r="311" spans="2:10" x14ac:dyDescent="0.3">
      <c r="B311" s="155"/>
      <c r="F311" s="155"/>
      <c r="J311" s="155"/>
    </row>
    <row r="312" spans="2:10" x14ac:dyDescent="0.3">
      <c r="B312" s="155"/>
      <c r="F312" s="155"/>
      <c r="J312" s="155"/>
    </row>
    <row r="313" spans="2:10" x14ac:dyDescent="0.3">
      <c r="B313" s="155"/>
      <c r="F313" s="155"/>
      <c r="J313" s="155"/>
    </row>
    <row r="314" spans="2:10" x14ac:dyDescent="0.3">
      <c r="B314" s="155"/>
      <c r="F314" s="155"/>
      <c r="J314" s="155"/>
    </row>
    <row r="315" spans="2:10" x14ac:dyDescent="0.3">
      <c r="B315" s="155"/>
      <c r="F315" s="155"/>
      <c r="J315" s="155"/>
    </row>
    <row r="316" spans="2:10" x14ac:dyDescent="0.3">
      <c r="B316" s="155"/>
      <c r="F316" s="155"/>
      <c r="J316" s="155"/>
    </row>
    <row r="317" spans="2:10" x14ac:dyDescent="0.3">
      <c r="B317" s="155"/>
      <c r="F317" s="155"/>
      <c r="J317" s="155"/>
    </row>
    <row r="318" spans="2:10" x14ac:dyDescent="0.3">
      <c r="B318" s="155"/>
      <c r="F318" s="155"/>
      <c r="J318" s="155"/>
    </row>
    <row r="319" spans="2:10" x14ac:dyDescent="0.3">
      <c r="B319" s="155"/>
      <c r="F319" s="155"/>
      <c r="J319" s="155"/>
    </row>
    <row r="320" spans="2:10" x14ac:dyDescent="0.3">
      <c r="B320" s="155"/>
      <c r="F320" s="155"/>
      <c r="J320" s="155"/>
    </row>
    <row r="321" spans="2:10" x14ac:dyDescent="0.3">
      <c r="B321" s="155"/>
      <c r="F321" s="155"/>
      <c r="J321" s="155"/>
    </row>
    <row r="322" spans="2:10" x14ac:dyDescent="0.3">
      <c r="B322" s="155"/>
      <c r="F322" s="155"/>
      <c r="J322" s="155"/>
    </row>
    <row r="323" spans="2:10" x14ac:dyDescent="0.3">
      <c r="B323" s="155"/>
      <c r="F323" s="155"/>
      <c r="J323" s="155"/>
    </row>
    <row r="324" spans="2:10" x14ac:dyDescent="0.3">
      <c r="B324" s="155"/>
      <c r="F324" s="155"/>
      <c r="J324" s="155"/>
    </row>
  </sheetData>
  <protectedRanges>
    <protectedRange sqref="B5:P116" name="opp"/>
  </protectedRanges>
  <mergeCells count="5">
    <mergeCell ref="B2:D2"/>
    <mergeCell ref="F2:H2"/>
    <mergeCell ref="J2:L2"/>
    <mergeCell ref="N2:P2"/>
    <mergeCell ref="R2:S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10">
    <pageSetUpPr fitToPage="1"/>
  </sheetPr>
  <dimension ref="A1:T89"/>
  <sheetViews>
    <sheetView zoomScaleNormal="100" workbookViewId="0">
      <selection activeCell="D12" sqref="D12"/>
    </sheetView>
  </sheetViews>
  <sheetFormatPr defaultRowHeight="14.4" outlineLevelRow="1" x14ac:dyDescent="0.3"/>
  <cols>
    <col min="1" max="1" width="30.6640625" bestFit="1" customWidth="1"/>
    <col min="2" max="2" width="16.44140625" bestFit="1" customWidth="1"/>
    <col min="3" max="3" width="8.6640625" customWidth="1"/>
    <col min="4" max="4" width="15.6640625" customWidth="1"/>
    <col min="5" max="5" width="6.88671875" customWidth="1"/>
    <col min="6" max="6" width="14.33203125" customWidth="1"/>
    <col min="7" max="7" width="6.88671875" customWidth="1"/>
    <col min="8" max="8" width="14.33203125" customWidth="1"/>
    <col min="9" max="9" width="7.5546875" customWidth="1"/>
    <col min="10" max="10" width="13.109375" customWidth="1"/>
    <col min="11" max="11" width="14.44140625" customWidth="1"/>
    <col min="12" max="12" width="19.88671875" bestFit="1" customWidth="1"/>
    <col min="13" max="13" width="12.109375" style="11" bestFit="1" customWidth="1"/>
    <col min="14" max="14" width="20.109375" customWidth="1"/>
    <col min="15" max="15" width="9.109375" customWidth="1"/>
    <col min="16" max="16" width="18.5546875" customWidth="1"/>
    <col min="17" max="17" width="7.88671875" customWidth="1"/>
    <col min="18" max="18" width="19" customWidth="1"/>
    <col min="19" max="19" width="7" customWidth="1"/>
    <col min="20" max="20" width="22.88671875" customWidth="1"/>
  </cols>
  <sheetData>
    <row r="1" spans="1:20" x14ac:dyDescent="0.3">
      <c r="A1" s="94" t="s">
        <v>116</v>
      </c>
      <c r="B1" s="1189" t="str">
        <f>'Overzicht BTA'!C3</f>
        <v>Kies de zorgvorm</v>
      </c>
      <c r="C1" s="1190"/>
      <c r="D1" s="1190"/>
      <c r="E1" s="1190"/>
      <c r="F1" s="1190"/>
      <c r="G1" s="1190"/>
      <c r="H1" s="1190"/>
      <c r="I1" s="1190"/>
      <c r="J1" s="1190"/>
      <c r="K1" s="1190"/>
    </row>
    <row r="2" spans="1:20" ht="15" thickBot="1" x14ac:dyDescent="0.35">
      <c r="A2" s="99" t="s">
        <v>117</v>
      </c>
      <c r="B2" s="108" t="str">
        <f>'Overzicht BTA'!B7</f>
        <v>Kies kostensoort</v>
      </c>
      <c r="C2" s="100" t="s">
        <v>118</v>
      </c>
      <c r="D2" s="108" t="str">
        <f>'Overzicht BTA'!B8</f>
        <v>Kies kostensoort</v>
      </c>
      <c r="E2" s="100" t="s">
        <v>119</v>
      </c>
      <c r="F2" s="108" t="str">
        <f>'Overzicht BTA'!B9</f>
        <v>Kies kostensoort</v>
      </c>
      <c r="G2" s="100" t="s">
        <v>119</v>
      </c>
      <c r="H2" s="108" t="str">
        <f>'Overzicht BTA'!B10</f>
        <v>Kies kostensoort</v>
      </c>
      <c r="I2" s="100" t="s">
        <v>119</v>
      </c>
      <c r="J2" s="99" t="s">
        <v>110</v>
      </c>
      <c r="K2" s="100" t="s">
        <v>119</v>
      </c>
      <c r="L2" s="52"/>
    </row>
    <row r="3" spans="1:20" ht="15" thickTop="1" x14ac:dyDescent="0.3">
      <c r="A3" s="75" t="s">
        <v>120</v>
      </c>
      <c r="B3" s="798">
        <f>IF(OR(B2=Bron!$B$8,B2=Bron!$B$9,B2=Bron!$B$15),'Bouwkost NB'!$C$17,IF(B2=Bron!$B$10,'Bouwkost UITB'!$C$16,IF(B2=Bron!$B$11,'Bouwkost VERB'!$C$16,IF(B2=Bron!$B$12,'Bouwkost IER'!$C$15,IF(B2=Bron!$B$16,'Bouwkost AK+VERB'!$C$16,IF(OR(B2=Bron!$B$13,B2=Bron!$B$14),'Bouwkost VOLT'!$C$16,0))))))-B4</f>
        <v>0</v>
      </c>
      <c r="C3" s="488"/>
      <c r="D3" s="798">
        <f>IF(OR(D2=Bron!$B$8,D2=Bron!$B$9,D2=Bron!$B$15),'Bouwkost NB'!$C$17,IF(D2=Bron!$B$10,'Bouwkost UITB'!$C$16,IF(D2=Bron!$B$11,'Bouwkost VERB'!$C$16,IF(D2=Bron!$B$12,'Bouwkost IER'!$C$15,IF(D2=Bron!$B$16,'Bouwkost AK+VERB'!$C$16,IF(OR(D2=Bron!$B$13,D2=Bron!$B$14),'Bouwkost VOLT'!$C$16,0))))))-D4</f>
        <v>0</v>
      </c>
      <c r="E3" s="488"/>
      <c r="F3" s="798">
        <f>IF(OR(F2=Bron!$B$8,F2=Bron!$B$9,F2=Bron!$B$15),'Bouwkost NB'!$C$17,IF(F2=Bron!$B$10,'Bouwkost UITB'!$C$16,IF(F2=Bron!$B$11,'Bouwkost VERB'!$C$16,IF(F2=Bron!$B$12,'Bouwkost IER'!$C$15,IF(F2=Bron!$B$16,'Bouwkost AK+VERB'!$C$16,IF(OR(F2=Bron!$B$13,F2=Bron!$B$14),'Bouwkost VOLT'!$C$16,0))))))-F4</f>
        <v>0</v>
      </c>
      <c r="G3" s="488"/>
      <c r="H3" s="798">
        <f>IF(OR(H2=Bron!$B$8,H2=Bron!$B$9,H2=Bron!$B$15),'Bouwkost NB'!$C$17,IF(H2=Bron!$B$10,'Bouwkost UITB'!$C$16,IF(H2=Bron!$B$11,'Bouwkost VERB'!$C$16,IF(H2=Bron!$B$12,'Bouwkost IER'!$C$15,IF(H2=Bron!$B$16,'Bouwkost AK+VERB'!$C$16,IF(OR(H2=Bron!$B$13,H2=Bron!$B$14),'Bouwkost VOLT'!$C$16,0))))))-H4</f>
        <v>0</v>
      </c>
      <c r="I3" s="488"/>
      <c r="J3" s="98">
        <f t="shared" ref="J3:J4" si="0">B3+D3+F3+H3</f>
        <v>0</v>
      </c>
      <c r="K3" s="488"/>
      <c r="L3" s="52"/>
    </row>
    <row r="4" spans="1:20" x14ac:dyDescent="0.3">
      <c r="A4" s="75" t="s">
        <v>121</v>
      </c>
      <c r="B4" s="417">
        <f>IF(OR(B2=Bron!$B$8,B2=Bron!$B$9,B2=Bron!$B$15),'Bouwkost NB'!$C$20,IF(B2=Bron!$B$10,'Bouwkost UITB'!$C$19,IF(B2=Bron!$B$11,'Bouwkost VERB'!$C$19,IF(B2=Bron!$B$12,'Bouwkost IER'!$C$18,IF(B2=Bron!$B$16,'Bouwkost AK+VERB'!$C$19,IF(OR(B2=Bron!$B$13,B2=Bron!$B$14),'Bouwkost VOLT'!$C$19,0))))))</f>
        <v>0</v>
      </c>
      <c r="C4" s="488"/>
      <c r="D4" s="417">
        <f>IF(OR(D$2=Bron!$B$8,D$2=Bron!$B$9,D$2=Bron!$B$15),'Bouwkost NB'!$C$20,IF(D$2=Bron!$B$10,'Bouwkost UITB'!$C$19,IF(D$2=Bron!$B$11,'Bouwkost VERB'!$C$19,IF(D$2=Bron!$B$12,'Bouwkost IER'!$C$18,IF(D$2=Bron!$B$16,'Bouwkost AK+VERB'!$C$19,IF(OR(D$2=Bron!$B$13,D$2=Bron!$B$14),'Bouwkost VOLT'!$C$19,0))))))</f>
        <v>0</v>
      </c>
      <c r="E4" s="488"/>
      <c r="F4" s="417">
        <f>IF(OR(F$2=Bron!$B$8,F$2=Bron!$B$9,F$2=Bron!$B$15),'Bouwkost NB'!$C$20,IF(F$2=Bron!$B$10,'Bouwkost UITB'!$C$19,IF(F$2=Bron!$B$11,'Bouwkost VERB'!$C$19,IF(F$2=Bron!$B$12,'Bouwkost IER'!$C$18,IF(F$2=Bron!$B$16,'Bouwkost AK+VERB'!$C$19,IF(OR(F$2=Bron!$B$13,F$2=Bron!$B$14),'Bouwkost VOLT'!$C$19,0))))))</f>
        <v>0</v>
      </c>
      <c r="G4" s="488"/>
      <c r="H4" s="417">
        <f>IF(OR(H$2=Bron!$B$8,H$2=Bron!$B$9,H$2=Bron!$B$15),'Bouwkost NB'!$C$20,IF(H$2=Bron!$B$10,'Bouwkost UITB'!$C$19,IF(H$2=Bron!$B$11,'Bouwkost VERB'!$C$19,IF(H$2=Bron!$B$12,'Bouwkost IER'!$C$18,IF(H$2=Bron!$B$16,'Bouwkost AK+VERB'!$C$19,IF(OR(H$2=Bron!$B$13,H$2=Bron!$B$14),'Bouwkost VOLT'!$C$19,0))))))</f>
        <v>0</v>
      </c>
      <c r="I4" s="488"/>
      <c r="J4" s="98">
        <f t="shared" si="0"/>
        <v>0</v>
      </c>
      <c r="K4" s="488"/>
      <c r="L4" s="52"/>
    </row>
    <row r="5" spans="1:20" x14ac:dyDescent="0.3">
      <c r="A5" s="75" t="s">
        <v>122</v>
      </c>
      <c r="B5" s="798">
        <f>IF(OR(B2=Bron!$B$8,B2=Bron!$B$9,B2=Bron!$B$15),'Bouwkost NB'!$C$55,IF(B2=Bron!$B$10,'Bouwkost UITB'!$C$54,IF(B2=Bron!$B$11,'Bouwkost VERB'!$C$54,IF(B2=Bron!$B$12,'Bouwkost IER'!$C$53,IF(B2=Bron!$B$16,'Bouwkost AK+VERB'!$C$54,IF(OR(B2=Bron!$B$13,B2=Bron!$B$14),'Bouwkost VOLT'!$C$54,0))))))</f>
        <v>0</v>
      </c>
      <c r="C5" s="75"/>
      <c r="D5" s="798">
        <f>IF(OR(D$2=Bron!$B$8,D$2=Bron!$B$9,D$2=Bron!$B$15),'Bouwkost NB'!$C$55,IF(D$2=Bron!$B$10,'Bouwkost UITB'!$C$54,IF(D$2=Bron!$B$11,'Bouwkost VERB'!$C$54,IF(D$2=Bron!$B$12,'Bouwkost IER'!$C$53,IF(D$2=Bron!$B$16,'Bouwkost AK+VERB'!$C$54,IF(OR(D$2=Bron!$B$13,D$2=Bron!$B$14),'Bouwkost VOLT'!$C$54,0))))))</f>
        <v>0</v>
      </c>
      <c r="E5" s="75"/>
      <c r="F5" s="798">
        <f>IF(OR(F$2=Bron!$B$8,F$2=Bron!$B$9,F$2=Bron!$B$15),'Bouwkost NB'!$C$55,IF(F$2=Bron!$B$10,'Bouwkost UITB'!$C$54,IF(F$2=Bron!$B$11,'Bouwkost VERB'!$C$54,IF(F$2=Bron!$B$12,'Bouwkost IER'!$C$53,IF(F$2=Bron!$B$16,'Bouwkost AK+VERB'!$C$54,IF(OR(F$2=Bron!$B$13,F$2=Bron!$B$14),'Bouwkost VOLT'!$C$54,0))))))</f>
        <v>0</v>
      </c>
      <c r="G5" s="75"/>
      <c r="H5" s="798">
        <f>IF(OR(H$2=Bron!$B$8,H$2=Bron!$B$9,H$2=Bron!$B$15),'Bouwkost NB'!$C$55,IF(H$2=Bron!$B$10,'Bouwkost UITB'!$C$54,IF(H$2=Bron!$B$11,'Bouwkost VERB'!$C$54,IF(H$2=Bron!$B$12,'Bouwkost IER'!$C$53,IF(H$2=Bron!$B$16,'Bouwkost AK+VERB'!$C$54,IF(OR(H$2=Bron!$B$13,H$2=Bron!$B$14),'Bouwkost VOLT'!$C$54,0))))))</f>
        <v>0</v>
      </c>
      <c r="I5" s="75"/>
      <c r="J5" s="98">
        <f>B5+D5+F5+H5</f>
        <v>0</v>
      </c>
      <c r="K5" s="75"/>
    </row>
    <row r="6" spans="1:20" x14ac:dyDescent="0.3">
      <c r="A6" s="48" t="s">
        <v>123</v>
      </c>
      <c r="B6" s="798">
        <f>IF(OR(B2=Bron!$B$8,B2=Bron!$B$9,B2=Bron!$B$15),'Bouwkost NB'!$C$25,IF(B2=Bron!$B$10,'Bouwkost UITB'!$C$24,IF(B2=Bron!$B$11,'Bouwkost VERB'!$C$24,IF(B2=Bron!$B$12,'Bouwkost IER'!$C$23,IF(B2=Bron!$B$16,'Bouwkost AK+VERB'!$C$24,IF(OR(B2=Bron!$B$13,B2=Bron!$B$14),'Bouwkost VOLT'!$C$24,0))))))</f>
        <v>0</v>
      </c>
      <c r="C6" s="35">
        <f>IF($B$11=0,0,B6/$B$11)</f>
        <v>0</v>
      </c>
      <c r="D6" s="798">
        <f>IF(OR(D$2=Bron!$B$8,D$2=Bron!$B$9,D$2=Bron!$B$15),'Bouwkost NB'!$C$25,IF(D$2=Bron!$B$10,'Bouwkost UITB'!$C$24,IF(D$2=Bron!$B$11,'Bouwkost VERB'!$C$24,IF(D$2=Bron!$B$12,'Bouwkost IER'!$C$23,IF(D$2=Bron!$B$16,'Bouwkost AK+VERB'!$C$24,IF(OR(D$2=Bron!$B$13,D$2=Bron!$B$14),'Bouwkost VOLT'!$C$24,0))))))</f>
        <v>0</v>
      </c>
      <c r="E6" s="35">
        <f>IF($D$11=0,0,D6/$D$11)</f>
        <v>0</v>
      </c>
      <c r="F6" s="798">
        <f>IF(OR(F$2=Bron!$B$8,F$2=Bron!$B$9,F$2=Bron!$B$15),'Bouwkost NB'!$C$25,IF(F$2=Bron!$B$10,'Bouwkost UITB'!$C$24,IF(F$2=Bron!$B$11,'Bouwkost VERB'!$C$24,IF(F$2=Bron!$B$12,'Bouwkost IER'!$C$23,IF(F$2=Bron!$B$16,'Bouwkost AK+VERB'!$C$24,IF(OR(F$2=Bron!$B$13,F$2=Bron!$B$14),'Bouwkost VOLT'!$C$24,0))))))</f>
        <v>0</v>
      </c>
      <c r="G6" s="35">
        <f>IF($F$11=0,0,F6/$F$11)</f>
        <v>0</v>
      </c>
      <c r="H6" s="798">
        <f>IF(OR(H$2=Bron!$B$8,H$2=Bron!$B$9,H$2=Bron!$B$15),'Bouwkost NB'!$C$25,IF(H$2=Bron!$B$10,'Bouwkost UITB'!$C$24,IF(H$2=Bron!$B$11,'Bouwkost VERB'!$C$24,IF(H$2=Bron!$B$12,'Bouwkost IER'!$C$23,IF(H$2=Bron!$B$16,'Bouwkost AK+VERB'!$C$24,IF(OR(H$2=Bron!$B$13,H$2=Bron!$B$14),'Bouwkost VOLT'!$C$24,0))))))</f>
        <v>0</v>
      </c>
      <c r="I6" s="35">
        <f>IF($H$11=0,0,H6/$H$11)</f>
        <v>0</v>
      </c>
      <c r="J6" s="98">
        <f t="shared" ref="J6:J14" si="1">B6+D6+F6+H6</f>
        <v>0</v>
      </c>
      <c r="K6" s="35" t="e">
        <f>J6/J11</f>
        <v>#DIV/0!</v>
      </c>
    </row>
    <row r="7" spans="1:20" x14ac:dyDescent="0.3">
      <c r="A7" s="48" t="s">
        <v>124</v>
      </c>
      <c r="B7" s="798">
        <f>IF(OR(B2=Bron!$B$8,B2=Bron!$B$9,B2=Bron!$B$15),'Bouwkost NB'!$C$32,IF(B2=Bron!$B$10,'Bouwkost UITB'!$C$31,IF(B2=Bron!$B$11,'Bouwkost VERB'!$C$31,IF(B2=Bron!$B$12,'Bouwkost IER'!$C$30,IF(B2=Bron!$B$16,'Bouwkost AK+VERB'!$C$31,IF(OR(B2=Bron!$B$13,B2=Bron!$B$14),'Bouwkost VOLT'!$C$31,0))))))</f>
        <v>0</v>
      </c>
      <c r="C7" s="35">
        <f t="shared" ref="C7:C11" si="2">IF($B$11=0,0,B7/$B$11)</f>
        <v>0</v>
      </c>
      <c r="D7" s="798">
        <f>IF(OR(D$2=Bron!$B$8,D$2=Bron!$B$9,D$2=Bron!$B$15),'Bouwkost NB'!$C$32,IF(D$2=Bron!$B$10,'Bouwkost UITB'!$C$31,IF(D$2=Bron!$B$11,'Bouwkost VERB'!$C$31,IF(D$2=Bron!$B$12,'Bouwkost IER'!$C$30,IF(D$2=Bron!$B$16,'Bouwkost AK+VERB'!$C$31,IF(OR(D$2=Bron!$B$13,D$2=Bron!$B$14),'Bouwkost VOLT'!$C$31,0))))))</f>
        <v>0</v>
      </c>
      <c r="E7" s="35">
        <f t="shared" ref="E7:E11" si="3">IF($D$11=0,0,D7/$D$11)</f>
        <v>0</v>
      </c>
      <c r="F7" s="798">
        <f>IF(OR(F$2=Bron!$B$8,F$2=Bron!$B$9,F$2=Bron!$B$15),'Bouwkost NB'!$C$32,IF(F$2=Bron!$B$10,'Bouwkost UITB'!$C$31,IF(F$2=Bron!$B$11,'Bouwkost VERB'!$C$31,IF(F$2=Bron!$B$12,'Bouwkost IER'!$C$30,IF(F$2=Bron!$B$16,'Bouwkost AK+VERB'!$C$31,IF(OR(F$2=Bron!$B$13,F$2=Bron!$B$14),'Bouwkost VOLT'!$C$31,0))))))</f>
        <v>0</v>
      </c>
      <c r="G7" s="35">
        <f t="shared" ref="G7:G11" si="4">IF($F$11=0,0,F7/$F$11)</f>
        <v>0</v>
      </c>
      <c r="H7" s="798">
        <f>IF(OR(H$2=Bron!$B$8,H$2=Bron!$B$9,H$2=Bron!$B$15),'Bouwkost NB'!$C$32,IF(H$2=Bron!$B$10,'Bouwkost UITB'!$C$31,IF(H$2=Bron!$B$11,'Bouwkost VERB'!$C$31,IF(H$2=Bron!$B$12,'Bouwkost IER'!$C$30,IF(H$2=Bron!$B$16,'Bouwkost AK+VERB'!$C$31,IF(OR(H$2=Bron!$B$13,H$2=Bron!$B$14),'Bouwkost VOLT'!$C$31,0))))))</f>
        <v>0</v>
      </c>
      <c r="I7" s="35">
        <f t="shared" ref="I7:I11" si="5">IF($H$11=0,0,H7/$H$11)</f>
        <v>0</v>
      </c>
      <c r="J7" s="98">
        <f t="shared" si="1"/>
        <v>0</v>
      </c>
      <c r="K7" s="35" t="e">
        <f>J7/J11</f>
        <v>#DIV/0!</v>
      </c>
    </row>
    <row r="8" spans="1:20" x14ac:dyDescent="0.3">
      <c r="A8" s="48" t="s">
        <v>125</v>
      </c>
      <c r="B8" s="798">
        <f>IF(OR(B2=Bron!$B$8,B2=Bron!$B$9,B2=Bron!$B$15),'Bouwkost NB'!$C$40,IF(B2=Bron!$B$10,'Bouwkost UITB'!$C$39,IF(B2=Bron!$B$11,'Bouwkost VERB'!$C$39,IF(B2=Bron!$B$12,'Bouwkost IER'!$C$38,IF(B2=Bron!$B$16,'Bouwkost AK+VERB'!$C$39,IF(OR(B2=Bron!$B$13,B2=Bron!$B$14),'Bouwkost VOLT'!$C$39,0))))))</f>
        <v>0</v>
      </c>
      <c r="C8" s="35">
        <f t="shared" si="2"/>
        <v>0</v>
      </c>
      <c r="D8" s="798">
        <f>IF(OR(D$2=Bron!$B$8,D$2=Bron!$B$9,D$2=Bron!$B$15),'Bouwkost NB'!$C$40,IF(D$2=Bron!$B$10,'Bouwkost UITB'!$C$39,IF(D$2=Bron!$B$11,'Bouwkost VERB'!$C$39,IF(D$2=Bron!$B$12,'Bouwkost IER'!$C$38,IF(D$2=Bron!$B$16,'Bouwkost AK+VERB'!$C$39,IF(OR(D$2=Bron!$B$13,D$2=Bron!$B$14),'Bouwkost VOLT'!$C$39,0))))))</f>
        <v>0</v>
      </c>
      <c r="E8" s="35">
        <f t="shared" si="3"/>
        <v>0</v>
      </c>
      <c r="F8" s="798">
        <f>IF(OR(F$2=Bron!$B$8,F$2=Bron!$B$9,F$2=Bron!$B$15),'Bouwkost NB'!$C$40,IF(F$2=Bron!$B$10,'Bouwkost UITB'!$C$39,IF(F$2=Bron!$B$11,'Bouwkost VERB'!$C$39,IF(F$2=Bron!$B$12,'Bouwkost IER'!$C$38,IF(F$2=Bron!$B$16,'Bouwkost AK+VERB'!$C$39,IF(OR(F$2=Bron!$B$13,F$2=Bron!$B$14),'Bouwkost VOLT'!$C$39,0))))))</f>
        <v>0</v>
      </c>
      <c r="G8" s="35">
        <f t="shared" si="4"/>
        <v>0</v>
      </c>
      <c r="H8" s="798">
        <f>IF(OR(H$2=Bron!$B$8,H$2=Bron!$B$9,H$2=Bron!$B$15),'Bouwkost NB'!$C$40,IF(H$2=Bron!$B$10,'Bouwkost UITB'!$C$39,IF(H$2=Bron!$B$11,'Bouwkost VERB'!$C$39,IF(H$2=Bron!$B$12,'Bouwkost IER'!$C$38,IF(H$2=Bron!$B$16,'Bouwkost AK+VERB'!$C$39,IF(OR(H$2=Bron!$B$13,H$2=Bron!$B$14),'Bouwkost VOLT'!$C$39,0))))))</f>
        <v>0</v>
      </c>
      <c r="I8" s="35">
        <f t="shared" si="5"/>
        <v>0</v>
      </c>
      <c r="J8" s="98">
        <f t="shared" si="1"/>
        <v>0</v>
      </c>
      <c r="K8" s="35" t="e">
        <f>J8/J11</f>
        <v>#DIV/0!</v>
      </c>
    </row>
    <row r="9" spans="1:20" x14ac:dyDescent="0.3">
      <c r="A9" s="58" t="s">
        <v>126</v>
      </c>
      <c r="B9" s="801">
        <f>SUM(B6:B8)</f>
        <v>0</v>
      </c>
      <c r="C9" s="35">
        <f t="shared" si="2"/>
        <v>0</v>
      </c>
      <c r="D9" s="801">
        <f>SUM(D6:D8)</f>
        <v>0</v>
      </c>
      <c r="E9" s="35">
        <f t="shared" si="3"/>
        <v>0</v>
      </c>
      <c r="F9" s="801">
        <f>SUM(F6:F8)</f>
        <v>0</v>
      </c>
      <c r="G9" s="35">
        <f t="shared" si="4"/>
        <v>0</v>
      </c>
      <c r="H9" s="801">
        <f>SUM(H6:H8)</f>
        <v>0</v>
      </c>
      <c r="I9" s="35">
        <f t="shared" si="5"/>
        <v>0</v>
      </c>
      <c r="J9" s="598">
        <f t="shared" si="1"/>
        <v>0</v>
      </c>
      <c r="K9" s="35" t="e">
        <f>J9/J11</f>
        <v>#DIV/0!</v>
      </c>
    </row>
    <row r="10" spans="1:20" x14ac:dyDescent="0.3">
      <c r="A10" s="48" t="s">
        <v>127</v>
      </c>
      <c r="B10" s="798">
        <f>IF(OR(B2=Bron!$B$8,B2=Bron!$B$9,B2=Bron!$B$15),'Bouwkost NB'!$C$50,IF(B2=Bron!$B$10,'Bouwkost UITB'!$C$49,IF(B2=Bron!$B$11,'Bouwkost VERB'!$C$49,IF(B2=Bron!$B$12,'Bouwkost IER'!$C$48,IF(B2=Bron!$B$16,'Bouwkost AK+VERB'!$C$49,IF(OR(B2=Bron!$B$13,B2=Bron!$B$14),'Bouwkost VOLT'!$C$49,0))))))</f>
        <v>0</v>
      </c>
      <c r="C10" s="35">
        <f t="shared" si="2"/>
        <v>0</v>
      </c>
      <c r="D10" s="798">
        <f>IF(OR(D$2=Bron!$B$8,D$2=Bron!$B$9,D$2=Bron!$B$15),'Bouwkost NB'!$C$50,IF(D$2=Bron!$B$10,'Bouwkost UITB'!$C$49,IF(D$2=Bron!$B$11,'Bouwkost VERB'!$C$49,IF(D$2=Bron!$B$12,'Bouwkost IER'!$C$48,IF(D$2=Bron!$B$16,'Bouwkost AK+VERB'!$C$49,IF(OR(D$2=Bron!$B$13,D$2=Bron!$B$14),'Bouwkost VOLT'!$C$49,0))))))</f>
        <v>0</v>
      </c>
      <c r="E10" s="35">
        <f t="shared" si="3"/>
        <v>0</v>
      </c>
      <c r="F10" s="798">
        <f>IF(OR(F$2=Bron!$B$8,F$2=Bron!$B$9,F$2=Bron!$B$15),'Bouwkost NB'!$C$50,IF(F$2=Bron!$B$10,'Bouwkost UITB'!$C$49,IF(F$2=Bron!$B$11,'Bouwkost VERB'!$C$49,IF(F$2=Bron!$B$12,'Bouwkost IER'!$C$48,IF(F$2=Bron!$B$16,'Bouwkost AK+VERB'!$C$49,IF(OR(F$2=Bron!$B$13,F$2=Bron!$B$14),'Bouwkost VOLT'!$C$49,0))))))</f>
        <v>0</v>
      </c>
      <c r="G10" s="35">
        <f t="shared" si="4"/>
        <v>0</v>
      </c>
      <c r="H10" s="798">
        <f>IF(OR(H$2=Bron!$B$8,H$2=Bron!$B$9,H$2=Bron!$B$15),'Bouwkost NB'!$C$50,IF(H$2=Bron!$B$10,'Bouwkost UITB'!$C$49,IF(H$2=Bron!$B$11,'Bouwkost VERB'!$C$49,IF(H$2=Bron!$B$12,'Bouwkost IER'!$C$48,IF(H$2=Bron!$B$16,'Bouwkost AK+VERB'!$C$49,IF(OR(H$2=Bron!$B$13,H$2=Bron!$B$14),'Bouwkost VOLT'!$C$49,0))))))</f>
        <v>0</v>
      </c>
      <c r="I10" s="35">
        <f t="shared" si="5"/>
        <v>0</v>
      </c>
      <c r="J10" s="98">
        <f t="shared" si="1"/>
        <v>0</v>
      </c>
      <c r="K10" s="35" t="e">
        <f>J10/J11</f>
        <v>#DIV/0!</v>
      </c>
    </row>
    <row r="11" spans="1:20" x14ac:dyDescent="0.3">
      <c r="A11" s="58" t="s">
        <v>110</v>
      </c>
      <c r="B11" s="802">
        <f>B9+B10</f>
        <v>0</v>
      </c>
      <c r="C11" s="35">
        <f t="shared" si="2"/>
        <v>0</v>
      </c>
      <c r="D11" s="802">
        <f>D9+D10</f>
        <v>0</v>
      </c>
      <c r="E11" s="35">
        <f t="shared" si="3"/>
        <v>0</v>
      </c>
      <c r="F11" s="802">
        <f>F9+F10</f>
        <v>0</v>
      </c>
      <c r="G11" s="35">
        <f t="shared" si="4"/>
        <v>0</v>
      </c>
      <c r="H11" s="802">
        <f>H9+H10</f>
        <v>0</v>
      </c>
      <c r="I11" s="35">
        <f t="shared" si="5"/>
        <v>0</v>
      </c>
      <c r="J11" s="598">
        <f t="shared" si="1"/>
        <v>0</v>
      </c>
      <c r="K11" s="35" t="e">
        <f>SUM(K6:K8)+K10</f>
        <v>#DIV/0!</v>
      </c>
      <c r="T11" t="s">
        <v>69</v>
      </c>
    </row>
    <row r="12" spans="1:20" x14ac:dyDescent="0.3">
      <c r="A12" s="22" t="s">
        <v>128</v>
      </c>
      <c r="B12" s="301">
        <f>IFERROR(IF('Overzicht project'!$E$66=0,0,$B$84*('Overzicht BTA'!C$7/'Overzicht project'!$E$66)),0)</f>
        <v>0</v>
      </c>
      <c r="C12" s="301"/>
      <c r="D12" s="301">
        <f>IFERROR(IF('Overzicht project'!$E$66=0,0,$B$84*('Overzicht BTA'!C$8/'Overzicht project'!$E$66)),0)</f>
        <v>0</v>
      </c>
      <c r="E12" s="301"/>
      <c r="F12" s="301">
        <f>IFERROR(IF('Overzicht project'!$E$66=0,0,$B$84*('Overzicht BTA'!C$9/'Overzicht project'!$E$66)),0)</f>
        <v>0</v>
      </c>
      <c r="G12" s="301"/>
      <c r="H12" s="301">
        <f>IFERROR(IF('Overzicht project'!$E$66=0,0,$B$84*('Overzicht BTA'!C$10/'Overzicht project'!$E$66)),0)</f>
        <v>0</v>
      </c>
      <c r="I12" s="35"/>
      <c r="J12" s="98">
        <f>IF('Overzicht project'!$E$66=0,0,kunst!$B$11*('Overzicht BTA'!C30/'Overzicht project'!$E$66))</f>
        <v>0</v>
      </c>
      <c r="K12" s="35"/>
    </row>
    <row r="13" spans="1:20" x14ac:dyDescent="0.3">
      <c r="A13" s="22" t="s">
        <v>129</v>
      </c>
      <c r="B13" s="798">
        <f>IF(OR(B2=Bron!$B$8,B2=Bron!$B$9,B2=Bron!$B$15),'Bouwkost NB'!$C$52,IF(B2=Bron!$B$10,'Bouwkost UITB'!$C$51,IF(B2=Bron!$B$11,'Bouwkost VERB'!$C$51,IF(B2=Bron!$B$12,'Bouwkost IER'!$C$50,IF(B2=Bron!$B$16,'Bouwkost AK+VERB'!$C$51,IF(OR(B2=Bron!$B$13,B2=Bron!$B$14),'Bouwkost VOLT'!$C$51,0))))))</f>
        <v>0</v>
      </c>
      <c r="C13" s="35"/>
      <c r="D13" s="798">
        <f>IF(OR(D$2=Bron!$B$8,D$2=Bron!$B$9,D$2=Bron!$B$15),'Bouwkost NB'!$C$52,IF(D$2=Bron!$B$10,'Bouwkost UITB'!$C$51,IF(D$2=Bron!$B$11,'Bouwkost VERB'!$C$51,IF(D$2=Bron!$B$12,'Bouwkost IER'!$C$50,IF(D$2=Bron!$B$16,'Bouwkost AK+VERB'!$C$51,IF(OR(D$2=Bron!$B$13,D$2=Bron!$B$14),'Bouwkost VOLT'!$C$51,0))))))</f>
        <v>0</v>
      </c>
      <c r="E13" s="35"/>
      <c r="F13" s="798">
        <f>IF(OR(F$2=Bron!$B$8,F$2=Bron!$B$9,F$2=Bron!$B$15),'Bouwkost NB'!$C$52,IF(F$2=Bron!$B$10,'Bouwkost UITB'!$C$51,IF(F$2=Bron!$B$11,'Bouwkost VERB'!$C$51,IF(F$2=Bron!$B$12,'Bouwkost IER'!$C$50,IF(F$2=Bron!$B$16,'Bouwkost AK+VERB'!$C$51,IF(OR(F$2=Bron!$B$13,F$2=Bron!$B$14),'Bouwkost VOLT'!$C$51,0))))))</f>
        <v>0</v>
      </c>
      <c r="G13" s="35"/>
      <c r="H13" s="798">
        <f>IF(OR(H$2=Bron!$B$8,H$2=Bron!$B$9,H$2=Bron!$B$15),'Bouwkost NB'!$C$52,IF(H$2=Bron!$B$10,'Bouwkost UITB'!$C$51,IF(H$2=Bron!$B$11,'Bouwkost VERB'!$C$51,IF(H$2=Bron!$B$12,'Bouwkost IER'!$C$50,IF(H$2=Bron!$B$16,'Bouwkost AK+VERB'!$C$51,IF(OR(H$2=Bron!$B$13,H$2=Bron!$B$14),'Bouwkost VOLT'!$C$51,0))))))</f>
        <v>0</v>
      </c>
      <c r="I13" s="35"/>
      <c r="J13" s="98">
        <f t="shared" si="1"/>
        <v>0</v>
      </c>
      <c r="K13" s="35"/>
    </row>
    <row r="14" spans="1:20" x14ac:dyDescent="0.3">
      <c r="A14" s="22" t="s">
        <v>130</v>
      </c>
      <c r="B14" s="417">
        <f>IF(OR(B2=Bron!$B$8,B2=Bron!$B$9,B2=Bron!$B$15),'Bouwkost NB'!$C$57,IF(B2=Bron!$B$10,'Bouwkost UITB'!$C$56,IF(B2=Bron!$B$11,'Bouwkost VERB'!$C$56,IF(B2=Bron!$B$12,'Bouwkost IER'!$C$55,IF(B2=Bron!$B$16,'Bouwkost AK+VERB'!$C$56,IF(OR(B2=Bron!$B$13,B2=Bron!$B$14),'Bouwkost VOLT'!$C$56,0))))))</f>
        <v>0</v>
      </c>
      <c r="C14" s="35"/>
      <c r="D14" s="417">
        <f>IF(OR(D$2=Bron!$B$8,D$2=Bron!$B$9,D$2=Bron!$B$15),'Bouwkost NB'!$C$57,IF(D$2=Bron!$B$10,'Bouwkost UITB'!$C$56,IF(D$2=Bron!$B$11,'Bouwkost VERB'!$C$56,IF(D$2=Bron!$B$12,'Bouwkost IER'!$C$55,IF(D$2=Bron!$B$16,'Bouwkost AK+VERB'!$C$56,IF(OR(D$2=Bron!$B$13,D$2=Bron!$B$14),'Bouwkost VOLT'!$C$56,0))))))</f>
        <v>0</v>
      </c>
      <c r="E14" s="35"/>
      <c r="F14" s="417">
        <f>IF(OR(F$2=Bron!$B$8,F$2=Bron!$B$9,F$2=Bron!$B$15),'Bouwkost NB'!$C$57,IF(F$2=Bron!$B$10,'Bouwkost UITB'!$C$56,IF(F$2=Bron!$B$11,'Bouwkost VERB'!$C$56,IF(F$2=Bron!$B$12,'Bouwkost IER'!$C$55,IF(F$2=Bron!$B$16,'Bouwkost AK+VERB'!$C$56,IF(OR(F$2=Bron!$B$13,F$2=Bron!$B$14),'Bouwkost VOLT'!$C$56,0))))))</f>
        <v>0</v>
      </c>
      <c r="G14" s="35"/>
      <c r="H14" s="417">
        <f>IF(OR(H$2=Bron!$B$8,H$2=Bron!$B$9,H$2=Bron!$B$15),'Bouwkost NB'!$C$57,IF(H$2=Bron!$B$10,'Bouwkost UITB'!$C$56,IF(H$2=Bron!$B$11,'Bouwkost VERB'!$C$56,IF(H$2=Bron!$B$12,'Bouwkost IER'!$C$55,IF(H$2=Bron!$B$16,'Bouwkost AK+VERB'!$C$56,IF(OR(H$2=Bron!$B$13,H$2=Bron!$B$14),'Bouwkost VOLT'!$C$56,0))))))</f>
        <v>0</v>
      </c>
      <c r="I14" s="35"/>
      <c r="J14" s="98">
        <f t="shared" si="1"/>
        <v>0</v>
      </c>
      <c r="K14" s="35"/>
    </row>
    <row r="15" spans="1:20" x14ac:dyDescent="0.3">
      <c r="A15" s="22" t="s">
        <v>131</v>
      </c>
      <c r="B15" s="301">
        <f>B5+B9+B13+B14</f>
        <v>0</v>
      </c>
      <c r="C15" s="35"/>
      <c r="D15" s="301">
        <f>D5+D9+D13+D14</f>
        <v>0</v>
      </c>
      <c r="E15" s="35"/>
      <c r="F15" s="301">
        <f>F5+F9+F13+F14</f>
        <v>0</v>
      </c>
      <c r="G15" s="35"/>
      <c r="H15" s="301">
        <f>H5+H9+H13+H14</f>
        <v>0</v>
      </c>
      <c r="I15" s="35"/>
      <c r="J15" s="34">
        <f>B15+D15+F15+H15</f>
        <v>0</v>
      </c>
      <c r="K15" s="22"/>
    </row>
    <row r="16" spans="1:20" ht="28.2" thickBot="1" x14ac:dyDescent="0.35">
      <c r="A16" s="1081" t="s">
        <v>1422</v>
      </c>
      <c r="B16" s="1082">
        <f>IF(OR(B2=Bron!$B$8,B2=Bron!$B$9,B2=Bron!$B$15),SUM('Bouwkost NB'!$C$59:$C$61),IF(B2=Bron!$B$10,SUM('Bouwkost UITB'!$C$58:$C$60),IF(B2=Bron!$B$11,SUM('Bouwkost VERB'!$C$58:$C$60),IF(B2=Bron!$B$12,SUM('Bouwkost IER'!$C$57:$C$59),IF(B2=Bron!$B$16,SUM('Bouwkost AK+VERB'!$C$58:$C$60),IF(OR(B2=Bron!$B$13,B2=Bron!$B$14),SUM('Bouwkost VOLT'!$C$58:$C$60),0))))))</f>
        <v>0</v>
      </c>
      <c r="C16" s="1080"/>
      <c r="D16" s="1082">
        <f>IF(OR(D2=Bron!$B$8,D2=Bron!$B$9,D2=Bron!$B$15),SUM('Bouwkost NB'!$C$59:$C$61),IF(D2=Bron!$B$10,SUM('Bouwkost UITB'!$C$58:$C$60),IF(D2=Bron!$B$11,SUM('Bouwkost VERB'!$C$58:$C$60),IF(D2=Bron!$B$12,SUM('Bouwkost IER'!$C$57:$C$59),IF(D2=Bron!$B$16,SUM('Bouwkost AK+VERB'!$C$58:$C$60),IF(OR(D2=Bron!$B$13,D2=Bron!$B$14),SUM('Bouwkost VOLT'!$C$58:$C$60),0))))))</f>
        <v>0</v>
      </c>
      <c r="E16" s="1080"/>
      <c r="F16" s="1082">
        <f>IF(OR(F2=Bron!$B$8,F2=Bron!$B$9,F2=Bron!$B$15),SUM('Bouwkost NB'!$C$59:$C$61),IF(F2=Bron!$B$10,SUM('Bouwkost UITB'!$C$58:$C$60),IF(F2=Bron!$B$11,SUM('Bouwkost VERB'!$C$58:$C$60),IF(F2=Bron!$B$12,SUM('Bouwkost IER'!$C$57:$C$59),IF(F2=Bron!$B$16,SUM('Bouwkost AK+VERB'!$C$58:$C$60),IF(OR(F2=Bron!$B$13,F2=Bron!$B$14),SUM('Bouwkost VOLT'!$C$58:$C$60),0))))))</f>
        <v>0</v>
      </c>
      <c r="G16" s="1080"/>
      <c r="H16" s="1082">
        <f>IF(OR(H2=Bron!$B$8,H2=Bron!$B$9,H2=Bron!$B$15),SUM('Bouwkost NB'!$C$59:$C$61),IF(H2=Bron!$B$10,SUM('Bouwkost UITB'!$C$58:$C$60),IF(H2=Bron!$B$11,SUM('Bouwkost VERB'!$C$58:$C$60),IF(H2=Bron!$B$12,SUM('Bouwkost IER'!$C$57:$C$59),IF(H2=Bron!$B$16,SUM('Bouwkost AK+VERB'!$C$58:$C$60),IF(OR(H2=Bron!$B$13,H2=Bron!$B$14),SUM('Bouwkost VOLT'!$C$58:$C$60),0))))))</f>
        <v>0</v>
      </c>
      <c r="I16" s="1080"/>
      <c r="J16" s="1083">
        <f>B16+D16+F16+H16</f>
        <v>0</v>
      </c>
      <c r="K16" s="1083"/>
    </row>
    <row r="17" spans="1:20" ht="15" thickTop="1" x14ac:dyDescent="0.3">
      <c r="A17" s="75" t="s">
        <v>132</v>
      </c>
      <c r="B17" s="417">
        <f>B15+B10+B12+B16</f>
        <v>0</v>
      </c>
      <c r="C17" s="417"/>
      <c r="D17" s="417">
        <f>D15+D10+D12</f>
        <v>0</v>
      </c>
      <c r="E17" s="417"/>
      <c r="F17" s="417">
        <f>F15+F10+F12</f>
        <v>0</v>
      </c>
      <c r="G17" s="417"/>
      <c r="H17" s="417">
        <f>H15+H10+H12</f>
        <v>0</v>
      </c>
      <c r="I17" s="98"/>
      <c r="J17" s="98">
        <f>B17+D17+F17+H17</f>
        <v>0</v>
      </c>
      <c r="K17" s="98"/>
    </row>
    <row r="18" spans="1:20" x14ac:dyDescent="0.3">
      <c r="A18" s="19" t="s">
        <v>133</v>
      </c>
      <c r="B18" s="18"/>
      <c r="C18" s="18"/>
      <c r="D18" s="18"/>
      <c r="E18" s="18"/>
      <c r="F18" s="18"/>
      <c r="G18" s="18"/>
      <c r="H18" s="18"/>
      <c r="I18" s="18"/>
      <c r="J18" s="18"/>
      <c r="K18" s="18"/>
    </row>
    <row r="19" spans="1:20" outlineLevel="1" x14ac:dyDescent="0.3">
      <c r="A19" s="380" t="s">
        <v>134</v>
      </c>
      <c r="B19" s="301">
        <f>IF(OR(B2=Bron!$B$9),ROUND(('uitgebreide raming'!B5+'uitgebreide raming'!B9+'uitgebreide raming'!B14+B16)*'Overzicht BTA'!$C$13*('Overzicht BTA'!$D$13/('Overzicht BTA'!$D$13+'Overzicht BTA'!$F$13))+('uitgebreide raming'!B5+'uitgebreide raming'!B9+'uitgebreide raming'!B14+B16)*'Overzicht BTA'!$E$13*('Overzicht BTA'!$F$13/('Overzicht BTA'!$D$13+'Overzicht BTA'!$F$13)),2),IF(Bron!$B$14='uitgebreide raming'!B2,ROUND(('uitgebreide raming'!B5+'uitgebreide raming'!B9+'uitgebreide raming'!B14+B16)*'Overzicht BTA'!$C$19*('Overzicht BTA'!$D$19/('Overzicht BTA'!$D$19+'Overzicht BTA'!$F$19))+('uitgebreide raming'!B5+'uitgebreide raming'!B9+'uitgebreide raming'!B14+B16)*'Overzicht BTA'!$E$19*('Overzicht BTA'!$F$19/('Overzicht BTA'!$D$19+'Overzicht BTA'!$F$19)),2),ROUND((B5+B9+B14+B16)*C19,2)))</f>
        <v>0</v>
      </c>
      <c r="C19" s="803">
        <f>IF(ISNUMBER(MATCH(B2,'Overzicht BTA'!$B$13:$B$19,0)),VLOOKUP(B2,'Overzicht BTA'!$B$13:$C$19,2,FALSE),0.21)</f>
        <v>0.21</v>
      </c>
      <c r="D19" s="301">
        <f>IF(OR(D2=Bron!$B$9),ROUND(('uitgebreide raming'!D5+'uitgebreide raming'!D9+'uitgebreide raming'!D14)*'Overzicht BTA'!$C$13*('Overzicht BTA'!$D$13/('Overzicht BTA'!$D$13+'Overzicht BTA'!$F$13))+('uitgebreide raming'!D5+'uitgebreide raming'!D9+'uitgebreide raming'!D14)*'Overzicht BTA'!$E$13*('Overzicht BTA'!$F$13/('Overzicht BTA'!$D$13+'Overzicht BTA'!$F$13)),2),IF(Bron!$B$14='uitgebreide raming'!D2,ROUND(('uitgebreide raming'!D5+'uitgebreide raming'!D9+'uitgebreide raming'!D14)*'Overzicht BTA'!$C$19*('Overzicht BTA'!$D$19/('Overzicht BTA'!$D$19+'Overzicht BTA'!$F$19))+('uitgebreide raming'!D5+'uitgebreide raming'!D9+'uitgebreide raming'!D14)*'Overzicht BTA'!$E$19*('Overzicht BTA'!$F$19/('Overzicht BTA'!$D$19+'Overzicht BTA'!$F$19)),2),ROUND((D5+D9+D14)*E19,2)))</f>
        <v>0</v>
      </c>
      <c r="E19" s="803">
        <f>IF(ISNUMBER(MATCH(D2,'Overzicht BTA'!$B$13:$B$19,0)),VLOOKUP(D2,'Overzicht BTA'!$B$13:$C$19,2,FALSE),0.21)</f>
        <v>0.21</v>
      </c>
      <c r="F19" s="301">
        <f>IF(OR(F2=Bron!$B$9),ROUND(('uitgebreide raming'!F5+'uitgebreide raming'!F9+'uitgebreide raming'!F14)*'Overzicht BTA'!$C$13*('Overzicht BTA'!$D$13/('Overzicht BTA'!$D$13+'Overzicht BTA'!$F$13))+('uitgebreide raming'!F5+'uitgebreide raming'!F9+'uitgebreide raming'!F14)*'Overzicht BTA'!$E$13*('Overzicht BTA'!$F$13/('Overzicht BTA'!$D$13+'Overzicht BTA'!$F$13)),2),IF(Bron!$B$14='uitgebreide raming'!F2,ROUND(('uitgebreide raming'!F5+'uitgebreide raming'!F9+'uitgebreide raming'!F14)*'Overzicht BTA'!$C$19*('Overzicht BTA'!$D$19/('Overzicht BTA'!$D$19+'Overzicht BTA'!$F$19))+('uitgebreide raming'!F5+'uitgebreide raming'!F9+'uitgebreide raming'!F14)*'Overzicht BTA'!$E$19*('Overzicht BTA'!$F$19/('Overzicht BTA'!$D$19+'Overzicht BTA'!$F$19)),2),ROUND((F5+F9+F14)*G19,2)))</f>
        <v>0</v>
      </c>
      <c r="G19" s="803">
        <f>IF(ISNUMBER(MATCH(F2,'Overzicht BTA'!$B$13:$B$19,0)),VLOOKUP(F2,'Overzicht BTA'!$B$13:$C$19,2,FALSE),0.21)</f>
        <v>0.21</v>
      </c>
      <c r="H19" s="301">
        <f>IF(OR(H2=Bron!$B$9),ROUND(('uitgebreide raming'!H5+'uitgebreide raming'!H9+'uitgebreide raming'!H14)*'Overzicht BTA'!$C$13*('Overzicht BTA'!$D$13/('Overzicht BTA'!$D$13+'Overzicht BTA'!$F$13))+('uitgebreide raming'!H5+'uitgebreide raming'!H9+'uitgebreide raming'!H14)*'Overzicht BTA'!$E$13*('Overzicht BTA'!$F$13/('Overzicht BTA'!$D$13+'Overzicht BTA'!$F$13)),2),IF(Bron!$B$14='uitgebreide raming'!H2,ROUND(('uitgebreide raming'!H5+'uitgebreide raming'!H9+'uitgebreide raming'!H14)*'Overzicht BTA'!$C$19*('Overzicht BTA'!$D$19/('Overzicht BTA'!$D$19+'Overzicht BTA'!$F$19))+('uitgebreide raming'!H5+'uitgebreide raming'!H9+'uitgebreide raming'!H14)*'Overzicht BTA'!$E$19*('Overzicht BTA'!$F$19/('Overzicht BTA'!$D$19+'Overzicht BTA'!$F$19)),2),ROUND((H5+H9+H14)*I19,2)))</f>
        <v>0</v>
      </c>
      <c r="I19" s="803">
        <f>IF(ISNUMBER(MATCH(H2,'Overzicht BTA'!$B$13:$B$19,0)),VLOOKUP(H2,'Overzicht BTA'!$B$13:$C$19,2,FALSE),0.21)</f>
        <v>0.21</v>
      </c>
      <c r="J19" s="301">
        <f t="shared" ref="J19" si="6">B19+D19+F19+H19</f>
        <v>0</v>
      </c>
      <c r="K19" s="18"/>
    </row>
    <row r="20" spans="1:20" outlineLevel="1" x14ac:dyDescent="0.3">
      <c r="A20" s="380" t="s">
        <v>135</v>
      </c>
      <c r="B20" s="301">
        <f>ROUND(B12*C20,2)</f>
        <v>0</v>
      </c>
      <c r="C20" s="35">
        <v>0.06</v>
      </c>
      <c r="D20" s="301">
        <f>ROUND(D12*E20,2)</f>
        <v>0</v>
      </c>
      <c r="E20" s="35">
        <v>0.06</v>
      </c>
      <c r="F20" s="301">
        <f>ROUND(F12*G20,2)</f>
        <v>0</v>
      </c>
      <c r="G20" s="35">
        <v>0.06</v>
      </c>
      <c r="H20" s="301">
        <f>ROUND(H12*I20,2)</f>
        <v>0</v>
      </c>
      <c r="I20" s="35">
        <v>0.06</v>
      </c>
      <c r="J20" s="301">
        <f t="shared" ref="J20:J25" si="7">B20+D20+F20+H20</f>
        <v>0</v>
      </c>
      <c r="K20" s="18"/>
    </row>
    <row r="21" spans="1:20" outlineLevel="1" x14ac:dyDescent="0.3">
      <c r="A21" s="380" t="s">
        <v>136</v>
      </c>
      <c r="B21" s="301">
        <f>ROUND((B10+B13)*C21,2)</f>
        <v>0</v>
      </c>
      <c r="C21" s="35">
        <v>0.21</v>
      </c>
      <c r="D21" s="301">
        <f>ROUND((D10+D13)*E21,2)</f>
        <v>0</v>
      </c>
      <c r="E21" s="35">
        <v>0.21</v>
      </c>
      <c r="F21" s="301">
        <f>ROUND((F10+F13)*G21,2)</f>
        <v>0</v>
      </c>
      <c r="G21" s="35">
        <v>0.21</v>
      </c>
      <c r="H21" s="301">
        <f>ROUND((H10+H13)*I21,2)</f>
        <v>0</v>
      </c>
      <c r="I21" s="35">
        <v>0.21</v>
      </c>
      <c r="J21" s="301">
        <f t="shared" si="7"/>
        <v>0</v>
      </c>
      <c r="K21" s="18"/>
    </row>
    <row r="22" spans="1:20" outlineLevel="1" x14ac:dyDescent="0.3">
      <c r="A22" s="380" t="s">
        <v>137</v>
      </c>
      <c r="B22" s="798">
        <f>ROUND(IF(OR(B2=Bron!$B$8,B2=Bron!$B$9,B2=Bron!$B$15),'Bouwkost NB'!$C$64,IF(B2=Bron!$B$10,'Bouwkost UITB'!$C$63,IF(B2=Bron!$B$11,'Bouwkost VERB'!$C$63,IF(B2=Bron!$B$12,'Bouwkost IER'!$C$62,IF(B2=Bron!$B$16,'Bouwkost AK+VERB'!$C$63,IF(OR(B2=Bron!$B$13,B2=Bron!$B$14),'Bouwkost VOLT'!$C$63,0)))))),2)</f>
        <v>0</v>
      </c>
      <c r="C22" s="634">
        <f>IFERROR(B22/(B17-B12-B10),0)</f>
        <v>0</v>
      </c>
      <c r="D22" s="798">
        <f>ROUND(IF(OR(D$2=Bron!$B$8,D$2=Bron!$B$9,D$2=Bron!$B$15),'Bouwkost NB'!$C$64,IF(D$2=Bron!$B$10,'Bouwkost UITB'!$C$63,IF(D$2=Bron!$B$11,'Bouwkost VERB'!$C$63,IF(D$2=Bron!$B$12,'Bouwkost IER'!$C$62,IF(D$2=Bron!$B$16,'Bouwkost AK+VERB'!$C$63,IF(OR(D$2=Bron!$B$13,D$2=Bron!$B$14),'Bouwkost VOLT'!$C$63,0)))))),2)</f>
        <v>0</v>
      </c>
      <c r="E22" s="634">
        <f>IFERROR(D22/(D17-D12-D10),0)</f>
        <v>0</v>
      </c>
      <c r="F22" s="798">
        <f>ROUND(IF(OR(F$2=Bron!$B$8,F$2=Bron!$B$9,F$2=Bron!$B$15),'Bouwkost NB'!$C$64,IF(F$2=Bron!$B$10,'Bouwkost UITB'!$C$63,IF(F$2=Bron!$B$11,'Bouwkost VERB'!$C$63,IF(F$2=Bron!$B$12,'Bouwkost IER'!$C$62,IF(F$2=Bron!$B$16,'Bouwkost AK+VERB'!$C$63,IF(OR(F$2=Bron!$B$13,F$2=Bron!$B$14),'Bouwkost VOLT'!$C$63,0)))))),2)</f>
        <v>0</v>
      </c>
      <c r="G22" s="634">
        <f>IFERROR(F22/(F17-F12-F10),0)</f>
        <v>0</v>
      </c>
      <c r="H22" s="798">
        <f>ROUND(IF(OR(H$2=Bron!$B$8,H$2=Bron!$B$9,H$2=Bron!$B$15),'Bouwkost NB'!$C$64,IF(H$2=Bron!$B$10,'Bouwkost UITB'!$C$63,IF(H$2=Bron!$B$11,'Bouwkost VERB'!$C$63,IF(H$2=Bron!$B$12,'Bouwkost IER'!$C$62,IF(H$2=Bron!$B$16,'Bouwkost AK+VERB'!$C$63,IF(OR(H$2=Bron!$B$13,H$2=Bron!$B$14),'Bouwkost VOLT'!$C$63,0)))))),2)</f>
        <v>0</v>
      </c>
      <c r="I22" s="634">
        <f>IFERROR(H22/(H17-H12-H10),0)</f>
        <v>0</v>
      </c>
      <c r="J22" s="301">
        <f t="shared" si="7"/>
        <v>0</v>
      </c>
      <c r="L22" s="52"/>
    </row>
    <row r="23" spans="1:20" outlineLevel="1" x14ac:dyDescent="0.3">
      <c r="A23" s="380" t="s">
        <v>138</v>
      </c>
      <c r="B23" s="301">
        <f>ROUND(B22*C23,2)</f>
        <v>0</v>
      </c>
      <c r="C23" s="35">
        <v>0.21</v>
      </c>
      <c r="D23" s="301">
        <f>ROUND(D22*E23,2)</f>
        <v>0</v>
      </c>
      <c r="E23" s="35">
        <v>0.21</v>
      </c>
      <c r="F23" s="301">
        <f>ROUND(F22*G23,2)</f>
        <v>0</v>
      </c>
      <c r="G23" s="35">
        <v>0.21</v>
      </c>
      <c r="H23" s="301">
        <f>ROUND(H22*I23,2)</f>
        <v>0</v>
      </c>
      <c r="I23" s="35">
        <v>0.21</v>
      </c>
      <c r="J23" s="301">
        <f t="shared" si="7"/>
        <v>0</v>
      </c>
    </row>
    <row r="24" spans="1:20" outlineLevel="1" x14ac:dyDescent="0.3">
      <c r="A24" s="383" t="s">
        <v>1406</v>
      </c>
      <c r="B24" s="804">
        <f>SUM(B19:B23)</f>
        <v>0</v>
      </c>
      <c r="C24" s="35"/>
      <c r="D24" s="804">
        <f>SUM(D19:D23)</f>
        <v>0</v>
      </c>
      <c r="E24" s="35"/>
      <c r="F24" s="804">
        <f>SUM(F19:F23)</f>
        <v>0</v>
      </c>
      <c r="G24" s="35"/>
      <c r="H24" s="804">
        <f>SUM(H19:H23)</f>
        <v>0</v>
      </c>
      <c r="I24" s="35"/>
      <c r="J24" s="384">
        <f t="shared" si="7"/>
        <v>0</v>
      </c>
    </row>
    <row r="25" spans="1:20" outlineLevel="1" x14ac:dyDescent="0.3">
      <c r="A25" s="582" t="s">
        <v>140</v>
      </c>
      <c r="B25" s="583">
        <f>B3+B4</f>
        <v>0</v>
      </c>
      <c r="D25" s="583">
        <f>D3+D4</f>
        <v>0</v>
      </c>
      <c r="F25" s="583">
        <f>F3+F4</f>
        <v>0</v>
      </c>
      <c r="H25" s="583">
        <f>H3+H4</f>
        <v>0</v>
      </c>
      <c r="J25" s="382">
        <f t="shared" si="7"/>
        <v>0</v>
      </c>
    </row>
    <row r="26" spans="1:20" x14ac:dyDescent="0.3">
      <c r="A26" s="381" t="s">
        <v>141</v>
      </c>
      <c r="B26" s="801">
        <f>B24+B17</f>
        <v>0</v>
      </c>
      <c r="C26" s="20"/>
      <c r="D26" s="801">
        <f>D24+D17</f>
        <v>0</v>
      </c>
      <c r="E26" s="20"/>
      <c r="F26" s="801">
        <f>F24+F17</f>
        <v>0</v>
      </c>
      <c r="G26" s="20"/>
      <c r="H26" s="801">
        <f>H24+H17</f>
        <v>0</v>
      </c>
      <c r="I26" s="20"/>
      <c r="J26" s="382">
        <f>B26+D26+F26+H26</f>
        <v>0</v>
      </c>
    </row>
    <row r="27" spans="1:20" x14ac:dyDescent="0.3">
      <c r="A27" s="19"/>
      <c r="B27" s="18"/>
      <c r="C27" s="18"/>
      <c r="D27" s="18"/>
      <c r="E27" s="18"/>
      <c r="F27" s="18"/>
      <c r="G27" s="18"/>
      <c r="H27" s="18"/>
      <c r="I27" s="18"/>
      <c r="J27" s="18"/>
      <c r="K27" s="18"/>
    </row>
    <row r="28" spans="1:20" hidden="1" x14ac:dyDescent="0.3">
      <c r="A28" s="94" t="s">
        <v>116</v>
      </c>
      <c r="B28" s="1189" t="str">
        <f>'Overzicht BTA'!H3</f>
        <v>Kies de zorgvorm</v>
      </c>
      <c r="C28" s="1190"/>
      <c r="D28" s="1190"/>
      <c r="E28" s="1190"/>
      <c r="F28" s="1190"/>
      <c r="G28" s="1190"/>
      <c r="H28" s="1190"/>
      <c r="I28" s="1190"/>
      <c r="J28" s="1190"/>
      <c r="K28" s="1190"/>
    </row>
    <row r="29" spans="1:20" ht="15" hidden="1" thickBot="1" x14ac:dyDescent="0.35">
      <c r="A29" s="99" t="s">
        <v>117</v>
      </c>
      <c r="B29" s="108" t="str">
        <f>'Overzicht BTA'!H7</f>
        <v>Kies kostensoort</v>
      </c>
      <c r="C29" s="100" t="s">
        <v>118</v>
      </c>
      <c r="D29" s="108" t="str">
        <f>'Overzicht BTA'!H8</f>
        <v>Kies kostensoort</v>
      </c>
      <c r="E29" s="100" t="s">
        <v>119</v>
      </c>
      <c r="F29" s="108" t="str">
        <f>'Overzicht BTA'!H9</f>
        <v>Kies kostensoort</v>
      </c>
      <c r="G29" s="100" t="s">
        <v>119</v>
      </c>
      <c r="H29" s="108" t="str">
        <f>'Overzicht BTA'!H10</f>
        <v>Kies kostensoort</v>
      </c>
      <c r="I29" s="100" t="s">
        <v>119</v>
      </c>
      <c r="J29" s="99" t="s">
        <v>110</v>
      </c>
      <c r="K29" s="100" t="s">
        <v>119</v>
      </c>
      <c r="T29" t="s">
        <v>69</v>
      </c>
    </row>
    <row r="30" spans="1:20" ht="15" hidden="1" thickTop="1" x14ac:dyDescent="0.3">
      <c r="A30" s="75" t="s">
        <v>120</v>
      </c>
      <c r="B30" s="798">
        <f>IF(OR(B$29=Bron!$B$8,B$29=Bron!$B$9,B$29=Bron!$B$15),'Bouwkost NB'!$N17,IF(B$29=Bron!$B$10,'Bouwkost UITB'!$N$16,IF(B$29=Bron!$B$11,'Bouwkost VERB'!$N$16,IF(B$29=Bron!$B$12,'Bouwkost IER'!$N$15,IF(B$29=Bron!$B$16,'Bouwkost AK+VERB'!$N$16,IF(OR(B$29=Bron!$B$13,B$29=Bron!$B$14),'Bouwkost VOLT'!$N$16,0))))))-B31</f>
        <v>0</v>
      </c>
      <c r="C30" s="488"/>
      <c r="D30" s="798">
        <f>IF(OR(D$29=Bron!$B$8,D$29=Bron!$B$9,D$29=Bron!$B$15),'Bouwkost NB'!$N17,IF(D$29=Bron!$B$10,'Bouwkost UITB'!$N$16,IF(D$29=Bron!$B$11,'Bouwkost VERB'!$N$16,IF(D$29=Bron!$B$12,'Bouwkost IER'!$N$15,IF(D$29=Bron!$B$16,'Bouwkost AK+VERB'!$N$16,IF(OR(D$29=Bron!$B$13,D$29=Bron!$B$14),'Bouwkost VOLT'!$N$16,0))))))-D31</f>
        <v>0</v>
      </c>
      <c r="E30" s="488"/>
      <c r="F30" s="798">
        <f>IF(OR(F$29=Bron!$B$8,F$29=Bron!$B$9,F$29=Bron!$B$15),'Bouwkost NB'!$N17,IF(F$29=Bron!$B$10,'Bouwkost UITB'!$N$16,IF(F$29=Bron!$B$11,'Bouwkost VERB'!$N$16,IF(F$29=Bron!$B$12,'Bouwkost IER'!$N$15,IF(F$29=Bron!$B$16,'Bouwkost AK+VERB'!$N$16,IF(OR(F$29=Bron!$B$13,F$29=Bron!$B$14),'Bouwkost VOLT'!$N$16,0))))))-F31</f>
        <v>0</v>
      </c>
      <c r="G30" s="488"/>
      <c r="H30" s="798">
        <f>IF(OR(H$29=Bron!$B$8,H$29=Bron!$B$9,H$29=Bron!$B$15),'Bouwkost NB'!$N17,IF(H$29=Bron!$B$10,'Bouwkost UITB'!$N$16,IF(H$29=Bron!$B$11,'Bouwkost VERB'!$N$16,IF(H$29=Bron!$B$12,'Bouwkost IER'!$N$15,IF(H$29=Bron!$B$16,'Bouwkost AK+VERB'!$N$16,IF(OR(H$29=Bron!$B$13,H$29=Bron!$B$14),'Bouwkost VOLT'!$N$16,0))))))-H31</f>
        <v>0</v>
      </c>
      <c r="I30" s="488"/>
      <c r="J30" s="98">
        <f t="shared" ref="J30:J31" si="8">B30+D30+F30+H30</f>
        <v>0</v>
      </c>
      <c r="K30" s="488"/>
      <c r="L30" s="52"/>
    </row>
    <row r="31" spans="1:20" hidden="1" x14ac:dyDescent="0.3">
      <c r="A31" s="75" t="s">
        <v>121</v>
      </c>
      <c r="B31" s="417">
        <f>IF(OR(B$29=Bron!$B$8,B$29=Bron!$B$9,B$29=Bron!$B$15),'Bouwkost NB'!$N$20,IF(B$29=Bron!$B$10,'Bouwkost UITB'!$N$19,IF(B$29=Bron!$B$11,'Bouwkost VERB'!$N$19,IF(B$29=Bron!$B$12,'Bouwkost IER'!$N$18,IF(B$29=Bron!$B$16,'Bouwkost AK+VERB'!$N$19,IF(OR(B$29=Bron!$B$13,B$29=Bron!$B$14),'Bouwkost VOLT'!$N$19,0))))))</f>
        <v>0</v>
      </c>
      <c r="C31" s="488"/>
      <c r="D31" s="417">
        <f>IF(OR(D$29=Bron!$B$8,D$29=Bron!$B$9,D$29=Bron!$B$15),'Bouwkost NB'!$N$20,IF(D$29=Bron!$B$10,'Bouwkost UITB'!$N$19,IF(D$29=Bron!$B$11,'Bouwkost VERB'!$N$19,IF(D$29=Bron!$B$12,'Bouwkost IER'!$N$18,IF(D$29=Bron!$B$16,'Bouwkost AK+VERB'!$N$19,IF(OR(D$29=Bron!$B$13,D$29=Bron!$B$14),'Bouwkost VOLT'!$N$19,0))))))</f>
        <v>0</v>
      </c>
      <c r="E31" s="488"/>
      <c r="F31" s="417">
        <f>IF(OR(F$29=Bron!$B$8,F$29=Bron!$B$9,F$29=Bron!$B$15),'Bouwkost NB'!$N$20,IF(F$29=Bron!$B$10,'Bouwkost UITB'!$N$19,IF(F$29=Bron!$B$11,'Bouwkost VERB'!$N$19,IF(F$29=Bron!$B$12,'Bouwkost IER'!$N$18,IF(F$29=Bron!$B$16,'Bouwkost AK+VERB'!$N$19,IF(OR(F$29=Bron!$B$13,F$29=Bron!$B$14),'Bouwkost VOLT'!$N$19,0))))))</f>
        <v>0</v>
      </c>
      <c r="G31" s="488"/>
      <c r="H31" s="417">
        <f>IF(OR(H$29=Bron!$B$8,H$29=Bron!$B$9,H$29=Bron!$B$15),'Bouwkost NB'!$N$20,IF(H$29=Bron!$B$10,'Bouwkost UITB'!$N$19,IF(H$29=Bron!$B$11,'Bouwkost VERB'!$N$19,IF(H$29=Bron!$B$12,'Bouwkost IER'!$N$18,IF(H$29=Bron!$B$16,'Bouwkost AK+VERB'!$N$19,IF(OR(H$29=Bron!$B$13,H$29=Bron!$B$14),'Bouwkost VOLT'!$N$19,0))))))</f>
        <v>0</v>
      </c>
      <c r="I31" s="488"/>
      <c r="J31" s="98">
        <f t="shared" si="8"/>
        <v>0</v>
      </c>
      <c r="K31" s="488"/>
      <c r="L31" s="52"/>
    </row>
    <row r="32" spans="1:20" hidden="1" x14ac:dyDescent="0.3">
      <c r="A32" s="75" t="s">
        <v>122</v>
      </c>
      <c r="B32" s="798">
        <f>IF(OR(B$29=Bron!$B$8,B$29=Bron!$B$9,B$29=Bron!$B$15),'Bouwkost NB'!$N$55,IF(B$29=Bron!$B$10,'Bouwkost UITB'!$N$54,IF(B$29=Bron!$B$11,'Bouwkost VERB'!$N$54,IF(B$29=Bron!$B$12,'Bouwkost IER'!$N$53,IF(B$29=Bron!$B$16,'Bouwkost AK+VERB'!$N$54,IF(OR(B$29=Bron!$B$13,B$29=Bron!$B$14),'Bouwkost VOLT'!$N$54,0))))))</f>
        <v>0</v>
      </c>
      <c r="C32" s="75"/>
      <c r="D32" s="798">
        <f>IF(OR(D$29=Bron!$B$8,D$29=Bron!$B$9,D$29=Bron!$B$15),'Bouwkost NB'!$N$55,IF(D$29=Bron!$B$10,'Bouwkost UITB'!$N$54,IF(D$29=Bron!$B$11,'Bouwkost VERB'!$N$54,IF(D$29=Bron!$B$12,'Bouwkost IER'!$N$53,IF(D$29=Bron!$B$16,'Bouwkost AK+VERB'!$N$54,IF(OR(D$29=Bron!$B$13,D$29=Bron!$B$14),'Bouwkost VOLT'!$N$54,0))))))</f>
        <v>0</v>
      </c>
      <c r="E32" s="75"/>
      <c r="F32" s="798">
        <f>IF(OR(F$29=Bron!$B$8,F$29=Bron!$B$9,F$29=Bron!$B$15),'Bouwkost NB'!$N$55,IF(F$29=Bron!$B$10,'Bouwkost UITB'!$N$54,IF(F$29=Bron!$B$11,'Bouwkost VERB'!$N$54,IF(F$29=Bron!$B$12,'Bouwkost IER'!$N$53,IF(F$29=Bron!$B$16,'Bouwkost AK+VERB'!$N$54,IF(OR(F$29=Bron!$B$13,F$29=Bron!$B$14),'Bouwkost VOLT'!$N$54,0))))))</f>
        <v>0</v>
      </c>
      <c r="G32" s="75"/>
      <c r="H32" s="798">
        <f>IF(OR(H$29=Bron!$B$8,H$29=Bron!$B$9,H$29=Bron!$B$15),'Bouwkost NB'!$N$55,IF(H$29=Bron!$B$10,'Bouwkost UITB'!$N$54,IF(H$29=Bron!$B$11,'Bouwkost VERB'!$N$54,IF(H$29=Bron!$B$12,'Bouwkost IER'!$N$53,IF(H$29=Bron!$B$16,'Bouwkost AK+VERB'!$N$54,IF(OR(H$29=Bron!$B$13,H$29=Bron!$B$14),'Bouwkost VOLT'!$N$54,0))))))</f>
        <v>0</v>
      </c>
      <c r="I32" s="75"/>
      <c r="J32" s="98">
        <f>B32+D32+F32+H32</f>
        <v>0</v>
      </c>
      <c r="K32" s="75"/>
    </row>
    <row r="33" spans="1:11" hidden="1" x14ac:dyDescent="0.3">
      <c r="A33" s="48" t="s">
        <v>123</v>
      </c>
      <c r="B33" s="798">
        <f>IF(OR(B$29=Bron!$B$8,B$29=Bron!$B$9,B$29=Bron!$B$15),'Bouwkost NB'!$N$25,IF(B$29=Bron!$B$10,'Bouwkost UITB'!$N$24,IF(B$29=Bron!$B$11,'Bouwkost VERB'!$N$24,IF(B$29=Bron!$B$12,'Bouwkost IER'!$N$23,IF(B$29=Bron!$B$16,'Bouwkost AK+VERB'!$N$24,IF(OR(B$29=Bron!$B$13,B$29=Bron!$B$14),'Bouwkost VOLT'!$N$24,0))))))</f>
        <v>0</v>
      </c>
      <c r="C33" s="35">
        <f>IF($B$38=0,0,B33/$B$38)</f>
        <v>0</v>
      </c>
      <c r="D33" s="798">
        <f>IF(OR(D$29=Bron!$B$8,D$29=Bron!$B$9,D$29=Bron!$B$15),'Bouwkost NB'!$N$25,IF(D$29=Bron!$B$10,'Bouwkost UITB'!$N$24,IF(D$29=Bron!$B$11,'Bouwkost VERB'!$N$24,IF(D$29=Bron!$B$12,'Bouwkost IER'!$N$23,IF(D$29=Bron!$B$16,'Bouwkost AK+VERB'!$N$24,IF(OR(D$29=Bron!$B$13,D$29=Bron!$B$14),'Bouwkost VOLT'!$N$24,0))))))</f>
        <v>0</v>
      </c>
      <c r="E33" s="35">
        <f>IF($D$38=0,0,D33/$D$38)</f>
        <v>0</v>
      </c>
      <c r="F33" s="798">
        <f>IF(OR(F$29=Bron!$B$8,F$29=Bron!$B$9,F$29=Bron!$B$15),'Bouwkost NB'!$N$25,IF(F$29=Bron!$B$10,'Bouwkost UITB'!$N$24,IF(F$29=Bron!$B$11,'Bouwkost VERB'!$N$24,IF(F$29=Bron!$B$12,'Bouwkost IER'!$N$23,IF(F$29=Bron!$B$16,'Bouwkost AK+VERB'!$N$24,IF(OR(F$29=Bron!$B$13,F$29=Bron!$B$14),'Bouwkost VOLT'!$N$24,0))))))</f>
        <v>0</v>
      </c>
      <c r="G33" s="35">
        <f>IF($F$38=0,0,F33/$F$38)</f>
        <v>0</v>
      </c>
      <c r="H33" s="798">
        <f>IF(OR(H$29=Bron!$B$8,H$29=Bron!$B$9,H$29=Bron!$B$15),'Bouwkost NB'!$N$25,IF(H$29=Bron!$B$10,'Bouwkost UITB'!$N$24,IF(H$29=Bron!$B$11,'Bouwkost VERB'!$N$24,IF(H$29=Bron!$B$12,'Bouwkost IER'!$N$23,IF(H$29=Bron!$B$16,'Bouwkost AK+VERB'!$N$24,IF(OR(H$29=Bron!$B$13,H$29=Bron!$B$14),'Bouwkost VOLT'!$N$24,0))))))</f>
        <v>0</v>
      </c>
      <c r="I33" s="35">
        <f>IF($H$38=0,0,H33/$H$38)</f>
        <v>0</v>
      </c>
      <c r="J33" s="468">
        <f t="shared" ref="J33:J38" si="9">B33+D33+F33+H33</f>
        <v>0</v>
      </c>
      <c r="K33" s="35" t="e">
        <f>J33/J38</f>
        <v>#DIV/0!</v>
      </c>
    </row>
    <row r="34" spans="1:11" hidden="1" x14ac:dyDescent="0.3">
      <c r="A34" s="48" t="s">
        <v>124</v>
      </c>
      <c r="B34" s="798">
        <f>IF(OR(B$29=Bron!$B$8,B$29=Bron!$B$9,B$29=Bron!$B$15),'Bouwkost NB'!$N$32,IF(B$29=Bron!$B$10,'Bouwkost UITB'!$N$31,IF(B$29=Bron!$B$11,'Bouwkost VERB'!$N$31,IF(B$29=Bron!$B$12,'Bouwkost IER'!$N$30,IF(B$29=Bron!$B$16,'Bouwkost AK+VERB'!$N$31,IF(OR(B$29=Bron!$B$13,B$29=Bron!$B$14),'Bouwkost VOLT'!$N$31,0))))))</f>
        <v>0</v>
      </c>
      <c r="C34" s="35">
        <f t="shared" ref="C34:C38" si="10">IF($B$38=0,0,B34/$B$38)</f>
        <v>0</v>
      </c>
      <c r="D34" s="798">
        <f>IF(OR(D$29=Bron!$B$8,D$29=Bron!$B$9,D$29=Bron!$B$15),'Bouwkost NB'!$N$32,IF(D$29=Bron!$B$10,'Bouwkost UITB'!$N$31,IF(D$29=Bron!$B$11,'Bouwkost VERB'!$N$31,IF(D$29=Bron!$B$12,'Bouwkost IER'!$N$30,IF(D$29=Bron!$B$16,'Bouwkost AK+VERB'!$N$31,IF(OR(D$29=Bron!$B$13,D$29=Bron!$B$14),'Bouwkost VOLT'!$N$31,0))))))</f>
        <v>0</v>
      </c>
      <c r="E34" s="35">
        <f t="shared" ref="E34:E38" si="11">IF($D$38=0,0,D34/$D$38)</f>
        <v>0</v>
      </c>
      <c r="F34" s="798">
        <f>IF(OR(F$29=Bron!$B$8,F$29=Bron!$B$9,F$29=Bron!$B$15),'Bouwkost NB'!$N$32,IF(F$29=Bron!$B$10,'Bouwkost UITB'!$N$31,IF(F$29=Bron!$B$11,'Bouwkost VERB'!$N$31,IF(F$29=Bron!$B$12,'Bouwkost IER'!$N$30,IF(F$29=Bron!$B$16,'Bouwkost AK+VERB'!$N$31,IF(OR(F$29=Bron!$B$13,F$29=Bron!$B$14),'Bouwkost VOLT'!$N$31,0))))))</f>
        <v>0</v>
      </c>
      <c r="G34" s="35">
        <f t="shared" ref="G34:G38" si="12">IF($F$38=0,0,F34/$F$38)</f>
        <v>0</v>
      </c>
      <c r="H34" s="798">
        <f>IF(OR(H$29=Bron!$B$8,H$29=Bron!$B$9,H$29=Bron!$B$15),'Bouwkost NB'!$N$32,IF(H$29=Bron!$B$10,'Bouwkost UITB'!$N$31,IF(H$29=Bron!$B$11,'Bouwkost VERB'!$N$31,IF(H$29=Bron!$B$12,'Bouwkost IER'!$N$30,IF(H$29=Bron!$B$16,'Bouwkost AK+VERB'!$N$31,IF(OR(H$29=Bron!$B$13,H$29=Bron!$B$14),'Bouwkost VOLT'!$N$31,0))))))</f>
        <v>0</v>
      </c>
      <c r="I34" s="35">
        <f t="shared" ref="I34:I38" si="13">IF($H$38=0,0,H34/$H$38)</f>
        <v>0</v>
      </c>
      <c r="J34" s="468">
        <f t="shared" si="9"/>
        <v>0</v>
      </c>
      <c r="K34" s="35" t="e">
        <f>J34/J38</f>
        <v>#DIV/0!</v>
      </c>
    </row>
    <row r="35" spans="1:11" hidden="1" x14ac:dyDescent="0.3">
      <c r="A35" s="48" t="s">
        <v>125</v>
      </c>
      <c r="B35" s="798">
        <f>IF(OR(B$29=Bron!$B$8,B$29=Bron!$B$9,B$29=Bron!$B$15),'Bouwkost NB'!$N$40,IF(B$29=Bron!$B$10,'Bouwkost UITB'!$N$39,IF(B$29=Bron!$B$11,'Bouwkost VERB'!$N$39,IF(B$29=Bron!$B$12,'Bouwkost IER'!$N$38,IF(B$29=Bron!$B$16,'Bouwkost AK+VERB'!$N$39,IF(OR(B$29=Bron!$B$13,B$29=Bron!$B$14),'Bouwkost VOLT'!$N$39,0))))))</f>
        <v>0</v>
      </c>
      <c r="C35" s="35">
        <f t="shared" si="10"/>
        <v>0</v>
      </c>
      <c r="D35" s="798">
        <f>IF(OR(D$29=Bron!$B$8,D$29=Bron!$B$9,D$29=Bron!$B$15),'Bouwkost NB'!$N$40,IF(D$29=Bron!$B$10,'Bouwkost UITB'!$N$39,IF(D$29=Bron!$B$11,'Bouwkost VERB'!$N$39,IF(D$29=Bron!$B$12,'Bouwkost IER'!$N$38,IF(D$29=Bron!$B$16,'Bouwkost AK+VERB'!$N$39,IF(OR(D$29=Bron!$B$13,D$29=Bron!$B$14),'Bouwkost VOLT'!$N$39,0))))))</f>
        <v>0</v>
      </c>
      <c r="E35" s="35">
        <f t="shared" si="11"/>
        <v>0</v>
      </c>
      <c r="F35" s="798">
        <f>IF(OR(F$29=Bron!$B$8,F$29=Bron!$B$9,F$29=Bron!$B$15),'Bouwkost NB'!$N$40,IF(F$29=Bron!$B$10,'Bouwkost UITB'!$N$39,IF(F$29=Bron!$B$11,'Bouwkost VERB'!$N$39,IF(F$29=Bron!$B$12,'Bouwkost IER'!$N$38,IF(F$29=Bron!$B$16,'Bouwkost AK+VERB'!$N$39,IF(OR(F$29=Bron!$B$13,F$29=Bron!$B$14),'Bouwkost VOLT'!$N$39,0))))))</f>
        <v>0</v>
      </c>
      <c r="G35" s="35">
        <f t="shared" si="12"/>
        <v>0</v>
      </c>
      <c r="H35" s="798">
        <f>IF(OR(H$29=Bron!$B$8,H$29=Bron!$B$9,H$29=Bron!$B$15),'Bouwkost NB'!$N$40,IF(H$29=Bron!$B$10,'Bouwkost UITB'!$N$39,IF(H$29=Bron!$B$11,'Bouwkost VERB'!$N$39,IF(H$29=Bron!$B$12,'Bouwkost IER'!$N$38,IF(H$29=Bron!$B$16,'Bouwkost AK+VERB'!$N$39,IF(OR(H$29=Bron!$B$13,H$29=Bron!$B$14),'Bouwkost VOLT'!$N$39,0))))))</f>
        <v>0</v>
      </c>
      <c r="I35" s="35">
        <f t="shared" si="13"/>
        <v>0</v>
      </c>
      <c r="J35" s="468">
        <f t="shared" si="9"/>
        <v>0</v>
      </c>
      <c r="K35" s="35" t="e">
        <f>J35/J38</f>
        <v>#DIV/0!</v>
      </c>
    </row>
    <row r="36" spans="1:11" hidden="1" x14ac:dyDescent="0.3">
      <c r="A36" s="58" t="s">
        <v>126</v>
      </c>
      <c r="B36" s="801">
        <f>SUM(B33:B35)</f>
        <v>0</v>
      </c>
      <c r="C36" s="35">
        <f t="shared" si="10"/>
        <v>0</v>
      </c>
      <c r="D36" s="801">
        <f>SUM(D33:D35)</f>
        <v>0</v>
      </c>
      <c r="E36" s="35">
        <f t="shared" si="11"/>
        <v>0</v>
      </c>
      <c r="F36" s="801">
        <f>SUM(F33:F35)</f>
        <v>0</v>
      </c>
      <c r="G36" s="35">
        <f t="shared" si="12"/>
        <v>0</v>
      </c>
      <c r="H36" s="801">
        <f>SUM(H33:H35)</f>
        <v>0</v>
      </c>
      <c r="I36" s="35">
        <f t="shared" si="13"/>
        <v>0</v>
      </c>
      <c r="J36" s="469">
        <f t="shared" si="9"/>
        <v>0</v>
      </c>
      <c r="K36" s="35" t="e">
        <f>J36/J38</f>
        <v>#DIV/0!</v>
      </c>
    </row>
    <row r="37" spans="1:11" hidden="1" x14ac:dyDescent="0.3">
      <c r="A37" s="48" t="s">
        <v>127</v>
      </c>
      <c r="B37" s="798">
        <f>IF(OR(B$29=Bron!$B$8,B$29=Bron!$B$9,B$29=Bron!$B$15),'Bouwkost NB'!$N$50,IF(B$29=Bron!$B$10,'Bouwkost UITB'!$N$49,IF(B$29=Bron!$B$11,'Bouwkost VERB'!$N$49,IF(B$29=Bron!$B$12,'Bouwkost IER'!$N$48,IF(B$29=Bron!$B$16,'Bouwkost AK+VERB'!$N$49,IF(OR(B$29=Bron!$B$13,B$29=Bron!$B$14),'Bouwkost VOLT'!$N$49,0))))))</f>
        <v>0</v>
      </c>
      <c r="C37" s="35">
        <f t="shared" si="10"/>
        <v>0</v>
      </c>
      <c r="D37" s="798">
        <f>IF(OR(D$29=Bron!$B$8,D$29=Bron!$B$9,D$29=Bron!$B$15),'Bouwkost NB'!$N$50,IF(D$29=Bron!$B$10,'Bouwkost UITB'!$N$49,IF(D$29=Bron!$B$11,'Bouwkost VERB'!$N$49,IF(D$29=Bron!$B$12,'Bouwkost IER'!$N$48,IF(D$29=Bron!$B$16,'Bouwkost AK+VERB'!$N$49,IF(OR(D$29=Bron!$B$13,D$29=Bron!$B$14),'Bouwkost VOLT'!$N$49,0))))))</f>
        <v>0</v>
      </c>
      <c r="E37" s="35">
        <f t="shared" si="11"/>
        <v>0</v>
      </c>
      <c r="F37" s="798">
        <f>IF(OR(F$29=Bron!$B$8,F$29=Bron!$B$9,F$29=Bron!$B$15),'Bouwkost NB'!$N$50,IF(F$29=Bron!$B$10,'Bouwkost UITB'!$N$49,IF(F$29=Bron!$B$11,'Bouwkost VERB'!$N$49,IF(F$29=Bron!$B$12,'Bouwkost IER'!$N$48,IF(F$29=Bron!$B$16,'Bouwkost AK+VERB'!$N$49,IF(OR(F$29=Bron!$B$13,F$29=Bron!$B$14),'Bouwkost VOLT'!$N$49,0))))))</f>
        <v>0</v>
      </c>
      <c r="G37" s="35">
        <f t="shared" si="12"/>
        <v>0</v>
      </c>
      <c r="H37" s="798">
        <f>IF(OR(H$29=Bron!$B$8,H$29=Bron!$B$9,H$29=Bron!$B$15),'Bouwkost NB'!$N$50,IF(H$29=Bron!$B$10,'Bouwkost UITB'!$N$49,IF(H$29=Bron!$B$11,'Bouwkost VERB'!$N$49,IF(H$29=Bron!$B$12,'Bouwkost IER'!$N$48,IF(H$29=Bron!$B$16,'Bouwkost AK+VERB'!$N$49,IF(OR(H$29=Bron!$B$13,H$29=Bron!$B$14),'Bouwkost VOLT'!$N$49,0))))))</f>
        <v>0</v>
      </c>
      <c r="I37" s="35">
        <f t="shared" si="13"/>
        <v>0</v>
      </c>
      <c r="J37" s="468">
        <f t="shared" si="9"/>
        <v>0</v>
      </c>
      <c r="K37" s="35" t="e">
        <f>J37/J38</f>
        <v>#DIV/0!</v>
      </c>
    </row>
    <row r="38" spans="1:11" hidden="1" x14ac:dyDescent="0.3">
      <c r="A38" s="58" t="s">
        <v>110</v>
      </c>
      <c r="B38" s="802">
        <f>B36+B37</f>
        <v>0</v>
      </c>
      <c r="C38" s="35">
        <f t="shared" si="10"/>
        <v>0</v>
      </c>
      <c r="D38" s="802">
        <f>D36+D37</f>
        <v>0</v>
      </c>
      <c r="E38" s="35">
        <f t="shared" si="11"/>
        <v>0</v>
      </c>
      <c r="F38" s="802">
        <f>F36+F37</f>
        <v>0</v>
      </c>
      <c r="G38" s="35">
        <f t="shared" si="12"/>
        <v>0</v>
      </c>
      <c r="H38" s="802">
        <f>H36+H37</f>
        <v>0</v>
      </c>
      <c r="I38" s="35">
        <f t="shared" si="13"/>
        <v>0</v>
      </c>
      <c r="J38" s="469">
        <f t="shared" si="9"/>
        <v>0</v>
      </c>
      <c r="K38" s="35" t="e">
        <f>SUM(K33:K35)+K37</f>
        <v>#DIV/0!</v>
      </c>
    </row>
    <row r="39" spans="1:11" hidden="1" x14ac:dyDescent="0.3">
      <c r="A39" s="22" t="s">
        <v>128</v>
      </c>
      <c r="B39" s="301">
        <f>IFERROR(IF('Overzicht project'!$E$66=0,0,$B$84*('Overzicht BTA'!I$7/'Overzicht project'!$E$66)),0)</f>
        <v>0</v>
      </c>
      <c r="C39" s="301"/>
      <c r="D39" s="301">
        <f>IFERROR(IF('Overzicht project'!$E$66=0,0,$B$84*('Overzicht BTA'!I$8/'Overzicht project'!$E$66)),0)</f>
        <v>0</v>
      </c>
      <c r="E39" s="301"/>
      <c r="F39" s="301">
        <f>IFERROR(IF('Overzicht project'!$E$66=0,0,$B$84*('Overzicht BTA'!I$9/'Overzicht project'!$E$66)),0)</f>
        <v>0</v>
      </c>
      <c r="G39" s="301"/>
      <c r="H39" s="301">
        <f>IFERROR(IF('Overzicht project'!$E$66=0,0,$B$84*('Overzicht BTA'!I$10/'Overzicht project'!$E$66)),0)</f>
        <v>0</v>
      </c>
      <c r="I39" s="35"/>
      <c r="J39" s="98">
        <f>IF('Overzicht project'!$E$66=0,0,kunst!$B$11*('Overzicht BTA'!J30/'Overzicht project'!$E$66))</f>
        <v>0</v>
      </c>
      <c r="K39" s="35"/>
    </row>
    <row r="40" spans="1:11" hidden="1" x14ac:dyDescent="0.3">
      <c r="A40" s="22" t="s">
        <v>129</v>
      </c>
      <c r="B40" s="798">
        <f>IF(OR(B29=Bron!$B$8,B29=Bron!$B$9,B29=Bron!$B$15),'Bouwkost NB'!$N$52,IF(B29=Bron!$B$10,'Bouwkost UITB'!$N$51,IF(B29=Bron!$B$11,'Bouwkost VERB'!$N$51,IF(B29=Bron!$B$12,'Bouwkost IER'!$N$50,IF(B29=Bron!$B$16,'Bouwkost AK+VERB'!$N$51,IF(OR(B29=Bron!$B$13,B29=Bron!$B$14),'Bouwkost VOLT'!$N$51,0))))))</f>
        <v>0</v>
      </c>
      <c r="C40" s="35"/>
      <c r="D40" s="798">
        <f>IF(OR(D29=Bron!$B$8,D29=Bron!$B$9,D29=Bron!$B$15),'Bouwkost NB'!$N$52,IF(D29=Bron!$B$10,'Bouwkost UITB'!$N$51,IF(D29=Bron!$B$11,'Bouwkost VERB'!$N$51,IF(D29=Bron!$B$12,'Bouwkost IER'!$N$50,IF(D29=Bron!$B$16,'Bouwkost AK+VERB'!$N$51,IF(OR(D29=Bron!$B$13,D29=Bron!$B$14),'Bouwkost VOLT'!$N$51,0))))))</f>
        <v>0</v>
      </c>
      <c r="E40" s="35"/>
      <c r="F40" s="798">
        <f>IF(OR(F29=Bron!$B$8,F29=Bron!$B$9,F29=Bron!$B$15),'Bouwkost NB'!$N$52,IF(F29=Bron!$B$10,'Bouwkost UITB'!$N$51,IF(F29=Bron!$B$11,'Bouwkost VERB'!$N$51,IF(F29=Bron!$B$12,'Bouwkost IER'!$N$50,IF(F29=Bron!$B$16,'Bouwkost AK+VERB'!$N$51,IF(OR(F29=Bron!$B$13,F29=Bron!$B$14),'Bouwkost VOLT'!$N$51,0))))))</f>
        <v>0</v>
      </c>
      <c r="G40" s="35"/>
      <c r="H40" s="798">
        <f>IF(OR(H29=Bron!$B$8,H29=Bron!$B$9,H29=Bron!$B$15),'Bouwkost NB'!$N$52,IF(H29=Bron!$B$10,'Bouwkost UITB'!$N$51,IF(H29=Bron!$B$11,'Bouwkost VERB'!$N$51,IF(H29=Bron!$B$12,'Bouwkost IER'!$N$50,IF(H29=Bron!$B$16,'Bouwkost AK+VERB'!$N$51,IF(OR(H29=Bron!$B$13,H29=Bron!$B$14),'Bouwkost VOLT'!$N$51,0))))))</f>
        <v>0</v>
      </c>
      <c r="I40" s="35"/>
      <c r="J40" s="98">
        <f t="shared" ref="J40:J41" si="14">B40+D40+F40+H40</f>
        <v>0</v>
      </c>
      <c r="K40" s="35"/>
    </row>
    <row r="41" spans="1:11" hidden="1" x14ac:dyDescent="0.3">
      <c r="A41" s="22" t="s">
        <v>130</v>
      </c>
      <c r="B41" s="417">
        <f>IF(OR(B29=Bron!$B$8,B29=Bron!$B$9,B29=Bron!$B$15),'Bouwkost NB'!$N$57,IF(B29=Bron!$B$10,'Bouwkost UITB'!$N$56,IF(B29=Bron!$B$11,'Bouwkost VERB'!$N$56,IF(B29=Bron!$B$12,'Bouwkost IER'!$N$55,IF(B29=Bron!$B$16,'Bouwkost AK+VERB'!$N$56,IF(OR(B29=Bron!$B$13,B29=Bron!$B$14),'Bouwkost VOLT'!$N$56,0))))))</f>
        <v>0</v>
      </c>
      <c r="C41" s="35"/>
      <c r="D41" s="417">
        <f>IF(OR(D29=Bron!$B$8,D29=Bron!$B$9,D29=Bron!$B$15),'Bouwkost NB'!$N$57,IF(D29=Bron!$B$10,'Bouwkost UITB'!$N$56,IF(D29=Bron!$B$11,'Bouwkost VERB'!$N$56,IF(D29=Bron!$B$12,'Bouwkost IER'!$N$55,IF(D29=Bron!$B$16,'Bouwkost AK+VERB'!$N$56,IF(OR(D29=Bron!$B$13,D29=Bron!$B$14),'Bouwkost VOLT'!$N$56,0))))))</f>
        <v>0</v>
      </c>
      <c r="E41" s="35"/>
      <c r="F41" s="417">
        <f>IF(OR(F29=Bron!$B$8,F29=Bron!$B$9,F29=Bron!$B$15),'Bouwkost NB'!$N$57,IF(F29=Bron!$B$10,'Bouwkost UITB'!$N$56,IF(F29=Bron!$B$11,'Bouwkost VERB'!$N$56,IF(F29=Bron!$B$12,'Bouwkost IER'!$N$55,IF(F29=Bron!$B$16,'Bouwkost AK+VERB'!$N$56,IF(OR(F29=Bron!$B$13,F29=Bron!$B$14),'Bouwkost VOLT'!$N$56,0))))))</f>
        <v>0</v>
      </c>
      <c r="G41" s="35"/>
      <c r="H41" s="417">
        <f>IF(OR(H29=Bron!$B$8,H29=Bron!$B$9,H29=Bron!$B$15),'Bouwkost NB'!$N$57,IF(H29=Bron!$B$10,'Bouwkost UITB'!$N$56,IF(H29=Bron!$B$11,'Bouwkost VERB'!$N$56,IF(H29=Bron!$B$12,'Bouwkost IER'!$N$55,IF(H29=Bron!$B$16,'Bouwkost AK+VERB'!$N$56,IF(OR(H29=Bron!$B$13,H29=Bron!$B$14),'Bouwkost VOLT'!$N$56,0))))))</f>
        <v>0</v>
      </c>
      <c r="I41" s="35"/>
      <c r="J41" s="98">
        <f t="shared" si="14"/>
        <v>0</v>
      </c>
      <c r="K41" s="35"/>
    </row>
    <row r="42" spans="1:11" hidden="1" x14ac:dyDescent="0.3">
      <c r="A42" s="22" t="s">
        <v>131</v>
      </c>
      <c r="B42" s="301">
        <f>B32+B36+B40+B41</f>
        <v>0</v>
      </c>
      <c r="C42" s="35"/>
      <c r="D42" s="301">
        <f>D32+D36+D40+D41</f>
        <v>0</v>
      </c>
      <c r="E42" s="35"/>
      <c r="F42" s="301">
        <f>F32+F36+F40+F41</f>
        <v>0</v>
      </c>
      <c r="G42" s="35"/>
      <c r="H42" s="301">
        <f>H32+H36+H40+H41</f>
        <v>0</v>
      </c>
      <c r="I42" s="35"/>
      <c r="J42" s="34">
        <f>B42+D42+F42+H42</f>
        <v>0</v>
      </c>
      <c r="K42" s="22"/>
    </row>
    <row r="43" spans="1:11" ht="28.2" hidden="1" thickBot="1" x14ac:dyDescent="0.35">
      <c r="A43" s="1081" t="s">
        <v>1422</v>
      </c>
      <c r="B43" s="1082">
        <f>IF(OR(B29=Bron!$B$8,B29=Bron!$B$9,B29=Bron!$B$15),SUM('Bouwkost NB'!$N$59:$N$61),IF(B29=Bron!$B$10,SUM('Bouwkost UITB'!$N$58:$N$60),IF(B29=Bron!$B$11,SUM('Bouwkost VERB'!$N$58:$N$60),IF(B29=Bron!$B$12,SUM('Bouwkost IER'!$N$57:$N$59),IF(B29=Bron!$B$16,SUM('Bouwkost AK+VERB'!$N$58:$N$60),IF(OR(B29=Bron!$B$13,B29=Bron!$B$14),SUM('Bouwkost VOLT'!$N$58:$N$60),0))))))</f>
        <v>0</v>
      </c>
      <c r="C43" s="1083"/>
      <c r="D43" s="1082">
        <f>IF(OR(D29=Bron!$B$8,D29=Bron!$B$9,D29=Bron!$B$15),SUM('Bouwkost NB'!$N$59:$N$61),IF(D29=Bron!$B$10,SUM('Bouwkost UITB'!$N$58:$N$60),IF(D29=Bron!$B$11,SUM('Bouwkost VERB'!$N$58:$N$60),IF(D29=Bron!$B$12,SUM('Bouwkost IER'!$N$57:$N$59),IF(D29=Bron!$B$16,SUM('Bouwkost AK+VERB'!$N$58:$N$60),IF(OR(D29=Bron!$B$13,D29=Bron!$B$14),SUM('Bouwkost VOLT'!$N$58:$N$60),0))))))</f>
        <v>0</v>
      </c>
      <c r="E43" s="1083"/>
      <c r="F43" s="1082">
        <f>IF(OR(F29=Bron!$B$8,F29=Bron!$B$9,F29=Bron!$B$15),SUM('Bouwkost NB'!$N$59:$N$61),IF(F29=Bron!$B$10,SUM('Bouwkost UITB'!$N$58:$N$60),IF(F29=Bron!$B$11,SUM('Bouwkost VERB'!$N$58:$N$60),IF(F29=Bron!$B$12,SUM('Bouwkost IER'!$N$57:$N$59),IF(F29=Bron!$B$16,SUM('Bouwkost AK+VERB'!$N$58:$N$60),IF(OR(F29=Bron!$B$13,F29=Bron!$B$14),SUM('Bouwkost VOLT'!$N$58:$N$60),0))))))</f>
        <v>0</v>
      </c>
      <c r="G43" s="1083"/>
      <c r="H43" s="1082">
        <f>IF(OR(H29=Bron!$B$8,H29=Bron!$B$9,H29=Bron!$B$15),SUM('Bouwkost NB'!$N$59:$N$61),IF(H29=Bron!$B$10,SUM('Bouwkost UITB'!$N$58:$N$60),IF(H29=Bron!$B$11,SUM('Bouwkost VERB'!$N$58:$N$60),IF(H29=Bron!$B$12,SUM('Bouwkost IER'!$N$57:$N$59),IF(H29=Bron!$B$16,SUM('Bouwkost AK+VERB'!$N$58:$N$60),IF(OR(H29=Bron!$B$13,H29=Bron!$B$14),SUM('Bouwkost VOLT'!$N$58:$N$60),0))))))</f>
        <v>0</v>
      </c>
      <c r="I43" s="1083"/>
      <c r="J43" s="1083">
        <f>B43+D43+F43+H43</f>
        <v>0</v>
      </c>
      <c r="K43" s="1083"/>
    </row>
    <row r="44" spans="1:11" ht="15" hidden="1" thickTop="1" x14ac:dyDescent="0.3">
      <c r="A44" s="75" t="s">
        <v>132</v>
      </c>
      <c r="B44" s="417">
        <f>B42+B37+B39</f>
        <v>0</v>
      </c>
      <c r="C44" s="98"/>
      <c r="D44" s="417">
        <f>D42+D37+D39</f>
        <v>0</v>
      </c>
      <c r="E44" s="98"/>
      <c r="F44" s="417">
        <f>F42+F37+F39</f>
        <v>0</v>
      </c>
      <c r="G44" s="98"/>
      <c r="H44" s="417">
        <f>H42+H37+H39</f>
        <v>0</v>
      </c>
      <c r="I44" s="98"/>
      <c r="J44" s="98">
        <f>B44+D44+F44+H44</f>
        <v>0</v>
      </c>
      <c r="K44" s="98"/>
    </row>
    <row r="45" spans="1:11" hidden="1" x14ac:dyDescent="0.3">
      <c r="A45" s="19" t="s">
        <v>133</v>
      </c>
      <c r="B45" s="18"/>
      <c r="C45" s="18"/>
      <c r="D45" s="18"/>
      <c r="E45" s="18"/>
      <c r="F45" s="18"/>
      <c r="G45" s="18"/>
      <c r="H45" s="18"/>
      <c r="I45" s="18"/>
      <c r="J45" s="18"/>
      <c r="K45" s="18"/>
    </row>
    <row r="46" spans="1:11" hidden="1" outlineLevel="1" x14ac:dyDescent="0.3">
      <c r="A46" s="380" t="s">
        <v>134</v>
      </c>
      <c r="B46" s="301">
        <f>IF(OR(B29=Bron!$B$9),ROUND(('uitgebreide raming'!B32+'uitgebreide raming'!B36+'uitgebreide raming'!B41)*'Overzicht BTA'!$I$13*('Overzicht BTA'!$J$13/('Overzicht BTA'!$J$13+'Overzicht BTA'!$L$13))+('uitgebreide raming'!B32+'uitgebreide raming'!B36+'uitgebreide raming'!B41)*'Overzicht BTA'!$K$13*('Overzicht BTA'!$L$13/('Overzicht BTA'!$J$13+'Overzicht BTA'!$L$13)),2),IF(Bron!$B$14='uitgebreide raming'!B29,ROUND(('uitgebreide raming'!B32+'uitgebreide raming'!B36+'uitgebreide raming'!B41)*'Overzicht BTA'!$I$19*('Overzicht BTA'!$J$19/('Overzicht BTA'!$J$19+'Overzicht BTA'!$L$19))+('uitgebreide raming'!B32+'uitgebreide raming'!B36+'uitgebreide raming'!B41)*'Overzicht BTA'!$K$19*('Overzicht BTA'!$L$19/('Overzicht BTA'!$J$19+'Overzicht BTA'!$L$19)),2),ROUND((B32+B36+B41)*C46,2)))</f>
        <v>0</v>
      </c>
      <c r="C46" s="803">
        <f>IF(ISNUMBER(MATCH(B29,'Overzicht BTA'!$H$13:$H$19,0)),VLOOKUP(B29,'Overzicht BTA'!$H$13:$I$19,2,FALSE),0.21)</f>
        <v>0.21</v>
      </c>
      <c r="D46" s="301">
        <f>IF(OR(D29=Bron!$B$9),ROUND(('uitgebreide raming'!D32+'uitgebreide raming'!D36+'uitgebreide raming'!D41)*'Overzicht BTA'!$I$13*('Overzicht BTA'!$J$13/('Overzicht BTA'!$J$13+'Overzicht BTA'!$L$13))+('uitgebreide raming'!D32+'uitgebreide raming'!D36+'uitgebreide raming'!D41)*'Overzicht BTA'!$K$13*('Overzicht BTA'!$L$13/('Overzicht BTA'!$J$13+'Overzicht BTA'!$L$13)),2),IF(Bron!$B$14='uitgebreide raming'!D29,ROUND(('uitgebreide raming'!D32+'uitgebreide raming'!D36+'uitgebreide raming'!D41)*'Overzicht BTA'!$I$19*('Overzicht BTA'!$J$19/('Overzicht BTA'!$J$19+'Overzicht BTA'!$L$19))+('uitgebreide raming'!D32+'uitgebreide raming'!D36+'uitgebreide raming'!D41)*'Overzicht BTA'!$K$19*('Overzicht BTA'!$L$19/('Overzicht BTA'!$J$19+'Overzicht BTA'!$L$19)),2),ROUND((D32+D36+D41)*E46,2)))</f>
        <v>0</v>
      </c>
      <c r="E46" s="803">
        <f>IF(ISNUMBER(MATCH(D29,'Overzicht BTA'!$H$13:$H$19,0)),VLOOKUP(D29,'Overzicht BTA'!$H$13:$I$19,2,FALSE),0.21)</f>
        <v>0.21</v>
      </c>
      <c r="F46" s="301">
        <f>IF(OR(F29=Bron!$B$9),ROUND(('uitgebreide raming'!F32+'uitgebreide raming'!F36+'uitgebreide raming'!F41)*'Overzicht BTA'!$I$13*('Overzicht BTA'!$J$13/('Overzicht BTA'!$J$13+'Overzicht BTA'!$L$13))+('uitgebreide raming'!F32+'uitgebreide raming'!F36+'uitgebreide raming'!F41)*'Overzicht BTA'!$K$13*('Overzicht BTA'!$L$13/('Overzicht BTA'!$J$13+'Overzicht BTA'!$L$13)),2),IF(Bron!$B$14='uitgebreide raming'!F29,ROUND(('uitgebreide raming'!F32+'uitgebreide raming'!F36+'uitgebreide raming'!F41)*'Overzicht BTA'!$I$19*('Overzicht BTA'!$J$19/('Overzicht BTA'!$J$19+'Overzicht BTA'!$L$19))+('uitgebreide raming'!F32+'uitgebreide raming'!F36+'uitgebreide raming'!F41)*'Overzicht BTA'!$K$19*('Overzicht BTA'!$L$19/('Overzicht BTA'!$J$19+'Overzicht BTA'!$L$19)),2),ROUND((F32+F36+F41)*G46,2)))</f>
        <v>0</v>
      </c>
      <c r="G46" s="803">
        <f>IF(ISNUMBER(MATCH(F29,'Overzicht BTA'!$H$13:$H$19,0)),VLOOKUP(F29,'Overzicht BTA'!$H$13:$I$19,2,FALSE),0.21)</f>
        <v>0.21</v>
      </c>
      <c r="H46" s="301">
        <f>IF(OR(H29=Bron!$B$9),ROUND(('uitgebreide raming'!H32+'uitgebreide raming'!H36+'uitgebreide raming'!H41)*'Overzicht BTA'!$I$13*('Overzicht BTA'!$J$13/('Overzicht BTA'!$J$13+'Overzicht BTA'!$L$13))+('uitgebreide raming'!H32+'uitgebreide raming'!H36+'uitgebreide raming'!H41)*'Overzicht BTA'!$K$13*('Overzicht BTA'!$L$13/('Overzicht BTA'!$J$13+'Overzicht BTA'!$L$13)),2),IF(Bron!$B$14='uitgebreide raming'!H29,ROUND(('uitgebreide raming'!H32+'uitgebreide raming'!H36+'uitgebreide raming'!H41)*'Overzicht BTA'!$I$19*('Overzicht BTA'!$J$19/('Overzicht BTA'!$J$19+'Overzicht BTA'!$L$19))+('uitgebreide raming'!H32+'uitgebreide raming'!H36+'uitgebreide raming'!H41)*'Overzicht BTA'!$K$19*('Overzicht BTA'!$L$19/('Overzicht BTA'!$J$19+'Overzicht BTA'!$L$19)),2),ROUND((H32+H36+H41)*I46,2)))</f>
        <v>0</v>
      </c>
      <c r="I46" s="803">
        <f>IF(ISNUMBER(MATCH(H29,'Overzicht BTA'!$H$13:$H$19,0)),VLOOKUP(H29,'Overzicht BTA'!$H$13:$I$19,2,FALSE),0.21)</f>
        <v>0.21</v>
      </c>
      <c r="J46" s="301">
        <f>B46+D46+F46+H46</f>
        <v>0</v>
      </c>
      <c r="K46" s="18"/>
    </row>
    <row r="47" spans="1:11" hidden="1" outlineLevel="1" x14ac:dyDescent="0.3">
      <c r="A47" s="380" t="s">
        <v>135</v>
      </c>
      <c r="B47" s="301">
        <f>ROUND(B39*C47,2)</f>
        <v>0</v>
      </c>
      <c r="C47" s="35">
        <v>0.06</v>
      </c>
      <c r="D47" s="301">
        <f>ROUND(D39*E47,2)</f>
        <v>0</v>
      </c>
      <c r="E47" s="35">
        <v>0.06</v>
      </c>
      <c r="F47" s="301">
        <f>ROUND(F39*G47,2)</f>
        <v>0</v>
      </c>
      <c r="G47" s="35">
        <v>0.06</v>
      </c>
      <c r="H47" s="301">
        <f>ROUND(H39*I47,2)</f>
        <v>0</v>
      </c>
      <c r="I47" s="35">
        <v>0.06</v>
      </c>
      <c r="J47" s="301">
        <f t="shared" ref="J47:J52" si="15">B47+D47+F47+H47</f>
        <v>0</v>
      </c>
      <c r="K47" s="18"/>
    </row>
    <row r="48" spans="1:11" hidden="1" outlineLevel="1" x14ac:dyDescent="0.3">
      <c r="A48" s="380" t="s">
        <v>136</v>
      </c>
      <c r="B48" s="301">
        <f>ROUND((B37+B40)*C48,2)</f>
        <v>0</v>
      </c>
      <c r="C48" s="35">
        <v>0.21</v>
      </c>
      <c r="D48" s="301">
        <f>ROUND((D37+D40)*E48,2)</f>
        <v>0</v>
      </c>
      <c r="E48" s="35">
        <v>0.21</v>
      </c>
      <c r="F48" s="301">
        <f>ROUND((F37+F40)*G48,2)</f>
        <v>0</v>
      </c>
      <c r="G48" s="35">
        <v>0.21</v>
      </c>
      <c r="H48" s="301">
        <f>ROUND((H37+H40)*I48,2)</f>
        <v>0</v>
      </c>
      <c r="I48" s="35">
        <v>0.21</v>
      </c>
      <c r="J48" s="301">
        <f t="shared" si="15"/>
        <v>0</v>
      </c>
      <c r="K48" s="18"/>
    </row>
    <row r="49" spans="1:12" hidden="1" outlineLevel="1" x14ac:dyDescent="0.3">
      <c r="A49" s="380" t="s">
        <v>137</v>
      </c>
      <c r="B49" s="798">
        <f>ROUND(IF(OR(B29=Bron!$B$8,B29=Bron!$B$9,B29=Bron!$B$15),'Bouwkost NB'!$N$64,IF(B29=Bron!$B$10,'Bouwkost UITB'!$N$63,IF(B29=Bron!$B$11,'Bouwkost VERB'!$N$63,IF(B29=Bron!$B$12,'Bouwkost IER'!$N$62,IF(B29=Bron!$B$16,'Bouwkost AK+VERB'!$N$63,IF(OR(B29=Bron!$B$13,B29=Bron!$B$14),'Bouwkost VOLT'!$N$63,0)))))),2)</f>
        <v>0</v>
      </c>
      <c r="C49" s="634">
        <f>IFERROR(B49/(B44-B39-B37),0)</f>
        <v>0</v>
      </c>
      <c r="D49" s="798">
        <f>ROUND(IF(OR(D29=Bron!$B$8,D29=Bron!$B$9,D29=Bron!$B$15),'Bouwkost NB'!$N$64,IF(D29=Bron!$B$10,'Bouwkost UITB'!$N$63,IF(D29=Bron!$B$11,'Bouwkost VERB'!$N$63,IF(D29=Bron!$B$12,'Bouwkost IER'!$N$62,IF(D29=Bron!$B$16,'Bouwkost AK+VERB'!$N$63,IF(OR(D29=Bron!$B$13,D29=Bron!$B$14),'Bouwkost VOLT'!$N$63,0)))))),2)</f>
        <v>0</v>
      </c>
      <c r="E49" s="634">
        <f>IFERROR(D49/(D44-D39-D37),0)</f>
        <v>0</v>
      </c>
      <c r="F49" s="798">
        <f>ROUND(IF(OR(F29=Bron!$B$8,F29=Bron!$B$9,F29=Bron!$B$15),'Bouwkost NB'!$N$64,IF(F29=Bron!$B$10,'Bouwkost UITB'!$N$63,IF(F29=Bron!$B$11,'Bouwkost VERB'!$N$63,IF(F29=Bron!$B$12,'Bouwkost IER'!$N$62,IF(F29=Bron!$B$16,'Bouwkost AK+VERB'!$N$63,IF(OR(F29=Bron!$B$13,F29=Bron!$B$14),'Bouwkost VOLT'!$N$63,0)))))),2)</f>
        <v>0</v>
      </c>
      <c r="G49" s="634">
        <f>IFERROR(F49/(F44-F39-F37),0)</f>
        <v>0</v>
      </c>
      <c r="H49" s="798">
        <f>ROUND(IF(OR(H29=Bron!$B$8,H29=Bron!$B$9,H29=Bron!$B$15),'Bouwkost NB'!$N$64,IF(H29=Bron!$B$10,'Bouwkost UITB'!$N$63,IF(H29=Bron!$B$11,'Bouwkost VERB'!$N$63,IF(H29=Bron!$B$12,'Bouwkost IER'!$N$62,IF(H29=Bron!$B$16,'Bouwkost AK+VERB'!$N$63,IF(OR(H29=Bron!$B$13,H29=Bron!$B$14),'Bouwkost VOLT'!$N$63,0)))))),2)</f>
        <v>0</v>
      </c>
      <c r="I49" s="634">
        <f>IFERROR(H49/(H44-H39-H37),0)</f>
        <v>0</v>
      </c>
      <c r="J49" s="471">
        <f t="shared" si="15"/>
        <v>0</v>
      </c>
      <c r="L49" s="52"/>
    </row>
    <row r="50" spans="1:12" hidden="1" outlineLevel="1" x14ac:dyDescent="0.3">
      <c r="A50" s="380" t="s">
        <v>138</v>
      </c>
      <c r="B50" s="301">
        <f>ROUND(B49*C50,2)</f>
        <v>0</v>
      </c>
      <c r="C50" s="35">
        <v>0.21</v>
      </c>
      <c r="D50" s="301">
        <f>ROUND(D49*E50,2)</f>
        <v>0</v>
      </c>
      <c r="E50" s="35">
        <v>0.21</v>
      </c>
      <c r="F50" s="301">
        <f>ROUND(F49*G50,2)</f>
        <v>0</v>
      </c>
      <c r="G50" s="35">
        <v>0.21</v>
      </c>
      <c r="H50" s="301">
        <f>ROUND(H49*I50,2)</f>
        <v>0</v>
      </c>
      <c r="I50" s="35">
        <v>0.21</v>
      </c>
      <c r="J50" s="301">
        <f t="shared" si="15"/>
        <v>0</v>
      </c>
    </row>
    <row r="51" spans="1:12" hidden="1" outlineLevel="1" x14ac:dyDescent="0.3">
      <c r="A51" s="383" t="s">
        <v>1406</v>
      </c>
      <c r="B51" s="804">
        <f>SUM(B46:B50)</f>
        <v>0</v>
      </c>
      <c r="C51" s="35"/>
      <c r="D51" s="804">
        <f>SUM(D46:D50)</f>
        <v>0</v>
      </c>
      <c r="E51" s="35"/>
      <c r="F51" s="804">
        <f>SUM(F46:F50)</f>
        <v>0</v>
      </c>
      <c r="G51" s="35"/>
      <c r="H51" s="804">
        <f>SUM(H46:H50)</f>
        <v>0</v>
      </c>
      <c r="I51" s="35"/>
      <c r="J51" s="384">
        <f t="shared" si="15"/>
        <v>0</v>
      </c>
    </row>
    <row r="52" spans="1:12" hidden="1" outlineLevel="1" x14ac:dyDescent="0.3">
      <c r="A52" s="582" t="s">
        <v>140</v>
      </c>
      <c r="B52" s="583">
        <f>B30+B31</f>
        <v>0</v>
      </c>
      <c r="D52" s="583">
        <f>D30+D31</f>
        <v>0</v>
      </c>
      <c r="F52" s="583">
        <f>F30+F31</f>
        <v>0</v>
      </c>
      <c r="H52" s="583">
        <f>H30+H31</f>
        <v>0</v>
      </c>
      <c r="J52" s="382">
        <f t="shared" si="15"/>
        <v>0</v>
      </c>
    </row>
    <row r="53" spans="1:12" hidden="1" collapsed="1" x14ac:dyDescent="0.3">
      <c r="A53" s="381" t="s">
        <v>141</v>
      </c>
      <c r="B53" s="801">
        <f>B51+B44</f>
        <v>0</v>
      </c>
      <c r="C53" s="20"/>
      <c r="D53" s="801">
        <f>D51+D44</f>
        <v>0</v>
      </c>
      <c r="E53" s="20"/>
      <c r="F53" s="801">
        <f>F51+F44</f>
        <v>0</v>
      </c>
      <c r="G53" s="20"/>
      <c r="H53" s="801">
        <f>H51+H44</f>
        <v>0</v>
      </c>
      <c r="I53" s="20"/>
      <c r="J53" s="470">
        <f t="shared" ref="J53" si="16">B53+D53+F53+H53</f>
        <v>0</v>
      </c>
    </row>
    <row r="54" spans="1:12" hidden="1" x14ac:dyDescent="0.3">
      <c r="A54" s="19"/>
      <c r="B54" s="18"/>
      <c r="C54" s="18"/>
      <c r="D54" s="18"/>
      <c r="E54" s="18"/>
      <c r="F54" s="18"/>
      <c r="G54" s="18"/>
      <c r="H54" s="18"/>
      <c r="I54" s="18"/>
      <c r="J54" s="18"/>
      <c r="K54" s="18"/>
    </row>
    <row r="55" spans="1:12" hidden="1" x14ac:dyDescent="0.3">
      <c r="A55" s="94" t="s">
        <v>116</v>
      </c>
      <c r="B55" s="1189" t="str">
        <f>'Overzicht BTA'!N3</f>
        <v>Kies de zorgvorm</v>
      </c>
      <c r="C55" s="1190"/>
      <c r="D55" s="1190"/>
      <c r="E55" s="1190"/>
      <c r="F55" s="1190"/>
      <c r="G55" s="1190"/>
      <c r="H55" s="1190"/>
      <c r="I55" s="1190"/>
      <c r="J55" s="1190"/>
      <c r="K55" s="1190"/>
    </row>
    <row r="56" spans="1:12" ht="15" hidden="1" thickBot="1" x14ac:dyDescent="0.35">
      <c r="A56" s="99" t="s">
        <v>117</v>
      </c>
      <c r="B56" s="108" t="str">
        <f>'Overzicht BTA'!N7</f>
        <v>Kies kostensoort</v>
      </c>
      <c r="C56" s="100" t="s">
        <v>118</v>
      </c>
      <c r="D56" s="108" t="str">
        <f>'Overzicht BTA'!N8</f>
        <v>Kies kostensoort</v>
      </c>
      <c r="E56" s="100" t="s">
        <v>119</v>
      </c>
      <c r="F56" s="108" t="str">
        <f>'Overzicht BTA'!N9</f>
        <v>Kies kostensoort</v>
      </c>
      <c r="G56" s="100" t="s">
        <v>119</v>
      </c>
      <c r="H56" s="108" t="str">
        <f>'Overzicht BTA'!N10</f>
        <v>Kies kostensoort</v>
      </c>
      <c r="I56" s="100" t="s">
        <v>119</v>
      </c>
      <c r="J56" s="99" t="s">
        <v>110</v>
      </c>
      <c r="K56" s="100" t="s">
        <v>119</v>
      </c>
    </row>
    <row r="57" spans="1:12" ht="15" hidden="1" thickTop="1" x14ac:dyDescent="0.3">
      <c r="A57" s="75" t="s">
        <v>120</v>
      </c>
      <c r="B57" s="798">
        <f>IF(OR(B56=Bron!$B$8,B56=Bron!$B$9,B56=Bron!$B$15),'Bouwkost NB'!$Y$17,IF(B56=Bron!$B$10,'Bouwkost UITB'!$Y$16,IF(B56=Bron!$B$11,'Bouwkost VERB'!$Y$16,IF(B56=Bron!$B$12,'Bouwkost IER'!$Y$15,IF(B56=Bron!$B$16,'Bouwkost AK+VERB'!$Y$16,IF(OR(B56=Bron!$B$13,B56=Bron!$B$14),'Bouwkost VOLT'!$Y$16,0))))))-B58</f>
        <v>0</v>
      </c>
      <c r="C57" s="488"/>
      <c r="D57" s="798">
        <f>IF(OR(D56=Bron!$B$8,D56=Bron!$B$9,D56=Bron!$B$15),'Bouwkost NB'!$Y$17,IF(D56=Bron!$B$10,'Bouwkost UITB'!$Y$16,IF(D56=Bron!$B$11,'Bouwkost VERB'!$Y$16,IF(D56=Bron!$B$12,'Bouwkost IER'!$Y$15,IF(D56=Bron!$B$16,'Bouwkost AK+VERB'!$Y$16,IF(OR(D56=Bron!$B$13,D56=Bron!$B$14),'Bouwkost VOLT'!$Y$16,0))))))-D58</f>
        <v>0</v>
      </c>
      <c r="E57" s="488"/>
      <c r="F57" s="798">
        <f>IF(OR(F56=Bron!$B$8,F56=Bron!$B$9,F56=Bron!$B$15),'Bouwkost NB'!$Y$17,IF(F56=Bron!$B$10,'Bouwkost UITB'!$Y$16,IF(F56=Bron!$B$11,'Bouwkost VERB'!$Y$16,IF(F56=Bron!$B$12,'Bouwkost IER'!$Y$15,IF(F56=Bron!$B$16,'Bouwkost AK+VERB'!$Y$16,IF(OR(F56=Bron!$B$13,F56=Bron!$B$14),'Bouwkost VOLT'!$Y$16,0))))))-F58</f>
        <v>0</v>
      </c>
      <c r="G57" s="488"/>
      <c r="H57" s="798">
        <f>IF(OR(H56=Bron!$B$8,H56=Bron!$B$9,H56=Bron!$B$15),'Bouwkost NB'!$Y$17,IF(H56=Bron!$B$10,'Bouwkost UITB'!$Y$16,IF(H56=Bron!$B$11,'Bouwkost VERB'!$Y$16,IF(H56=Bron!$B$12,'Bouwkost IER'!$Y$15,IF(H56=Bron!$B$16,'Bouwkost AK+VERB'!$Y$16,IF(OR(H56=Bron!$B$13,H56=Bron!$B$14),'Bouwkost VOLT'!$Y$16,0))))))-H58</f>
        <v>0</v>
      </c>
      <c r="I57" s="488"/>
      <c r="J57" s="98">
        <f t="shared" ref="J57:J58" si="17">B57+D57+F57+H57</f>
        <v>0</v>
      </c>
      <c r="K57" s="488"/>
      <c r="L57" s="52"/>
    </row>
    <row r="58" spans="1:12" hidden="1" x14ac:dyDescent="0.3">
      <c r="A58" s="75" t="s">
        <v>121</v>
      </c>
      <c r="B58" s="417">
        <f>IF(OR(B56=Bron!$B$8,B56=Bron!$B$9,B56=Bron!$B$15),'Bouwkost NB'!$Y$20,IF(B56=Bron!$B$10,'Bouwkost UITB'!$Y$19,IF(B56=Bron!$B$11,'Bouwkost VERB'!$Y$19,IF(B56=Bron!$B$12,'Bouwkost IER'!$Y$18,IF(B56=Bron!$B$16,'Bouwkost AK+VERB'!$Y$19,IF(OR(B56=Bron!$B$13,B56=Bron!$B$14),'Bouwkost VOLT'!$Y$19,0))))))</f>
        <v>0</v>
      </c>
      <c r="C58" s="488"/>
      <c r="D58" s="417">
        <f>IF(OR(D56=Bron!$B$8,D56=Bron!$B$9,D56=Bron!$B$15),'Bouwkost NB'!$Y$20,IF(D56=Bron!$B$10,'Bouwkost UITB'!$Y$19,IF(D56=Bron!$B$11,'Bouwkost VERB'!$Y$19,IF(D56=Bron!$B$12,'Bouwkost IER'!$Y$18,IF(D56=Bron!$B$16,'Bouwkost AK+VERB'!$Y$19,IF(OR(D56=Bron!$B$13,D56=Bron!$B$14),'Bouwkost VOLT'!$Y$19,0))))))</f>
        <v>0</v>
      </c>
      <c r="E58" s="488"/>
      <c r="F58" s="417">
        <f>IF(OR(F56=Bron!$B$8,F56=Bron!$B$9,F56=Bron!$B$15),'Bouwkost NB'!$Y$20,IF(F56=Bron!$B$10,'Bouwkost UITB'!$Y$19,IF(F56=Bron!$B$11,'Bouwkost VERB'!$Y$19,IF(F56=Bron!$B$12,'Bouwkost IER'!$Y$18,IF(F56=Bron!$B$16,'Bouwkost AK+VERB'!$Y$19,IF(OR(F56=Bron!$B$13,F56=Bron!$B$14),'Bouwkost VOLT'!$Y$19,0))))))</f>
        <v>0</v>
      </c>
      <c r="G58" s="488"/>
      <c r="H58" s="417">
        <f>IF(OR(H56=Bron!$B$8,H56=Bron!$B$9,H56=Bron!$B$15),'Bouwkost NB'!$Y$20,IF(H56=Bron!$B$10,'Bouwkost UITB'!$Y$19,IF(H56=Bron!$B$11,'Bouwkost VERB'!$Y$19,IF(H56=Bron!$B$12,'Bouwkost IER'!$Y$18,IF(H56=Bron!$B$16,'Bouwkost AK+VERB'!$Y$19,IF(OR(H56=Bron!$B$13,H56=Bron!$B$14),'Bouwkost VOLT'!$Y$19,0))))))</f>
        <v>0</v>
      </c>
      <c r="I58" s="488"/>
      <c r="J58" s="98">
        <f t="shared" si="17"/>
        <v>0</v>
      </c>
      <c r="K58" s="488"/>
      <c r="L58" s="52"/>
    </row>
    <row r="59" spans="1:12" hidden="1" x14ac:dyDescent="0.3">
      <c r="A59" s="75" t="s">
        <v>122</v>
      </c>
      <c r="B59" s="798">
        <f>IF(OR(B56=Bron!$B$8,B56=Bron!$B$9,B56=Bron!$B$15),'Bouwkost NB'!$Y$55,IF(B56=Bron!$B$10,'Bouwkost UITB'!$Y$54,IF(B56=Bron!$B$11,'Bouwkost VERB'!$Y$54,IF(B56=Bron!$B$12,'Bouwkost IER'!$Y$53,IF(B56=Bron!$B$16,'Bouwkost AK+VERB'!$Y$54,IF(OR(B56=Bron!$B$13,B56=Bron!$B$14),'Bouwkost VOLT'!$Y$54,0))))))</f>
        <v>0</v>
      </c>
      <c r="C59" s="75"/>
      <c r="D59" s="798">
        <f>IF(OR(D56=Bron!$B$8,D56=Bron!$B$9,D56=Bron!$B$15),'Bouwkost NB'!$Y$55,IF(D56=Bron!$B$10,'Bouwkost UITB'!$Y$54,IF(D56=Bron!$B$11,'Bouwkost VERB'!$Y$54,IF(D56=Bron!$B$12,'Bouwkost IER'!$Y$53,IF(D56=Bron!$B$16,'Bouwkost AK+VERB'!$Y$54,IF(OR(D56=Bron!$B$13,D56=Bron!$B$14),'Bouwkost VOLT'!$Y$54,0))))))</f>
        <v>0</v>
      </c>
      <c r="E59" s="75"/>
      <c r="F59" s="798">
        <f>IF(OR(F56=Bron!$B$8,F56=Bron!$B$9,F56=Bron!$B$15),'Bouwkost NB'!$Y$55,IF(F56=Bron!$B$10,'Bouwkost UITB'!$Y$54,IF(F56=Bron!$B$11,'Bouwkost VERB'!$Y$54,IF(F56=Bron!$B$12,'Bouwkost IER'!$Y$53,IF(F56=Bron!$B$16,'Bouwkost AK+VERB'!$Y$54,IF(OR(F56=Bron!$B$13,F56=Bron!$B$14),'Bouwkost VOLT'!$Y$54,0))))))</f>
        <v>0</v>
      </c>
      <c r="G59" s="75"/>
      <c r="H59" s="798">
        <f>IF(OR(H56=Bron!$B$8,H56=Bron!$B$9,H56=Bron!$B$15),'Bouwkost NB'!$Y$55,IF(H56=Bron!$B$10,'Bouwkost UITB'!$Y$54,IF(H56=Bron!$B$11,'Bouwkost VERB'!$Y$54,IF(H56=Bron!$B$12,'Bouwkost IER'!$Y$53,IF(H56=Bron!$B$16,'Bouwkost AK+VERB'!$Y$54,IF(OR(H56=Bron!$B$13,H56=Bron!$B$14),'Bouwkost VOLT'!$Y$54,0))))))</f>
        <v>0</v>
      </c>
      <c r="I59" s="75"/>
      <c r="J59" s="98">
        <f>B59+D59+F59+H59</f>
        <v>0</v>
      </c>
      <c r="K59" s="75"/>
    </row>
    <row r="60" spans="1:12" hidden="1" x14ac:dyDescent="0.3">
      <c r="A60" s="48" t="s">
        <v>123</v>
      </c>
      <c r="B60" s="798">
        <f>IF(OR(B56=Bron!$B$8,B56=Bron!$B$9,B56=Bron!$B$15),'Bouwkost NB'!$Y$25,IF(B56=Bron!$B$10,'Bouwkost UITB'!$Y$24,IF(B56=Bron!$B$11,'Bouwkost VERB'!$Y$24,IF(B56=Bron!$B$12,'Bouwkost IER'!$Y$23,IF(B56=Bron!$B$16,'Bouwkost AK+VERB'!$Y$24,IF(OR(B56=Bron!$B$13,B56=Bron!$B$14),'Bouwkost VOLT'!$Y$24,0))))))</f>
        <v>0</v>
      </c>
      <c r="C60" s="35">
        <f>IF($B$65=0,0,B60/$B$65)</f>
        <v>0</v>
      </c>
      <c r="D60" s="798">
        <f>IF(OR(D56=Bron!$B$8,D56=Bron!$B$9,D56=Bron!$B$15),'Bouwkost NB'!$Y$25,IF(D56=Bron!$B$10,'Bouwkost UITB'!$Y$24,IF(D56=Bron!$B$11,'Bouwkost VERB'!$Y$24,IF(D56=Bron!$B$12,'Bouwkost IER'!$Y$23,IF(D56=Bron!$B$16,'Bouwkost AK+VERB'!$Y$24,IF(OR(D56=Bron!$B$13,D56=Bron!$B$14),'Bouwkost VOLT'!$Y$24,0))))))</f>
        <v>0</v>
      </c>
      <c r="E60" s="35">
        <f>IF($D$65=0,0,D60/$D$65)</f>
        <v>0</v>
      </c>
      <c r="F60" s="798">
        <f>IF(OR(F56=Bron!$B$8,F56=Bron!$B$9,F56=Bron!$B$15),'Bouwkost NB'!$Y$25,IF(F56=Bron!$B$10,'Bouwkost UITB'!$Y$24,IF(F56=Bron!$B$11,'Bouwkost VERB'!$Y$24,IF(F56=Bron!$B$12,'Bouwkost IER'!$Y$23,IF(F56=Bron!$B$16,'Bouwkost AK+VERB'!$Y$24,IF(OR(F56=Bron!$B$13,F56=Bron!$B$14),'Bouwkost VOLT'!$Y$24,0))))))</f>
        <v>0</v>
      </c>
      <c r="G60" s="35">
        <f>IF($F$65=0,0,F60/$F$65)</f>
        <v>0</v>
      </c>
      <c r="H60" s="798">
        <f>IF(OR(H56=Bron!$B$8,H56=Bron!$B$9,H56=Bron!$B$15),'Bouwkost NB'!$Y$25,IF(H56=Bron!$B$10,'Bouwkost UITB'!$Y$24,IF(H56=Bron!$B$11,'Bouwkost VERB'!$Y$24,IF(H56=Bron!$B$12,'Bouwkost IER'!$Y$23,IF(H56=Bron!$B$16,'Bouwkost AK+VERB'!$Y$24,IF(OR(H56=Bron!$B$13,H56=Bron!$B$14),'Bouwkost VOLT'!$Y$24,0))))))</f>
        <v>0</v>
      </c>
      <c r="I60" s="35">
        <f>IF($H$65=0,0,H60/$H$65)</f>
        <v>0</v>
      </c>
      <c r="J60" s="468">
        <f t="shared" ref="J60:J65" si="18">B60+D60+F60+H60</f>
        <v>0</v>
      </c>
      <c r="K60" s="35" t="e">
        <f>J60/J65</f>
        <v>#DIV/0!</v>
      </c>
    </row>
    <row r="61" spans="1:12" hidden="1" x14ac:dyDescent="0.3">
      <c r="A61" s="48" t="s">
        <v>124</v>
      </c>
      <c r="B61" s="798">
        <f>IF(OR(B56=Bron!$B$8,B56=Bron!$B$9,B56=Bron!$B$15),'Bouwkost NB'!$Y$32,IF(B56=Bron!$B$10,'Bouwkost UITB'!$Y$31,IF(B56=Bron!$B$11,'Bouwkost VERB'!$Y$31,IF(B56=Bron!$B$12,'Bouwkost IER'!$Y$30,IF(B56=Bron!$B$16,'Bouwkost AK+VERB'!$Y$31,IF(OR(B56=Bron!$B$13,B56=Bron!$B$14),'Bouwkost VOLT'!$Y$31,0))))))</f>
        <v>0</v>
      </c>
      <c r="C61" s="35">
        <f t="shared" ref="C61:C65" si="19">IF($B$65=0,0,B61/$B$65)</f>
        <v>0</v>
      </c>
      <c r="D61" s="798">
        <f>IF(OR(D56=Bron!$B$8,D56=Bron!$B$9,D56=Bron!$B$15),'Bouwkost NB'!$Y$32,IF(D56=Bron!$B$10,'Bouwkost UITB'!$Y$31,IF(D56=Bron!$B$11,'Bouwkost VERB'!$Y$31,IF(D56=Bron!$B$12,'Bouwkost IER'!$Y$30,IF(D56=Bron!$B$16,'Bouwkost AK+VERB'!$Y$31,IF(OR(D56=Bron!$B$13,D56=Bron!$B$14),'Bouwkost VOLT'!$Y$31,0))))))</f>
        <v>0</v>
      </c>
      <c r="E61" s="35">
        <f t="shared" ref="E61:E65" si="20">IF($D$65=0,0,D61/$D$65)</f>
        <v>0</v>
      </c>
      <c r="F61" s="798">
        <f>IF(OR(F56=Bron!$B$8,F56=Bron!$B$9,F56=Bron!$B$15),'Bouwkost NB'!$Y$32,IF(F56=Bron!$B$10,'Bouwkost UITB'!$Y$31,IF(F56=Bron!$B$11,'Bouwkost VERB'!$Y$31,IF(F56=Bron!$B$12,'Bouwkost IER'!$Y$30,IF(F56=Bron!$B$16,'Bouwkost AK+VERB'!$Y$31,IF(OR(F56=Bron!$B$13,F56=Bron!$B$14),'Bouwkost VOLT'!$Y$31,0))))))</f>
        <v>0</v>
      </c>
      <c r="G61" s="35">
        <f t="shared" ref="G61:G65" si="21">IF($F$65=0,0,F61/$F$65)</f>
        <v>0</v>
      </c>
      <c r="H61" s="798">
        <f>IF(OR(H56=Bron!$B$8,H56=Bron!$B$9,H56=Bron!$B$15),'Bouwkost NB'!$Y$32,IF(H56=Bron!$B$10,'Bouwkost UITB'!$Y$31,IF(H56=Bron!$B$11,'Bouwkost VERB'!$Y$31,IF(H56=Bron!$B$12,'Bouwkost IER'!$Y$30,IF(H56=Bron!$B$16,'Bouwkost AK+VERB'!$Y$31,IF(OR(H56=Bron!$B$13,H56=Bron!$B$14),'Bouwkost VOLT'!$Y$31,0))))))</f>
        <v>0</v>
      </c>
      <c r="I61" s="35">
        <f t="shared" ref="I61:I65" si="22">IF($H$65=0,0,H61/$H$65)</f>
        <v>0</v>
      </c>
      <c r="J61" s="468">
        <f t="shared" si="18"/>
        <v>0</v>
      </c>
      <c r="K61" s="35" t="e">
        <f>J61/J65</f>
        <v>#DIV/0!</v>
      </c>
    </row>
    <row r="62" spans="1:12" hidden="1" x14ac:dyDescent="0.3">
      <c r="A62" s="48" t="s">
        <v>125</v>
      </c>
      <c r="B62" s="798">
        <f>IF(OR(B56=Bron!$B$8,B56=Bron!$B$9,B56=Bron!$B$15),'Bouwkost NB'!$Y$40,IF(B56=Bron!$B$10,'Bouwkost UITB'!$Y$39,IF(B56=Bron!$B$11,'Bouwkost VERB'!$Y$39,IF(B56=Bron!$B$12,'Bouwkost IER'!$Y$38,IF(B56=Bron!$B$16,'Bouwkost AK+VERB'!$Y$39,IF(OR(B56=Bron!$B$13,B56=Bron!$B$14),'Bouwkost VOLT'!$Y$39,0))))))</f>
        <v>0</v>
      </c>
      <c r="C62" s="35">
        <f t="shared" si="19"/>
        <v>0</v>
      </c>
      <c r="D62" s="798">
        <f>IF(OR(D56=Bron!$B$8,D56=Bron!$B$9,D56=Bron!$B$15),'Bouwkost NB'!$Y$40,IF(D56=Bron!$B$10,'Bouwkost UITB'!$Y$39,IF(D56=Bron!$B$11,'Bouwkost VERB'!$Y$39,IF(D56=Bron!$B$12,'Bouwkost IER'!$Y$38,IF(D56=Bron!$B$16,'Bouwkost AK+VERB'!$Y$39,IF(OR(D56=Bron!$B$13,D56=Bron!$B$14),'Bouwkost VOLT'!$Y$39,0))))))</f>
        <v>0</v>
      </c>
      <c r="E62" s="35">
        <f t="shared" si="20"/>
        <v>0</v>
      </c>
      <c r="F62" s="798">
        <f>IF(OR(F56=Bron!$B$8,F56=Bron!$B$9,F56=Bron!$B$15),'Bouwkost NB'!$Y$40,IF(F56=Bron!$B$10,'Bouwkost UITB'!$Y$39,IF(F56=Bron!$B$11,'Bouwkost VERB'!$Y$39,IF(F56=Bron!$B$12,'Bouwkost IER'!$Y$38,IF(F56=Bron!$B$16,'Bouwkost AK+VERB'!$Y$39,IF(OR(F56=Bron!$B$13,F56=Bron!$B$14),'Bouwkost VOLT'!$Y$39,0))))))</f>
        <v>0</v>
      </c>
      <c r="G62" s="35">
        <f t="shared" si="21"/>
        <v>0</v>
      </c>
      <c r="H62" s="798">
        <f>IF(OR(H56=Bron!$B$8,H56=Bron!$B$9,H56=Bron!$B$15),'Bouwkost NB'!$Y$40,IF(H56=Bron!$B$10,'Bouwkost UITB'!$Y$39,IF(H56=Bron!$B$11,'Bouwkost VERB'!$Y$39,IF(H56=Bron!$B$12,'Bouwkost IER'!$Y$38,IF(H56=Bron!$B$16,'Bouwkost AK+VERB'!$Y$39,IF(OR(H56=Bron!$B$13,H56=Bron!$B$14),'Bouwkost VOLT'!$Y$39,0))))))</f>
        <v>0</v>
      </c>
      <c r="I62" s="35">
        <f t="shared" si="22"/>
        <v>0</v>
      </c>
      <c r="J62" s="468">
        <f t="shared" si="18"/>
        <v>0</v>
      </c>
      <c r="K62" s="35" t="e">
        <f>J62/J65</f>
        <v>#DIV/0!</v>
      </c>
    </row>
    <row r="63" spans="1:12" hidden="1" x14ac:dyDescent="0.3">
      <c r="A63" s="58" t="s">
        <v>126</v>
      </c>
      <c r="B63" s="801">
        <f>SUM(B60:B62)</f>
        <v>0</v>
      </c>
      <c r="C63" s="35">
        <f t="shared" si="19"/>
        <v>0</v>
      </c>
      <c r="D63" s="801">
        <f>SUM(D60:D62)</f>
        <v>0</v>
      </c>
      <c r="E63" s="35">
        <f t="shared" si="20"/>
        <v>0</v>
      </c>
      <c r="F63" s="801">
        <f>SUM(F60:F62)</f>
        <v>0</v>
      </c>
      <c r="G63" s="35">
        <f t="shared" si="21"/>
        <v>0</v>
      </c>
      <c r="H63" s="801">
        <f>SUM(H60:H62)</f>
        <v>0</v>
      </c>
      <c r="I63" s="35">
        <f t="shared" si="22"/>
        <v>0</v>
      </c>
      <c r="J63" s="469">
        <f t="shared" si="18"/>
        <v>0</v>
      </c>
      <c r="K63" s="35" t="e">
        <f>J63/J65</f>
        <v>#DIV/0!</v>
      </c>
    </row>
    <row r="64" spans="1:12" hidden="1" x14ac:dyDescent="0.3">
      <c r="A64" s="48" t="s">
        <v>127</v>
      </c>
      <c r="B64" s="798">
        <f>IF(OR(B56=Bron!$B$8,B56=Bron!$B$9,B56=Bron!$B$15),'Bouwkost NB'!$Y$50,IF(B56=Bron!$B$10,'Bouwkost UITB'!$Y$49,IF(B56=Bron!$B$11,'Bouwkost VERB'!$Y$49,IF(B56=Bron!$B$12,'Bouwkost IER'!$Y$48,IF(B56=Bron!$B$16,'Bouwkost AK+VERB'!$Y$49,IF(OR(B56=Bron!$B$13,B56=Bron!$B$14),'Bouwkost VOLT'!$Y$49,0))))))</f>
        <v>0</v>
      </c>
      <c r="C64" s="35">
        <f t="shared" si="19"/>
        <v>0</v>
      </c>
      <c r="D64" s="798">
        <f>IF(OR(D56=Bron!$B$8,D56=Bron!$B$9,D56=Bron!$B$15),'Bouwkost NB'!$Y$50,IF(D56=Bron!$B$10,'Bouwkost UITB'!$Y$49,IF(D56=Bron!$B$11,'Bouwkost VERB'!$Y$49,IF(D56=Bron!$B$12,'Bouwkost IER'!$Y$48,IF(D56=Bron!$B$16,'Bouwkost AK+VERB'!$Y$49,IF(OR(D56=Bron!$B$13,D56=Bron!$B$14),'Bouwkost VOLT'!$Y$49,0))))))</f>
        <v>0</v>
      </c>
      <c r="E64" s="35">
        <f t="shared" si="20"/>
        <v>0</v>
      </c>
      <c r="F64" s="798">
        <f>IF(OR(F56=Bron!$B$8,F56=Bron!$B$9,F56=Bron!$B$15),'Bouwkost NB'!$Y$50,IF(F56=Bron!$B$10,'Bouwkost UITB'!$Y$49,IF(F56=Bron!$B$11,'Bouwkost VERB'!$Y$49,IF(F56=Bron!$B$12,'Bouwkost IER'!$Y$48,IF(F56=Bron!$B$16,'Bouwkost AK+VERB'!$Y$49,IF(OR(F56=Bron!$B$13,F56=Bron!$B$14),'Bouwkost VOLT'!$Y$49,0))))))</f>
        <v>0</v>
      </c>
      <c r="G64" s="35">
        <f t="shared" si="21"/>
        <v>0</v>
      </c>
      <c r="H64" s="798">
        <f>IF(OR(H56=Bron!$B$8,H56=Bron!$B$9,H56=Bron!$B$15),'Bouwkost NB'!$Y$50,IF(H56=Bron!$B$10,'Bouwkost UITB'!$Y$49,IF(H56=Bron!$B$11,'Bouwkost VERB'!$Y$49,IF(H56=Bron!$B$12,'Bouwkost IER'!$Y$48,IF(H56=Bron!$B$16,'Bouwkost AK+VERB'!$Y$49,IF(OR(H56=Bron!$B$13,H56=Bron!$B$14),'Bouwkost VOLT'!$Y$49,0))))))</f>
        <v>0</v>
      </c>
      <c r="I64" s="35">
        <f t="shared" si="22"/>
        <v>0</v>
      </c>
      <c r="J64" s="468">
        <f t="shared" si="18"/>
        <v>0</v>
      </c>
      <c r="K64" s="35" t="e">
        <f>J64/J65</f>
        <v>#DIV/0!</v>
      </c>
    </row>
    <row r="65" spans="1:12" hidden="1" x14ac:dyDescent="0.3">
      <c r="A65" s="58" t="s">
        <v>110</v>
      </c>
      <c r="B65" s="802">
        <f>B63+B64</f>
        <v>0</v>
      </c>
      <c r="C65" s="35">
        <f t="shared" si="19"/>
        <v>0</v>
      </c>
      <c r="D65" s="802">
        <f>D63+D64</f>
        <v>0</v>
      </c>
      <c r="E65" s="35">
        <f t="shared" si="20"/>
        <v>0</v>
      </c>
      <c r="F65" s="802">
        <f>F63+F64</f>
        <v>0</v>
      </c>
      <c r="G65" s="35">
        <f t="shared" si="21"/>
        <v>0</v>
      </c>
      <c r="H65" s="802">
        <f>H63+H64</f>
        <v>0</v>
      </c>
      <c r="I65" s="35">
        <f t="shared" si="22"/>
        <v>0</v>
      </c>
      <c r="J65" s="469">
        <f t="shared" si="18"/>
        <v>0</v>
      </c>
      <c r="K65" s="35" t="e">
        <f>SUM(K60:K62)+K64</f>
        <v>#DIV/0!</v>
      </c>
    </row>
    <row r="66" spans="1:12" hidden="1" x14ac:dyDescent="0.3">
      <c r="A66" s="22" t="s">
        <v>128</v>
      </c>
      <c r="B66" s="301">
        <f>IFERROR(IF('Overzicht project'!$E$66=0,0,$B$84*('Overzicht BTA'!O$7/'Overzicht project'!$E$66)),0)</f>
        <v>0</v>
      </c>
      <c r="C66" s="301"/>
      <c r="D66" s="301">
        <f>IFERROR(IF('Overzicht project'!$E$66=0,0,$B$84*('Overzicht BTA'!O$8/'Overzicht project'!$E$66)),0)</f>
        <v>0</v>
      </c>
      <c r="E66" s="301"/>
      <c r="F66" s="301">
        <f>IFERROR(IF('Overzicht project'!$E$66=0,0,$B$84*('Overzicht BTA'!O$9/'Overzicht project'!$E$66)),0)</f>
        <v>0</v>
      </c>
      <c r="G66" s="301"/>
      <c r="H66" s="301">
        <f>IFERROR(IF('Overzicht project'!$E$66=0,0,$B$84*('Overzicht BTA'!O$10/'Overzicht project'!$E$66)),0)</f>
        <v>0</v>
      </c>
      <c r="I66" s="35"/>
      <c r="J66" s="98">
        <f>IF('Overzicht project'!$E$66=0,0,kunst!$B$11*('Overzicht BTA'!P30/'Overzicht project'!$E$66))</f>
        <v>0</v>
      </c>
      <c r="K66" s="35"/>
    </row>
    <row r="67" spans="1:12" hidden="1" x14ac:dyDescent="0.3">
      <c r="A67" s="22" t="s">
        <v>129</v>
      </c>
      <c r="B67" s="798">
        <f>IF(OR(B56=Bron!$B$8,B56=Bron!$B$9,B56=Bron!$B$15),'Bouwkost NB'!$Y$52,IF(B56=Bron!$B$10,'Bouwkost UITB'!$Y$51,IF(B56=Bron!$B$11,'Bouwkost VERB'!$Y$51,IF(B56=Bron!$B$12,'Bouwkost IER'!$Y$50,IF(B56=Bron!$B$16,'Bouwkost AK+VERB'!$Y$51,IF(OR(B56=Bron!$B$13,B56=Bron!$B$14),'Bouwkost VOLT'!$Y$51,0))))))</f>
        <v>0</v>
      </c>
      <c r="C67" s="35"/>
      <c r="D67" s="798">
        <f>IF(OR(D56=Bron!$B$8,D56=Bron!$B$9,D56=Bron!$B$15),'Bouwkost NB'!$Y$52,IF(D56=Bron!$B$10,'Bouwkost UITB'!$Y$51,IF(D56=Bron!$B$11,'Bouwkost VERB'!$Y$51,IF(D56=Bron!$B$12,'Bouwkost IER'!$Y$50,IF(D56=Bron!$B$16,'Bouwkost AK+VERB'!$Y$51,IF(OR(D56=Bron!$B$13,D56=Bron!$B$14),'Bouwkost VOLT'!$Y$51,0))))))</f>
        <v>0</v>
      </c>
      <c r="E67" s="35"/>
      <c r="F67" s="798">
        <f>IF(OR(F56=Bron!$B$8,F56=Bron!$B$9,F56=Bron!$B$15),'Bouwkost NB'!$Y$52,IF(F56=Bron!$B$10,'Bouwkost UITB'!$Y$51,IF(F56=Bron!$B$11,'Bouwkost VERB'!$Y$51,IF(F56=Bron!$B$12,'Bouwkost IER'!$Y$50,IF(F56=Bron!$B$16,'Bouwkost AK+VERB'!$Y$51,IF(OR(F56=Bron!$B$13,F56=Bron!$B$14),'Bouwkost VOLT'!$Y$51,0))))))</f>
        <v>0</v>
      </c>
      <c r="G67" s="35"/>
      <c r="H67" s="798">
        <f>IF(OR(H56=Bron!$B$8,H56=Bron!$B$9,H56=Bron!$B$15),'Bouwkost NB'!$Y$52,IF(H56=Bron!$B$10,'Bouwkost UITB'!$Y$51,IF(H56=Bron!$B$11,'Bouwkost VERB'!$Y$51,IF(H56=Bron!$B$12,'Bouwkost IER'!$Y$50,IF(H56=Bron!$B$16,'Bouwkost AK+VERB'!$Y$51,IF(OR(H56=Bron!$B$13,H56=Bron!$B$14),'Bouwkost VOLT'!$Y$51,0))))))</f>
        <v>0</v>
      </c>
      <c r="I67" s="35"/>
      <c r="J67" s="98">
        <f t="shared" ref="J67:J68" si="23">B67+D67+F67+H67</f>
        <v>0</v>
      </c>
      <c r="K67" s="35"/>
    </row>
    <row r="68" spans="1:12" hidden="1" x14ac:dyDescent="0.3">
      <c r="A68" s="22" t="s">
        <v>130</v>
      </c>
      <c r="B68" s="417">
        <f>IF(OR(B56=Bron!$B$8,B56=Bron!$B$9,B56=Bron!$B$15),'Bouwkost NB'!$Y$57,IF(B56=Bron!$B$10,'Bouwkost UITB'!$Y$56,IF(B56=Bron!$B$11,'Bouwkost VERB'!$Y$56,IF(B56=Bron!$B$12,'Bouwkost IER'!$Y$55,IF(B56=Bron!$B$16,'Bouwkost AK+VERB'!$Y$56,IF(OR(B56=Bron!$B$13,B56=Bron!$B$14),'Bouwkost VOLT'!$Y$56,0))))))</f>
        <v>0</v>
      </c>
      <c r="C68" s="35"/>
      <c r="D68" s="417">
        <f>IF(OR(D56=Bron!$B$8,D56=Bron!$B$9,D56=Bron!$B$15),'Bouwkost NB'!$Y$57,IF(D56=Bron!$B$10,'Bouwkost UITB'!$Y$56,IF(D56=Bron!$B$11,'Bouwkost VERB'!$Y$56,IF(D56=Bron!$B$12,'Bouwkost IER'!$Y$55,IF(D56=Bron!$B$16,'Bouwkost AK+VERB'!$Y$56,IF(OR(D56=Bron!$B$13,D56=Bron!$B$14),'Bouwkost VOLT'!$Y$56,0))))))</f>
        <v>0</v>
      </c>
      <c r="E68" s="35"/>
      <c r="F68" s="417">
        <f>IF(OR(F56=Bron!$B$8,F56=Bron!$B$9,F56=Bron!$B$15),'Bouwkost NB'!$Y$57,IF(F56=Bron!$B$10,'Bouwkost UITB'!$Y$56,IF(F56=Bron!$B$11,'Bouwkost VERB'!$Y$56,IF(F56=Bron!$B$12,'Bouwkost IER'!$Y$55,IF(F56=Bron!$B$16,'Bouwkost AK+VERB'!$Y$56,IF(OR(F56=Bron!$B$13,F56=Bron!$B$14),'Bouwkost VOLT'!$Y$56,0))))))</f>
        <v>0</v>
      </c>
      <c r="G68" s="35"/>
      <c r="H68" s="417">
        <f>IF(OR(H56=Bron!$B$8,H56=Bron!$B$9,H56=Bron!$B$15),'Bouwkost NB'!$Y$57,IF(H56=Bron!$B$10,'Bouwkost UITB'!$Y$56,IF(H56=Bron!$B$11,'Bouwkost VERB'!$Y$56,IF(H56=Bron!$B$12,'Bouwkost IER'!$Y$55,IF(H56=Bron!$B$16,'Bouwkost AK+VERB'!$Y$56,IF(OR(H56=Bron!$B$13,H56=Bron!$B$14),'Bouwkost VOLT'!$Y$56,0))))))</f>
        <v>0</v>
      </c>
      <c r="I68" s="35"/>
      <c r="J68" s="98">
        <f t="shared" si="23"/>
        <v>0</v>
      </c>
      <c r="K68" s="35"/>
    </row>
    <row r="69" spans="1:12" hidden="1" x14ac:dyDescent="0.3">
      <c r="A69" s="22" t="s">
        <v>131</v>
      </c>
      <c r="B69" s="301">
        <f>B59+B63+B67+B68</f>
        <v>0</v>
      </c>
      <c r="C69" s="35"/>
      <c r="D69" s="301">
        <f>D59+D63+D67+D68</f>
        <v>0</v>
      </c>
      <c r="E69" s="35"/>
      <c r="F69" s="301">
        <f>F59+F63+F67+F68</f>
        <v>0</v>
      </c>
      <c r="G69" s="35"/>
      <c r="H69" s="301">
        <f>H59+H63+H67+H68</f>
        <v>0</v>
      </c>
      <c r="I69" s="35"/>
      <c r="J69" s="34">
        <f>B69+D69+F69+H69</f>
        <v>0</v>
      </c>
      <c r="K69" s="22"/>
    </row>
    <row r="70" spans="1:12" ht="28.2" hidden="1" thickBot="1" x14ac:dyDescent="0.35">
      <c r="A70" s="1081" t="s">
        <v>1422</v>
      </c>
      <c r="B70" s="1082">
        <f>IF(OR(B56=Bron!$B$8,B56=Bron!$B$9,B56=Bron!$B$15),SUM('Bouwkost NB'!$Y$59:$Y$61),IF(B56=Bron!$B$10,SUM('Bouwkost UITB'!$Y$58:$Y$60),IF(B56=Bron!$B$11,SUM('Bouwkost VERB'!$Y$58:$Y$60),IF(B56=Bron!$B$12,SUM('Bouwkost IER'!$Y$57:$Y$59),IF(B56=Bron!$B$16,SUM('Bouwkost AK+VERB'!$Y$58:$Y$60),IF(OR(B56=Bron!$B$13,B56=Bron!$B$14),SUM('Bouwkost VOLT'!$Y$58:$Y$60),0))))))</f>
        <v>0</v>
      </c>
      <c r="C70" s="1083"/>
      <c r="D70" s="1082">
        <f>IF(OR(D56=Bron!$B$8,D56=Bron!$B$9,D56=Bron!$B$15),SUM('Bouwkost NB'!$Y$59:$Y$61),IF(D56=Bron!$B$10,SUM('Bouwkost UITB'!$Y$58:$Y$60),IF(D56=Bron!$B$11,SUM('Bouwkost VERB'!$Y$58:$Y$60),IF(D56=Bron!$B$12,SUM('Bouwkost IER'!$Y$57:$Y$59),IF(D56=Bron!$B$16,SUM('Bouwkost AK+VERB'!$Y$58:$Y$60),IF(OR(D56=Bron!$B$13,D56=Bron!$B$14),SUM('Bouwkost VOLT'!$Y$58:$Y$60),0))))))</f>
        <v>0</v>
      </c>
      <c r="E70" s="1083"/>
      <c r="F70" s="1082">
        <f>IF(OR(F56=Bron!$B$8,F56=Bron!$B$9,F56=Bron!$B$15),SUM('Bouwkost NB'!$Y$59:$Y$61),IF(F56=Bron!$B$10,SUM('Bouwkost UITB'!$Y$58:$Y$60),IF(F56=Bron!$B$11,SUM('Bouwkost VERB'!$Y$58:$Y$60),IF(F56=Bron!$B$12,SUM('Bouwkost IER'!$Y$57:$Y$59),IF(F56=Bron!$B$16,SUM('Bouwkost AK+VERB'!$Y$58:$Y$60),IF(OR(F56=Bron!$B$13,F56=Bron!$B$14),SUM('Bouwkost VOLT'!$Y$58:$Y$60),0))))))</f>
        <v>0</v>
      </c>
      <c r="G70" s="1083"/>
      <c r="H70" s="1082">
        <f>IF(OR(H56=Bron!$B$8,H56=Bron!$B$9,H56=Bron!$B$15),SUM('Bouwkost NB'!$Y$59:$Y$61),IF(H56=Bron!$B$10,SUM('Bouwkost UITB'!$Y$58:$Y$60),IF(H56=Bron!$B$11,SUM('Bouwkost VERB'!$Y$58:$Y$60),IF(H56=Bron!$B$12,SUM('Bouwkost IER'!$Y$57:$Y$59),IF(H56=Bron!$B$16,SUM('Bouwkost AK+VERB'!$Y$58:$Y$60),IF(OR(H56=Bron!$B$13,H56=Bron!$B$14),SUM('Bouwkost VOLT'!$Y$58:$Y$60),0))))))</f>
        <v>0</v>
      </c>
      <c r="I70" s="1083"/>
      <c r="J70" s="1083">
        <f>B70+D70+F70+H70</f>
        <v>0</v>
      </c>
      <c r="K70" s="1083"/>
    </row>
    <row r="71" spans="1:12" ht="15" hidden="1" thickTop="1" x14ac:dyDescent="0.3">
      <c r="A71" s="75" t="s">
        <v>132</v>
      </c>
      <c r="B71" s="417">
        <f>B69+B64+B66</f>
        <v>0</v>
      </c>
      <c r="C71" s="98"/>
      <c r="D71" s="417">
        <f>D69+D64+D66</f>
        <v>0</v>
      </c>
      <c r="E71" s="98"/>
      <c r="F71" s="417">
        <f>F69+F64+F66</f>
        <v>0</v>
      </c>
      <c r="G71" s="98"/>
      <c r="H71" s="417">
        <f>H69+H64+H66</f>
        <v>0</v>
      </c>
      <c r="I71" s="98"/>
      <c r="J71" s="98">
        <f>B71+D71+F71+H71</f>
        <v>0</v>
      </c>
      <c r="K71" s="98"/>
    </row>
    <row r="72" spans="1:12" hidden="1" x14ac:dyDescent="0.3">
      <c r="A72" s="19" t="s">
        <v>133</v>
      </c>
      <c r="B72" s="18"/>
      <c r="C72" s="18"/>
      <c r="D72" s="18"/>
      <c r="E72" s="18"/>
      <c r="F72" s="18"/>
      <c r="G72" s="18"/>
      <c r="H72" s="18"/>
      <c r="I72" s="18"/>
      <c r="J72" s="18"/>
      <c r="K72" s="18"/>
    </row>
    <row r="73" spans="1:12" hidden="1" outlineLevel="1" x14ac:dyDescent="0.3">
      <c r="A73" s="380" t="s">
        <v>134</v>
      </c>
      <c r="B73" s="808">
        <f>IF(OR(B56=Bron!$B$9),ROUND(('uitgebreide raming'!B59+'uitgebreide raming'!B63+'uitgebreide raming'!B68)*'Overzicht BTA'!$O$13*('Overzicht BTA'!$P$13/('Overzicht BTA'!$P$13+'Overzicht BTA'!$R$13))+('uitgebreide raming'!B59+'uitgebreide raming'!B63+'uitgebreide raming'!B68)*'Overzicht BTA'!$K$13*('Overzicht BTA'!$R$13/('Overzicht BTA'!$P$13+'Overzicht BTA'!$R$13)),2),IF(Bron!$B$14='uitgebreide raming'!B56,ROUND(('uitgebreide raming'!B59+'uitgebreide raming'!B63+'uitgebreide raming'!B68)*'Overzicht BTA'!$O$19*('Overzicht BTA'!$P$19/('Overzicht BTA'!$P$19+'Overzicht BTA'!$R$19))+('uitgebreide raming'!B59+'uitgebreide raming'!B63+'uitgebreide raming'!B68)*'Overzicht BTA'!$Q$19*('Overzicht BTA'!$R$19/('Overzicht BTA'!$P$19+'Overzicht BTA'!$R$19)),2),ROUND((B59+B63+B68)*C73,2)))</f>
        <v>0</v>
      </c>
      <c r="C73" s="35">
        <f>IF(ISNUMBER(MATCH(B56,'Overzicht BTA'!$N$13:$N$19,0)),VLOOKUP(B56,'Overzicht BTA'!$N$13:$O$19,2,FALSE),0.21)</f>
        <v>0.21</v>
      </c>
      <c r="D73" s="808">
        <f>IF(OR(D56=Bron!$B$9),ROUND(('uitgebreide raming'!D59+'uitgebreide raming'!D63+'uitgebreide raming'!D68)*'Overzicht BTA'!$O$13*('Overzicht BTA'!$P$13/('Overzicht BTA'!$P$13+'Overzicht BTA'!$R$13))+('uitgebreide raming'!D59+'uitgebreide raming'!D63+'uitgebreide raming'!D68)*'Overzicht BTA'!$K$13*('Overzicht BTA'!$R$13/('Overzicht BTA'!$P$13+'Overzicht BTA'!$R$13)),2),IF(Bron!$B$14='uitgebreide raming'!D56,ROUND(('uitgebreide raming'!D59+'uitgebreide raming'!D63+'uitgebreide raming'!D68)*'Overzicht BTA'!$O$19*('Overzicht BTA'!$P$19/('Overzicht BTA'!$P$19+'Overzicht BTA'!$R$19))+('uitgebreide raming'!D59+'uitgebreide raming'!D63+'uitgebreide raming'!D68)*'Overzicht BTA'!$Q$19*('Overzicht BTA'!$R$19/('Overzicht BTA'!$P$19+'Overzicht BTA'!$R$19)),2),ROUND((D59+D63+D68)*E73,2)))</f>
        <v>0</v>
      </c>
      <c r="E73" s="803">
        <f>IF(ISNUMBER(MATCH(D56,'Overzicht BTA'!$N$13:$N$19,0)),VLOOKUP(D56,'Overzicht BTA'!$N$13:$O$19,2,FALSE),0.21)</f>
        <v>0.21</v>
      </c>
      <c r="F73" s="808">
        <f>IF(OR(F56=Bron!$B$9),ROUND(('uitgebreide raming'!F59+'uitgebreide raming'!F63+'uitgebreide raming'!F68)*'Overzicht BTA'!$O$13*('Overzicht BTA'!$P$13/('Overzicht BTA'!$P$13+'Overzicht BTA'!$R$13))+('uitgebreide raming'!F59+'uitgebreide raming'!F63+'uitgebreide raming'!F68)*'Overzicht BTA'!$K$13*('Overzicht BTA'!$R$13/('Overzicht BTA'!$P$13+'Overzicht BTA'!$R$13)),2),IF(Bron!$B$14='uitgebreide raming'!F56,ROUND(('uitgebreide raming'!F59+'uitgebreide raming'!F63+'uitgebreide raming'!F68)*'Overzicht BTA'!$O$19*('Overzicht BTA'!$P$19/('Overzicht BTA'!$P$19+'Overzicht BTA'!$R$19))+('uitgebreide raming'!F59+'uitgebreide raming'!F63+'uitgebreide raming'!F68)*'Overzicht BTA'!$Q$19*('Overzicht BTA'!$R$19/('Overzicht BTA'!$P$19+'Overzicht BTA'!$R$19)),2),ROUND((F59+F63+F68)*G73,2)))</f>
        <v>0</v>
      </c>
      <c r="G73" s="803">
        <f>IF(ISNUMBER(MATCH(F56,'Overzicht BTA'!$N$13:$N$19,0)),VLOOKUP(F56,'Overzicht BTA'!$N$13:$O$19,2,FALSE),0.21)</f>
        <v>0.21</v>
      </c>
      <c r="H73" s="808">
        <f>IF(OR(H56=Bron!$B$9),ROUND(('uitgebreide raming'!H59+'uitgebreide raming'!H63+'uitgebreide raming'!H68)*'Overzicht BTA'!$O$13*('Overzicht BTA'!$P$13/('Overzicht BTA'!$P$13+'Overzicht BTA'!$R$13))+('uitgebreide raming'!H59+'uitgebreide raming'!H63+'uitgebreide raming'!H68)*'Overzicht BTA'!$K$13*('Overzicht BTA'!$R$13/('Overzicht BTA'!$P$13+'Overzicht BTA'!$R$13)),2),IF(Bron!$B$14='uitgebreide raming'!H56,ROUND(('uitgebreide raming'!H59+'uitgebreide raming'!H63+'uitgebreide raming'!H68)*'Overzicht BTA'!$O$19*('Overzicht BTA'!$P$19/('Overzicht BTA'!$P$19+'Overzicht BTA'!$R$19))+('uitgebreide raming'!H59+'uitgebreide raming'!H63+'uitgebreide raming'!H68)*'Overzicht BTA'!$Q$19*('Overzicht BTA'!$R$19/('Overzicht BTA'!$P$19+'Overzicht BTA'!$R$19)),2),ROUND((H59+H63+H68)*I73,2)))</f>
        <v>0</v>
      </c>
      <c r="I73" s="803">
        <f>IF(ISNUMBER(MATCH(H56,'Overzicht BTA'!$N$13:$N$19,0)),VLOOKUP(H56,'Overzicht BTA'!$N$13:$O$19,2,FALSE),0.21)</f>
        <v>0.21</v>
      </c>
      <c r="J73" s="301">
        <f t="shared" ref="J73" si="24">B73+D73+F73+H73</f>
        <v>0</v>
      </c>
      <c r="K73" s="18"/>
    </row>
    <row r="74" spans="1:12" hidden="1" outlineLevel="1" x14ac:dyDescent="0.3">
      <c r="A74" s="380" t="s">
        <v>135</v>
      </c>
      <c r="B74" s="301">
        <f>ROUND(B66*C74,2)</f>
        <v>0</v>
      </c>
      <c r="C74" s="35">
        <v>0.06</v>
      </c>
      <c r="D74" s="301">
        <f>ROUND(D66*E74,2)</f>
        <v>0</v>
      </c>
      <c r="E74" s="35">
        <v>0.06</v>
      </c>
      <c r="F74" s="301">
        <f>ROUND(F66*G74,2)</f>
        <v>0</v>
      </c>
      <c r="G74" s="35">
        <v>0.06</v>
      </c>
      <c r="H74" s="301">
        <f>ROUND(H66*I74,2)</f>
        <v>0</v>
      </c>
      <c r="I74" s="35">
        <v>0.06</v>
      </c>
      <c r="J74" s="301">
        <f t="shared" ref="J74:J79" si="25">B74+D74+F74+H74</f>
        <v>0</v>
      </c>
      <c r="K74" s="18"/>
    </row>
    <row r="75" spans="1:12" hidden="1" outlineLevel="1" x14ac:dyDescent="0.3">
      <c r="A75" s="380" t="s">
        <v>136</v>
      </c>
      <c r="B75" s="301">
        <f>ROUND((B64+B67)*C75,2)</f>
        <v>0</v>
      </c>
      <c r="C75" s="35">
        <v>0.21</v>
      </c>
      <c r="D75" s="301">
        <f>ROUND((D64+D67)*E75,2)</f>
        <v>0</v>
      </c>
      <c r="E75" s="35">
        <v>0.21</v>
      </c>
      <c r="F75" s="301">
        <f>ROUND((F64+F67)*G75,2)</f>
        <v>0</v>
      </c>
      <c r="G75" s="35">
        <v>0.21</v>
      </c>
      <c r="H75" s="301">
        <f>ROUND((H64+H67)*I75,2)</f>
        <v>0</v>
      </c>
      <c r="I75" s="35">
        <v>0.21</v>
      </c>
      <c r="J75" s="301">
        <f t="shared" si="25"/>
        <v>0</v>
      </c>
      <c r="K75" s="18"/>
    </row>
    <row r="76" spans="1:12" hidden="1" outlineLevel="1" x14ac:dyDescent="0.3">
      <c r="A76" s="380" t="s">
        <v>137</v>
      </c>
      <c r="B76" s="798">
        <f>ROUND(IF(OR(B56=Bron!$B$8,B56=Bron!$B$9,B56=Bron!$B$15),'Bouwkost NB'!$Y$64,IF(B56=Bron!$B$10,'Bouwkost UITB'!$Y$63,IF(B56=Bron!$B$11,'Bouwkost VERB'!$Y$63,IF(B56=Bron!$B$12,'Bouwkost IER'!$Y$62,IF(B56=Bron!$B$16,'Bouwkost AK+VERB'!$Y$63,IF(OR(B56=Bron!$B$13,B56=Bron!$B$14),'Bouwkost VOLT'!$Y$63,0)))))),2)</f>
        <v>0</v>
      </c>
      <c r="C76" s="634">
        <f>IFERROR(B76/(B71-B66-B64),0)</f>
        <v>0</v>
      </c>
      <c r="D76" s="798">
        <f>ROUND(IF(OR(D56=Bron!$B$8,D56=Bron!$B$9,D56=Bron!$B$15),'Bouwkost NB'!$Y$64,IF(D56=Bron!$B$10,'Bouwkost UITB'!$Y$63,IF(D56=Bron!$B$11,'Bouwkost VERB'!$Y$63,IF(D56=Bron!$B$12,'Bouwkost IER'!$Y$62,IF(D56=Bron!$B$16,'Bouwkost AK+VERB'!$Y$63,IF(OR(D56=Bron!$B$13,D56=Bron!$B$14),'Bouwkost VOLT'!$Y$63,0)))))),2)</f>
        <v>0</v>
      </c>
      <c r="E76" s="634">
        <f>IFERROR(D76/(D71-D66-D64),0)</f>
        <v>0</v>
      </c>
      <c r="F76" s="798">
        <f>ROUND(IF(OR(F56=Bron!$B$8,F56=Bron!$B$9,F56=Bron!$B$15),'Bouwkost NB'!$Y$64,IF(F56=Bron!$B$10,'Bouwkost UITB'!$Y$63,IF(F56=Bron!$B$11,'Bouwkost VERB'!$Y$63,IF(F56=Bron!$B$12,'Bouwkost IER'!$Y$62,IF(F56=Bron!$B$16,'Bouwkost AK+VERB'!$Y$63,IF(OR(F56=Bron!$B$13,F56=Bron!$B$14),'Bouwkost VOLT'!$Y$63,0)))))),2)</f>
        <v>0</v>
      </c>
      <c r="G76" s="634">
        <f>IFERROR(F76/(F71-F66-F64),0)</f>
        <v>0</v>
      </c>
      <c r="H76" s="798">
        <f>ROUND(IF(OR(H56=Bron!$B$8,H56=Bron!$B$9,H56=Bron!$B$15),'Bouwkost NB'!$Y$64,IF(H56=Bron!$B$10,'Bouwkost UITB'!$Y$63,IF(H56=Bron!$B$11,'Bouwkost VERB'!$Y$63,IF(H56=Bron!$B$12,'Bouwkost IER'!$Y$62,IF(H56=Bron!$B$16,'Bouwkost AK+VERB'!$Y$63,IF(OR(H56=Bron!$B$13,H56=Bron!$B$14),'Bouwkost VOLT'!$Y$63,0)))))),2)</f>
        <v>0</v>
      </c>
      <c r="I76" s="634">
        <f>IFERROR(H76/(H71-H66-H64),0)</f>
        <v>0</v>
      </c>
      <c r="J76" s="471">
        <f t="shared" si="25"/>
        <v>0</v>
      </c>
      <c r="L76" s="52"/>
    </row>
    <row r="77" spans="1:12" hidden="1" outlineLevel="1" x14ac:dyDescent="0.3">
      <c r="A77" s="380" t="s">
        <v>138</v>
      </c>
      <c r="B77" s="301">
        <f>ROUND(B76*C77,2)</f>
        <v>0</v>
      </c>
      <c r="C77" s="35">
        <v>0.21</v>
      </c>
      <c r="D77" s="301">
        <f>ROUND(D76*E77,2)</f>
        <v>0</v>
      </c>
      <c r="E77" s="35">
        <v>0.21</v>
      </c>
      <c r="F77" s="301">
        <f>ROUND(F76*G77,2)</f>
        <v>0</v>
      </c>
      <c r="G77" s="35">
        <v>0.21</v>
      </c>
      <c r="H77" s="301">
        <f>ROUND(H76*I77,2)</f>
        <v>0</v>
      </c>
      <c r="I77" s="35">
        <v>0.21</v>
      </c>
      <c r="J77" s="301">
        <f t="shared" si="25"/>
        <v>0</v>
      </c>
    </row>
    <row r="78" spans="1:12" hidden="1" outlineLevel="1" x14ac:dyDescent="0.3">
      <c r="A78" s="383" t="s">
        <v>1406</v>
      </c>
      <c r="B78" s="384">
        <f>SUM(B73:B77)</f>
        <v>0</v>
      </c>
      <c r="C78" s="35"/>
      <c r="D78" s="384">
        <f>SUM(D73:D77)</f>
        <v>0</v>
      </c>
      <c r="E78" s="35"/>
      <c r="F78" s="384">
        <f>SUM(F73:F77)</f>
        <v>0</v>
      </c>
      <c r="G78" s="35"/>
      <c r="H78" s="384">
        <f>SUM(H73:H77)</f>
        <v>0</v>
      </c>
      <c r="I78" s="35"/>
      <c r="J78" s="384">
        <f t="shared" si="25"/>
        <v>0</v>
      </c>
    </row>
    <row r="79" spans="1:12" hidden="1" outlineLevel="1" x14ac:dyDescent="0.3">
      <c r="A79" s="582" t="s">
        <v>140</v>
      </c>
      <c r="B79" s="583">
        <f>B57+B58</f>
        <v>0</v>
      </c>
      <c r="D79" s="583">
        <f>D57+D58</f>
        <v>0</v>
      </c>
      <c r="F79" s="583">
        <f>F57+F58</f>
        <v>0</v>
      </c>
      <c r="H79" s="583">
        <f>H57+H58</f>
        <v>0</v>
      </c>
      <c r="J79" s="382">
        <f t="shared" si="25"/>
        <v>0</v>
      </c>
    </row>
    <row r="80" spans="1:12" hidden="1" collapsed="1" x14ac:dyDescent="0.3">
      <c r="A80" s="381" t="s">
        <v>141</v>
      </c>
      <c r="B80" s="801">
        <f>B78+B71</f>
        <v>0</v>
      </c>
      <c r="C80" s="20"/>
      <c r="D80" s="801">
        <f>D78+D71</f>
        <v>0</v>
      </c>
      <c r="E80" s="20"/>
      <c r="F80" s="801">
        <f>F78+F71</f>
        <v>0</v>
      </c>
      <c r="G80" s="20"/>
      <c r="H80" s="801">
        <f>H78+H71</f>
        <v>0</v>
      </c>
      <c r="I80" s="20"/>
      <c r="J80" s="470">
        <f t="shared" ref="J80" si="26">B80+D80+F80+H80</f>
        <v>0</v>
      </c>
    </row>
    <row r="81" spans="1:2" hidden="1" x14ac:dyDescent="0.3"/>
    <row r="82" spans="1:2" x14ac:dyDescent="0.3">
      <c r="A82" s="1191" t="s">
        <v>142</v>
      </c>
      <c r="B82" s="1192"/>
    </row>
    <row r="83" spans="1:2" x14ac:dyDescent="0.3">
      <c r="A83" s="472" t="s">
        <v>137</v>
      </c>
      <c r="B83" s="599">
        <f>J76+J49+J22</f>
        <v>0</v>
      </c>
    </row>
    <row r="84" spans="1:2" x14ac:dyDescent="0.3">
      <c r="A84" s="472" t="s">
        <v>143</v>
      </c>
      <c r="B84" s="599">
        <f>J66+J39+J12</f>
        <v>0</v>
      </c>
    </row>
    <row r="85" spans="1:2" x14ac:dyDescent="0.3">
      <c r="A85" s="472" t="s">
        <v>144</v>
      </c>
      <c r="B85" s="599">
        <f>J74+J66+J47+J39+J20+J12</f>
        <v>0</v>
      </c>
    </row>
    <row r="86" spans="1:2" x14ac:dyDescent="0.3">
      <c r="A86" s="472" t="s">
        <v>145</v>
      </c>
      <c r="B86" s="599">
        <f>J69+J42+J15</f>
        <v>0</v>
      </c>
    </row>
    <row r="87" spans="1:2" x14ac:dyDescent="0.3">
      <c r="A87" s="472" t="s">
        <v>139</v>
      </c>
      <c r="B87" s="796">
        <f>J78+J51+J24</f>
        <v>0</v>
      </c>
    </row>
    <row r="88" spans="1:2" x14ac:dyDescent="0.3">
      <c r="A88" s="582" t="s">
        <v>140</v>
      </c>
      <c r="B88" s="599">
        <f>J79+J52+J25</f>
        <v>0</v>
      </c>
    </row>
    <row r="89" spans="1:2" x14ac:dyDescent="0.3">
      <c r="A89" s="472" t="s">
        <v>146</v>
      </c>
      <c r="B89" s="796">
        <f>J80+J53+J26</f>
        <v>0</v>
      </c>
    </row>
  </sheetData>
  <sheetProtection selectLockedCells="1"/>
  <protectedRanges>
    <protectedRange sqref="B3:B8 B10 B22 D10 F10 H10 F22 H22 B30:B35 B37 B40:B41 B57:B62 B64 D22 B49 B76 D57:D62 D64 F57:F62 F64 H57:H62 H64 D30:D35 D37 F30:F35 F37 H30:H35 H37 D40:D41 F40:F41 H40:H41 D76 F76 H76 D49 F49 H49 D3:D8 F3:F8 H3:H8 B13:B16 D13:D16 F13:F16 H13:H16 B43 D43 F43 H43 B67:B70 D67:D70 F67:F70 H67:H70" name="raming"/>
    <protectedRange sqref="B42 D42 F42 H42" name="raming_6"/>
  </protectedRanges>
  <mergeCells count="4">
    <mergeCell ref="B1:K1"/>
    <mergeCell ref="B28:K28"/>
    <mergeCell ref="B55:K55"/>
    <mergeCell ref="A82:B82"/>
  </mergeCells>
  <dataValidations disablePrompts="1" count="1">
    <dataValidation type="list" allowBlank="1" showInputMessage="1" showErrorMessage="1" sqref="D56 D2 F2 F29 H29 H2 F56 D29 H56" xr:uid="{00000000-0002-0000-0600-000000000000}">
      <formula1>#REF!</formula1>
    </dataValidation>
  </dataValidations>
  <pageMargins left="0.7" right="0.7" top="0.75" bottom="0.75" header="0.3" footer="0.3"/>
  <pageSetup paperSize="9" scale="53" fitToWidth="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49826-541C-48F2-939F-C4ACD7348FCB}">
  <sheetPr codeName="Blad17">
    <pageSetUpPr fitToPage="1"/>
  </sheetPr>
  <dimension ref="A1:T89"/>
  <sheetViews>
    <sheetView zoomScaleNormal="100" workbookViewId="0">
      <selection activeCell="F17" sqref="F17"/>
    </sheetView>
  </sheetViews>
  <sheetFormatPr defaultRowHeight="14.4" outlineLevelRow="1" x14ac:dyDescent="0.3"/>
  <cols>
    <col min="1" max="1" width="30.6640625" bestFit="1" customWidth="1"/>
    <col min="2" max="2" width="16.44140625" bestFit="1" customWidth="1"/>
    <col min="3" max="3" width="6.88671875" customWidth="1"/>
    <col min="4" max="4" width="15.6640625" customWidth="1"/>
    <col min="5" max="5" width="6.88671875" customWidth="1"/>
    <col min="6" max="6" width="14.33203125" customWidth="1"/>
    <col min="7" max="7" width="6.88671875" customWidth="1"/>
    <col min="8" max="8" width="14.33203125" customWidth="1"/>
    <col min="9" max="9" width="7.5546875" customWidth="1"/>
    <col min="10" max="10" width="13.109375" bestFit="1" customWidth="1"/>
    <col min="11" max="11" width="5.5546875" customWidth="1"/>
    <col min="12" max="12" width="19.88671875" customWidth="1"/>
    <col min="13" max="13" width="12.109375" style="11" customWidth="1"/>
    <col min="14" max="14" width="20.109375" customWidth="1"/>
    <col min="15" max="15" width="9.109375" customWidth="1"/>
    <col min="16" max="16" width="18.5546875" customWidth="1"/>
    <col min="17" max="17" width="7.88671875" customWidth="1"/>
    <col min="18" max="18" width="19" customWidth="1"/>
    <col min="19" max="19" width="7" customWidth="1"/>
    <col min="20" max="20" width="22.88671875" customWidth="1"/>
    <col min="21" max="21" width="8.88671875" customWidth="1"/>
  </cols>
  <sheetData>
    <row r="1" spans="1:20" x14ac:dyDescent="0.3">
      <c r="A1" s="94" t="s">
        <v>116</v>
      </c>
      <c r="B1" s="1189" t="str">
        <f>'Overzicht BTA'!C3</f>
        <v>Kies de zorgvorm</v>
      </c>
      <c r="C1" s="1190"/>
      <c r="D1" s="1190"/>
      <c r="E1" s="1190"/>
      <c r="F1" s="1190"/>
      <c r="G1" s="1190"/>
      <c r="H1" s="1190"/>
      <c r="I1" s="1190"/>
      <c r="J1" s="1190"/>
      <c r="K1" s="1190"/>
    </row>
    <row r="2" spans="1:20" ht="15" thickBot="1" x14ac:dyDescent="0.35">
      <c r="A2" s="99" t="s">
        <v>117</v>
      </c>
      <c r="B2" s="108" t="str">
        <f>'Overzicht BTA'!B51</f>
        <v>Kies kostensoort</v>
      </c>
      <c r="C2" s="100" t="s">
        <v>118</v>
      </c>
      <c r="D2" s="108" t="str">
        <f>'Overzicht BTA'!B52</f>
        <v>Kies kostensoort</v>
      </c>
      <c r="E2" s="100" t="s">
        <v>119</v>
      </c>
      <c r="F2" s="108" t="str">
        <f>'Overzicht BTA'!B53</f>
        <v>Kies kostensoort</v>
      </c>
      <c r="G2" s="100" t="s">
        <v>119</v>
      </c>
      <c r="H2" s="108" t="str">
        <f>'Overzicht BTA'!B54</f>
        <v>Kies kostensoort</v>
      </c>
      <c r="I2" s="100" t="s">
        <v>119</v>
      </c>
      <c r="J2" s="99" t="s">
        <v>110</v>
      </c>
      <c r="K2" s="100" t="s">
        <v>119</v>
      </c>
      <c r="L2" s="52"/>
    </row>
    <row r="3" spans="1:20" ht="15" thickTop="1" x14ac:dyDescent="0.3">
      <c r="A3" s="75" t="s">
        <v>120</v>
      </c>
      <c r="B3" s="682">
        <f>IF(OR(B$2=Bron!$B$8,B$2=Bron!$B$9,B$2=Bron!$B$15),'Bouwkost NB'!$E$17,IF(B$2=Bron!$B$10,'Bouwkost UITB'!$E$16,IF(B$2=Bron!$B$11,'Bouwkost VERB'!$E$16,IF(B$2=Bron!$B$12,'Bouwkost IER'!$E$15,IF(B$2=Bron!$B$16,'Bouwkost AK+VERB'!$E$16,IF(OR(B$2=Bron!$B$13,B$2=Bron!$B$14),'Bouwkost VOLT'!$E$16,0))))))</f>
        <v>0</v>
      </c>
      <c r="C3" s="488"/>
      <c r="D3" s="682">
        <f>IF(OR(D$2=Bron!$B$8,D$2=Bron!$B$9,D$2=Bron!$B$15),'Bouwkost NB'!$E$17,IF(D$2=Bron!$B$10,'Bouwkost UITB'!$E$16,IF(D$2=Bron!$B$11,'Bouwkost VERB'!$E$16,IF(D$2=Bron!$B$12,'Bouwkost IER'!$E$15,IF(D$2=Bron!$B$16,'Bouwkost AK+VERB'!$E$16,IF(OR(D$2=Bron!$B$13,D$2=Bron!$B$14),'Bouwkost VOLT'!$E$16,0))))))</f>
        <v>0</v>
      </c>
      <c r="E3" s="488"/>
      <c r="F3" s="682">
        <f>IF(OR(F$2=Bron!$B$8,F$2=Bron!$B$9,F$2=Bron!$B$15),'Bouwkost NB'!$E$17,IF(F$2=Bron!$B$10,'Bouwkost UITB'!$E$16,IF(F$2=Bron!$B$11,'Bouwkost VERB'!$E$16,IF(F$2=Bron!$B$12,'Bouwkost IER'!$E$15,IF(F$2=Bron!$B$16,'Bouwkost AK+VERB'!$E$16,IF(OR(F$2=Bron!$B$13,F$2=Bron!$B$14),'Bouwkost VOLT'!$E$16,0))))))</f>
        <v>0</v>
      </c>
      <c r="G3" s="488"/>
      <c r="H3" s="682">
        <f>IF(OR(H$2=Bron!$B$8,H$2=Bron!$B$9,H$2=Bron!$B$15),'Bouwkost NB'!$E$17,IF(H$2=Bron!$B$10,'Bouwkost UITB'!$E$16,IF(H$2=Bron!$B$11,'Bouwkost VERB'!$E$16,IF(H$2=Bron!$B$12,'Bouwkost IER'!$E$15,IF(H$2=Bron!$B$16,'Bouwkost AK+VERB'!$E$16,IF(OR(H$2=Bron!$B$13,H$2=Bron!$B$14),'Bouwkost VOLT'!$E$16,0))))))</f>
        <v>0</v>
      </c>
      <c r="I3" s="488"/>
      <c r="J3" s="98">
        <f>B3+D3+F3+H3</f>
        <v>0</v>
      </c>
      <c r="K3" s="488"/>
      <c r="L3" s="52"/>
    </row>
    <row r="4" spans="1:20" x14ac:dyDescent="0.3">
      <c r="A4" s="75" t="s">
        <v>121</v>
      </c>
      <c r="B4" s="417">
        <f>IF(OR(B$2=Bron!$B$8,B$2=Bron!$B$9,B$2=Bron!$B$15),'Bouwkost NB'!$E$20,IF(B$2=Bron!$B$10,'Bouwkost UITB'!$E$19,IF(B$2=Bron!$B$11,'Bouwkost VERB'!$E$19,IF(B$2=Bron!$B$12,'Bouwkost IER'!$E$18,IF(B$2=Bron!$B$16,'Bouwkost AK+VERB'!$E$19,IF(OR(B$2=Bron!$B$13,B$2=Bron!$B$14),'Bouwkost VOLT'!$E$19,0))))))</f>
        <v>0</v>
      </c>
      <c r="C4" s="488"/>
      <c r="D4" s="417">
        <f>IF(OR(D$2=Bron!$B$8,D$2=Bron!$B$9,D$2=Bron!$B$15),'Bouwkost NB'!$E$20,IF(D$2=Bron!$B$10,'Bouwkost UITB'!$E$19,IF(D$2=Bron!$B$11,'Bouwkost VERB'!$E$19,IF(D$2=Bron!$B$12,'Bouwkost IER'!$E$18,IF(D$2=Bron!$B$16,'Bouwkost AK+VERB'!$E$19,IF(OR(D$2=Bron!$B$13,D$2=Bron!$B$14),'Bouwkost VOLT'!$E$19,0))))))</f>
        <v>0</v>
      </c>
      <c r="E4" s="488"/>
      <c r="F4" s="417">
        <f>IF(OR(F$2=Bron!$B$8,F$2=Bron!$B$9,F$2=Bron!$B$15),'Bouwkost NB'!$E$20,IF(F$2=Bron!$B$10,'Bouwkost UITB'!$E$19,IF(F$2=Bron!$B$11,'Bouwkost VERB'!$E$19,IF(F$2=Bron!$B$12,'Bouwkost IER'!$E$18,IF(F$2=Bron!$B$16,'Bouwkost AK+VERB'!$E$19,IF(OR(F$2=Bron!$B$13,F$2=Bron!$B$14),'Bouwkost VOLT'!$E$19,0))))))</f>
        <v>0</v>
      </c>
      <c r="G4" s="488"/>
      <c r="H4" s="417">
        <f>IF(OR(H$2=Bron!$B$8,H$2=Bron!$B$9,H$2=Bron!$B$15),'Bouwkost NB'!$E$20,IF(H$2=Bron!$B$10,'Bouwkost UITB'!$E$19,IF(H$2=Bron!$B$11,'Bouwkost VERB'!$E$19,IF(H$2=Bron!$B$12,'Bouwkost IER'!$E$18,IF(H$2=Bron!$B$16,'Bouwkost AK+VERB'!$E$19,IF(OR(H$2=Bron!$B$13,H$2=Bron!$B$14),'Bouwkost VOLT'!$E$19,0))))))</f>
        <v>0</v>
      </c>
      <c r="I4" s="488"/>
      <c r="J4" s="98">
        <f t="shared" ref="J4" si="0">B4+D4+F4+H4</f>
        <v>0</v>
      </c>
      <c r="K4" s="488"/>
      <c r="L4" s="52"/>
    </row>
    <row r="5" spans="1:20" x14ac:dyDescent="0.3">
      <c r="A5" s="75" t="s">
        <v>122</v>
      </c>
      <c r="B5" s="798">
        <f>IF(OR(B$2=Bron!$B$8,B$2=Bron!$B$9,B$2=Bron!$B$15),'Bouwkost NB'!$E$55,IF(B$2=Bron!$B$10,'Bouwkost UITB'!$E$54,IF(B$2=Bron!$B$11,'Bouwkost VERB'!$E$54,IF(B$2=Bron!$B$12,'Bouwkost IER'!$E$53,IF(B$2=Bron!$B$16,'Bouwkost AK+VERB'!$E$54,IF(OR(B$2=Bron!$B$13,B$2=Bron!$B$14),'Bouwkost VOLT'!$E$54,0))))))</f>
        <v>0</v>
      </c>
      <c r="C5" s="75"/>
      <c r="D5" s="798">
        <f>IF(OR(D$2=Bron!$B$8,D$2=Bron!$B$9,D$2=Bron!$B$15),'Bouwkost NB'!$E$55,IF(D$2=Bron!$B$10,'Bouwkost UITB'!$E$54,IF(D$2=Bron!$B$11,'Bouwkost VERB'!$E$54,IF(D$2=Bron!$B$12,'Bouwkost IER'!$E$53,IF(D$2=Bron!$B$16,'Bouwkost AK+VERB'!$E$54,IF(OR(D$2=Bron!$B$13,D$2=Bron!$B$14),'Bouwkost VOLT'!$E$54,0))))))</f>
        <v>0</v>
      </c>
      <c r="E5" s="75"/>
      <c r="F5" s="798">
        <f>IF(OR(F$2=Bron!$B$8,F$2=Bron!$B$9,F$2=Bron!$B$15),'Bouwkost NB'!$E$55,IF(F$2=Bron!$B$10,'Bouwkost UITB'!$E$54,IF(F$2=Bron!$B$11,'Bouwkost VERB'!$E$54,IF(F$2=Bron!$B$12,'Bouwkost IER'!$E$53,IF(F$2=Bron!$B$16,'Bouwkost AK+VERB'!$E$54,IF(OR(F$2=Bron!$B$13,F$2=Bron!$B$14),'Bouwkost VOLT'!$E$54,0))))))</f>
        <v>0</v>
      </c>
      <c r="G5" s="75"/>
      <c r="H5" s="798">
        <f>IF(OR(H$2=Bron!$B$8,H$2=Bron!$B$9,H$2=Bron!$B$15),'Bouwkost NB'!$E$55,IF(H$2=Bron!$B$10,'Bouwkost UITB'!$E$54,IF(H$2=Bron!$B$11,'Bouwkost VERB'!$E$54,IF(H$2=Bron!$B$12,'Bouwkost IER'!$E$53,IF(H$2=Bron!$B$16,'Bouwkost AK+VERB'!$E$54,IF(OR(H$2=Bron!$B$13,H$2=Bron!$B$14),'Bouwkost VOLT'!$E$54,0))))))</f>
        <v>0</v>
      </c>
      <c r="I5" s="75"/>
      <c r="J5" s="98">
        <f>B5+D5+F5+H5</f>
        <v>0</v>
      </c>
      <c r="K5" s="75"/>
    </row>
    <row r="6" spans="1:20" x14ac:dyDescent="0.3">
      <c r="A6" s="48" t="s">
        <v>123</v>
      </c>
      <c r="B6" s="798">
        <f>IF(OR(B$2=Bron!$B$8,B$2=Bron!$B$9,B$2=Bron!$B$15),'Bouwkost NB'!$E$25,IF(B$2=Bron!$B$10,'Bouwkost UITB'!$E$24,IF(B$2=Bron!$B$11,'Bouwkost VERB'!$E$24,IF(B$2=Bron!$B$12,'Bouwkost IER'!$E$23,IF(B$2=Bron!$B$16,'Bouwkost AK+VERB'!$E$24,IF(OR(B$2=Bron!$B$13,B$2=Bron!$B$14),'Bouwkost VOLT'!$E$24,0))))))</f>
        <v>0</v>
      </c>
      <c r="C6" s="35">
        <f>IF($B$11=0,0,B6/$B$11)</f>
        <v>0</v>
      </c>
      <c r="D6" s="798">
        <f>IF(OR(D$2=Bron!$B$8,D$2=Bron!$B$9,D$2=Bron!$B$15),'Bouwkost NB'!$E$25,IF(D$2=Bron!$B$10,'Bouwkost UITB'!$E$24,IF(D$2=Bron!$B$11,'Bouwkost VERB'!$E$24,IF(D$2=Bron!$B$12,'Bouwkost IER'!$E$23,IF(D$2=Bron!$B$16,'Bouwkost AK+VERB'!$E$24,IF(OR(D$2=Bron!$B$13,D$2=Bron!$B$14),'Bouwkost VOLT'!$E$24,0))))))</f>
        <v>0</v>
      </c>
      <c r="E6" s="35">
        <f>IF($D$11=0,0,D6/$D$11)</f>
        <v>0</v>
      </c>
      <c r="F6" s="798">
        <f>IF(OR(F$2=Bron!$B$8,F$2=Bron!$B$9,F$2=Bron!$B$15),'Bouwkost NB'!$E$25,IF(F$2=Bron!$B$10,'Bouwkost UITB'!$E$24,IF(F$2=Bron!$B$11,'Bouwkost VERB'!$E$24,IF(F$2=Bron!$B$12,'Bouwkost IER'!$E$23,IF(F$2=Bron!$B$16,'Bouwkost AK+VERB'!$E$24,IF(OR(F$2=Bron!$B$13,F$2=Bron!$B$14),'Bouwkost VOLT'!$E$24,0))))))</f>
        <v>0</v>
      </c>
      <c r="G6" s="35">
        <f>IF($F$11=0,0,F6/$F$11)</f>
        <v>0</v>
      </c>
      <c r="H6" s="798">
        <f>IF(OR(H$2=Bron!$B$8,H$2=Bron!$B$9,H$2=Bron!$B$15),'Bouwkost NB'!$E$25,IF(H$2=Bron!$B$10,'Bouwkost UITB'!$E$24,IF(H$2=Bron!$B$11,'Bouwkost VERB'!$E$24,IF(H$2=Bron!$B$12,'Bouwkost IER'!$E$23,IF(H$2=Bron!$B$16,'Bouwkost AK+VERB'!$E$24,IF(OR(H$2=Bron!$B$13,H$2=Bron!$B$14),'Bouwkost VOLT'!$E$24,0))))))</f>
        <v>0</v>
      </c>
      <c r="I6" s="35">
        <f>IF($H$11=0,0,H6/$H$11)</f>
        <v>0</v>
      </c>
      <c r="J6" s="98">
        <f t="shared" ref="J6:J14" si="1">B6+D6+F6+H6</f>
        <v>0</v>
      </c>
      <c r="K6" s="35" t="e">
        <f>J6/J11</f>
        <v>#DIV/0!</v>
      </c>
    </row>
    <row r="7" spans="1:20" x14ac:dyDescent="0.3">
      <c r="A7" s="48" t="s">
        <v>124</v>
      </c>
      <c r="B7" s="798">
        <f>IF(OR(B$2=Bron!$B$8,B$2=Bron!$B$9,B$2=Bron!$B$15),'Bouwkost NB'!$E$32,IF(B$2=Bron!$B$10,'Bouwkost UITB'!$E$31,IF(B$2=Bron!$B$11,'Bouwkost VERB'!$E$31,IF(B$2=Bron!$B$12,'Bouwkost IER'!$E$30,IF(B$2=Bron!$B$16,'Bouwkost AK+VERB'!$E$31,IF(OR(B$2=Bron!$B$13,B$2=Bron!$B$14),'Bouwkost VOLT'!$E$31,0))))))</f>
        <v>0</v>
      </c>
      <c r="C7" s="35">
        <f t="shared" ref="C7:C11" si="2">IF($B$11=0,0,B7/$B$11)</f>
        <v>0</v>
      </c>
      <c r="D7" s="798">
        <f>IF(OR(D$2=Bron!$B$8,D$2=Bron!$B$9,D$2=Bron!$B$15),'Bouwkost NB'!$E$32,IF(D$2=Bron!$B$10,'Bouwkost UITB'!$E$31,IF(D$2=Bron!$B$11,'Bouwkost VERB'!$E$31,IF(D$2=Bron!$B$12,'Bouwkost IER'!$E$30,IF(D$2=Bron!$B$16,'Bouwkost AK+VERB'!$E$31,IF(OR(D$2=Bron!$B$13,D$2=Bron!$B$14),'Bouwkost VOLT'!$E$31,0))))))</f>
        <v>0</v>
      </c>
      <c r="E7" s="35">
        <f t="shared" ref="E7:E11" si="3">IF($D$11=0,0,D7/$D$11)</f>
        <v>0</v>
      </c>
      <c r="F7" s="798">
        <f>IF(OR(F$2=Bron!$B$8,F$2=Bron!$B$9,F$2=Bron!$B$15),'Bouwkost NB'!$E$32,IF(F$2=Bron!$B$10,'Bouwkost UITB'!$E$31,IF(F$2=Bron!$B$11,'Bouwkost VERB'!$E$31,IF(F$2=Bron!$B$12,'Bouwkost IER'!$E$30,IF(F$2=Bron!$B$16,'Bouwkost AK+VERB'!$E$31,IF(OR(F$2=Bron!$B$13,F$2=Bron!$B$14),'Bouwkost VOLT'!$E$31,0))))))</f>
        <v>0</v>
      </c>
      <c r="G7" s="35">
        <f t="shared" ref="G7:G11" si="4">IF($F$11=0,0,F7/$F$11)</f>
        <v>0</v>
      </c>
      <c r="H7" s="798">
        <f>IF(OR(H$2=Bron!$B$8,H$2=Bron!$B$9,H$2=Bron!$B$15),'Bouwkost NB'!$E$32,IF(H$2=Bron!$B$10,'Bouwkost UITB'!$E$31,IF(H$2=Bron!$B$11,'Bouwkost VERB'!$E$31,IF(H$2=Bron!$B$12,'Bouwkost IER'!$E$30,IF(H$2=Bron!$B$16,'Bouwkost AK+VERB'!$E$31,IF(OR(H$2=Bron!$B$13,H$2=Bron!$B$14),'Bouwkost VOLT'!$E$31,0))))))</f>
        <v>0</v>
      </c>
      <c r="I7" s="35">
        <f t="shared" ref="I7:I11" si="5">IF($H$11=0,0,H7/$H$11)</f>
        <v>0</v>
      </c>
      <c r="J7" s="98">
        <f t="shared" si="1"/>
        <v>0</v>
      </c>
      <c r="K7" s="35" t="e">
        <f>J7/J11</f>
        <v>#DIV/0!</v>
      </c>
    </row>
    <row r="8" spans="1:20" x14ac:dyDescent="0.3">
      <c r="A8" s="48" t="s">
        <v>125</v>
      </c>
      <c r="B8" s="798">
        <f>IF(OR(B$2=Bron!$B$8,B$2=Bron!$B$9,B$2=Bron!$B$15),'Bouwkost NB'!$E$40,IF(B$2=Bron!$B$10,'Bouwkost UITB'!$E$39,IF(B$2=Bron!$B$11,'Bouwkost VERB'!$E$39,IF(B$2=Bron!$B$12,'Bouwkost IER'!$E$38,IF(B$2=Bron!$B$16,'Bouwkost AK+VERB'!$E$39,IF(OR(B$2=Bron!$B$13,B$2=Bron!$B$14),'Bouwkost VOLT'!$E$39,0))))))</f>
        <v>0</v>
      </c>
      <c r="C8" s="35">
        <f t="shared" si="2"/>
        <v>0</v>
      </c>
      <c r="D8" s="798">
        <f>IF(OR(D$2=Bron!$B$8,D$2=Bron!$B$9,D$2=Bron!$B$15),'Bouwkost NB'!$E$40,IF(D$2=Bron!$B$10,'Bouwkost UITB'!$E$39,IF(D$2=Bron!$B$11,'Bouwkost VERB'!$E$39,IF(D$2=Bron!$B$12,'Bouwkost IER'!$E$38,IF(D$2=Bron!$B$16,'Bouwkost AK+VERB'!$E$39,IF(OR(D$2=Bron!$B$13,D$2=Bron!$B$14),'Bouwkost VOLT'!$E$39,0))))))</f>
        <v>0</v>
      </c>
      <c r="E8" s="35">
        <f t="shared" si="3"/>
        <v>0</v>
      </c>
      <c r="F8" s="798">
        <f>IF(OR(F$2=Bron!$B$8,F$2=Bron!$B$9,F$2=Bron!$B$15),'Bouwkost NB'!$E$40,IF(F$2=Bron!$B$10,'Bouwkost UITB'!$E$39,IF(F$2=Bron!$B$11,'Bouwkost VERB'!$E$39,IF(F$2=Bron!$B$12,'Bouwkost IER'!$E$38,IF(F$2=Bron!$B$16,'Bouwkost AK+VERB'!$E$39,IF(OR(F$2=Bron!$B$13,F$2=Bron!$B$14),'Bouwkost VOLT'!$E$39,0))))))</f>
        <v>0</v>
      </c>
      <c r="G8" s="35">
        <f t="shared" si="4"/>
        <v>0</v>
      </c>
      <c r="H8" s="798">
        <f>IF(OR(H$2=Bron!$B$8,H$2=Bron!$B$9,H$2=Bron!$B$15),'Bouwkost NB'!$E$40,IF(H$2=Bron!$B$10,'Bouwkost UITB'!$E$39,IF(H$2=Bron!$B$11,'Bouwkost VERB'!$E$39,IF(H$2=Bron!$B$12,'Bouwkost IER'!$E$38,IF(H$2=Bron!$B$16,'Bouwkost AK+VERB'!$E$39,IF(OR(H$2=Bron!$B$13,H$2=Bron!$B$14),'Bouwkost VOLT'!$E$39,0))))))</f>
        <v>0</v>
      </c>
      <c r="I8" s="35">
        <f t="shared" si="5"/>
        <v>0</v>
      </c>
      <c r="J8" s="98">
        <f t="shared" si="1"/>
        <v>0</v>
      </c>
      <c r="K8" s="35" t="e">
        <f>J8/J11</f>
        <v>#DIV/0!</v>
      </c>
    </row>
    <row r="9" spans="1:20" x14ac:dyDescent="0.3">
      <c r="A9" s="58" t="s">
        <v>126</v>
      </c>
      <c r="B9" s="801">
        <f>SUM(B6:B8)</f>
        <v>0</v>
      </c>
      <c r="C9" s="35">
        <f t="shared" si="2"/>
        <v>0</v>
      </c>
      <c r="D9" s="801">
        <f>SUM(D6:D8)</f>
        <v>0</v>
      </c>
      <c r="E9" s="35">
        <f t="shared" si="3"/>
        <v>0</v>
      </c>
      <c r="F9" s="801">
        <f>SUM(F6:F8)</f>
        <v>0</v>
      </c>
      <c r="G9" s="35">
        <f t="shared" si="4"/>
        <v>0</v>
      </c>
      <c r="H9" s="801">
        <f>SUM(H6:H8)</f>
        <v>0</v>
      </c>
      <c r="I9" s="35">
        <f t="shared" si="5"/>
        <v>0</v>
      </c>
      <c r="J9" s="598">
        <f t="shared" si="1"/>
        <v>0</v>
      </c>
      <c r="K9" s="35" t="e">
        <f>J9/J11</f>
        <v>#DIV/0!</v>
      </c>
    </row>
    <row r="10" spans="1:20" x14ac:dyDescent="0.3">
      <c r="A10" s="48" t="s">
        <v>127</v>
      </c>
      <c r="B10" s="798">
        <f>IF(OR(B$2=Bron!$B$8,B$2=Bron!$B$9,B$2=Bron!$B$15),'Bouwkost NB'!$E$50,IF(B$2=Bron!$B$10,'Bouwkost UITB'!$E$49,IF(B$2=Bron!$B$11,'Bouwkost VERB'!$E$49,IF(B$2=Bron!$B$12,'Bouwkost IER'!$E$48,IF(B$2=Bron!$B$16,'Bouwkost AK+VERB'!$E$49,IF(OR(B$2=Bron!$B$13,B$2=Bron!$B$14),'Bouwkost VOLT'!$E$49,0))))))</f>
        <v>0</v>
      </c>
      <c r="C10" s="35">
        <f t="shared" si="2"/>
        <v>0</v>
      </c>
      <c r="D10" s="798">
        <f>IF(OR(D$2=Bron!$B$8,D$2=Bron!$B$9,D$2=Bron!$B$15),'Bouwkost NB'!$E$50,IF(D$2=Bron!$B$10,'Bouwkost UITB'!$E$49,IF(D$2=Bron!$B$11,'Bouwkost VERB'!$E$49,IF(D$2=Bron!$B$12,'Bouwkost IER'!$E$48,IF(D$2=Bron!$B$16,'Bouwkost AK+VERB'!$E$49,IF(OR(D$2=Bron!$B$13,D$2=Bron!$B$14),'Bouwkost VOLT'!$E$49,0))))))</f>
        <v>0</v>
      </c>
      <c r="E10" s="35">
        <f t="shared" si="3"/>
        <v>0</v>
      </c>
      <c r="F10" s="798">
        <f>IF(OR(F$2=Bron!$B$8,F$2=Bron!$B$9,F$2=Bron!$B$15),'Bouwkost NB'!$E$50,IF(F$2=Bron!$B$10,'Bouwkost UITB'!$E$49,IF(F$2=Bron!$B$11,'Bouwkost VERB'!$E$49,IF(F$2=Bron!$B$12,'Bouwkost IER'!$E$48,IF(F$2=Bron!$B$16,'Bouwkost AK+VERB'!$E$49,IF(OR(F$2=Bron!$B$13,F$2=Bron!$B$14),'Bouwkost VOLT'!$E$49,0))))))</f>
        <v>0</v>
      </c>
      <c r="G10" s="35">
        <f t="shared" si="4"/>
        <v>0</v>
      </c>
      <c r="H10" s="798">
        <f>IF(OR(H$2=Bron!$B$8,H$2=Bron!$B$9,H$2=Bron!$B$15),'Bouwkost NB'!$E$50,IF(H$2=Bron!$B$10,'Bouwkost UITB'!$E$49,IF(H$2=Bron!$B$11,'Bouwkost VERB'!$E$49,IF(H$2=Bron!$B$12,'Bouwkost IER'!$E$48,IF(H$2=Bron!$B$16,'Bouwkost AK+VERB'!$E$49,IF(OR(H$2=Bron!$B$13,H$2=Bron!$B$14),'Bouwkost VOLT'!$E$49,0))))))</f>
        <v>0</v>
      </c>
      <c r="I10" s="35">
        <f t="shared" si="5"/>
        <v>0</v>
      </c>
      <c r="J10" s="98">
        <f t="shared" si="1"/>
        <v>0</v>
      </c>
      <c r="K10" s="35" t="e">
        <f>J10/J11</f>
        <v>#DIV/0!</v>
      </c>
    </row>
    <row r="11" spans="1:20" x14ac:dyDescent="0.3">
      <c r="A11" s="58" t="s">
        <v>110</v>
      </c>
      <c r="B11" s="802">
        <f>B9+B10</f>
        <v>0</v>
      </c>
      <c r="C11" s="35">
        <f t="shared" si="2"/>
        <v>0</v>
      </c>
      <c r="D11" s="802">
        <f>D9+D10</f>
        <v>0</v>
      </c>
      <c r="E11" s="35">
        <f t="shared" si="3"/>
        <v>0</v>
      </c>
      <c r="F11" s="802">
        <f>F9+F10</f>
        <v>0</v>
      </c>
      <c r="G11" s="35">
        <f t="shared" si="4"/>
        <v>0</v>
      </c>
      <c r="H11" s="802">
        <f>H9+H10</f>
        <v>0</v>
      </c>
      <c r="I11" s="35">
        <f t="shared" si="5"/>
        <v>0</v>
      </c>
      <c r="J11" s="598">
        <f t="shared" si="1"/>
        <v>0</v>
      </c>
      <c r="K11" s="35" t="e">
        <f>SUM(K6:K8)+K10</f>
        <v>#DIV/0!</v>
      </c>
      <c r="T11" t="s">
        <v>69</v>
      </c>
    </row>
    <row r="12" spans="1:20" x14ac:dyDescent="0.3">
      <c r="A12" s="22" t="s">
        <v>128</v>
      </c>
      <c r="B12" s="301">
        <f>IFERROR(IF('Overzicht project'!$E$66=0,0,$B$84*('Overzicht BTA'!D$51/'Overzicht BTA'!C74)),0)</f>
        <v>0</v>
      </c>
      <c r="C12" s="301"/>
      <c r="D12" s="301">
        <f>IFERROR(IF('Overzicht project'!$E$66=0,0,$B$84*('Overzicht BTA'!D$52/'Overzicht BTA'!C74)),0)</f>
        <v>0</v>
      </c>
      <c r="E12" s="301"/>
      <c r="F12" s="301">
        <f>IFERROR(IF('Overzicht project'!$E$66=0,0,$B$84*('Overzicht BTA'!D$53/'Overzicht BTA'!C74)),0)</f>
        <v>0</v>
      </c>
      <c r="G12" s="301"/>
      <c r="H12" s="301">
        <f>IFERROR(IF('Overzicht project'!$E$66=0,0,$B$84*('Overzicht BTA'!D$54/'Overzicht BTA'!C74)),0)</f>
        <v>0</v>
      </c>
      <c r="I12" s="35"/>
      <c r="J12" s="98">
        <f>IF('Overzicht project'!$E$66=0,0,kunst!$M$11*('Overzicht BTA'!C30/'Overzicht project'!$E$66))</f>
        <v>0</v>
      </c>
      <c r="K12" s="35"/>
    </row>
    <row r="13" spans="1:20" x14ac:dyDescent="0.3">
      <c r="A13" s="22" t="s">
        <v>129</v>
      </c>
      <c r="B13" s="798">
        <f>IF(OR(B2=Bron!$B$8,B2=Bron!$B$9,B2=Bron!$B$15),'Bouwkost NB'!$E$52,IF(B2=Bron!$B$10,'Bouwkost UITB'!$E$51,IF(B2=Bron!$B$11,'Bouwkost VERB'!$E$51,IF(B2=Bron!$B$12,'Bouwkost IER'!$E$50,IF(B2=Bron!$B$16,'Bouwkost AK+VERB'!$E$51,IF(OR(B2=Bron!$B$13,B2=Bron!$B$14),'Bouwkost VOLT'!$E$51,0))))))</f>
        <v>0</v>
      </c>
      <c r="C13" s="35"/>
      <c r="D13" s="798">
        <f>IF(OR(D2=Bron!$B$8,D2=Bron!$B$9,D2=Bron!$B$15),'Bouwkost NB'!$E$52,IF(D2=Bron!$B$10,'Bouwkost UITB'!$E$51,IF(D2=Bron!$B$11,'Bouwkost VERB'!$E$51,IF(D2=Bron!$B$12,'Bouwkost IER'!$E$50,IF(D2=Bron!$B$16,'Bouwkost AK+VERB'!$E$51,IF(OR(D2=Bron!$B$13,D2=Bron!$B$14),'Bouwkost VOLT'!$E$51,0))))))</f>
        <v>0</v>
      </c>
      <c r="E13" s="35"/>
      <c r="F13" s="798">
        <f>IF(OR(F2=Bron!$B$8,F2=Bron!$B$9,F2=Bron!$B$15),'Bouwkost NB'!$E$52,IF(F2=Bron!$B$10,'Bouwkost UITB'!$E$51,IF(F2=Bron!$B$11,'Bouwkost VERB'!$E$51,IF(F2=Bron!$B$12,'Bouwkost IER'!$E$50,IF(F2=Bron!$B$16,'Bouwkost AK+VERB'!$E$51,IF(OR(F2=Bron!$B$13,F2=Bron!$B$14),'Bouwkost VOLT'!$E$51,0))))))</f>
        <v>0</v>
      </c>
      <c r="G13" s="35"/>
      <c r="H13" s="798">
        <f>IF(OR(H2=Bron!$B$8,H2=Bron!$B$9,H2=Bron!$B$15),'Bouwkost NB'!$E$52,IF(H2=Bron!$B$10,'Bouwkost UITB'!$E$51,IF(H2=Bron!$B$11,'Bouwkost VERB'!$E$51,IF(H2=Bron!$B$12,'Bouwkost IER'!$E$50,IF(H2=Bron!$B$16,'Bouwkost AK+VERB'!$E$51,IF(OR(H2=Bron!$B$13,H2=Bron!$B$14),'Bouwkost VOLT'!$E$51,0))))))</f>
        <v>0</v>
      </c>
      <c r="I13" s="35"/>
      <c r="J13" s="98">
        <f t="shared" si="1"/>
        <v>0</v>
      </c>
      <c r="K13" s="35"/>
    </row>
    <row r="14" spans="1:20" x14ac:dyDescent="0.3">
      <c r="A14" s="22" t="s">
        <v>130</v>
      </c>
      <c r="B14" s="417">
        <f>IF(OR(B2=Bron!$B$8,B2=Bron!$B$9,B2=Bron!$B$15),'Bouwkost NB'!$E$57,IF(B2=Bron!$B$10,'Bouwkost UITB'!$E$56,IF(B2=Bron!$B$11,'Bouwkost VERB'!$E$56,IF(B2=Bron!$B$12,'Bouwkost IER'!$E$55,IF(B2=Bron!$B$16,'Bouwkost AK+VERB'!$E$56,IF(OR(B2=Bron!$B$13,B2=Bron!$B$14),'Bouwkost VOLT'!$E$56,0))))))</f>
        <v>0</v>
      </c>
      <c r="C14" s="35"/>
      <c r="D14" s="417">
        <f>IF(OR(D2=Bron!$B$8,D2=Bron!$B$9,D2=Bron!$B$15),'Bouwkost NB'!$E$57,IF(D2=Bron!$B$10,'Bouwkost UITB'!$E$56,IF(D2=Bron!$B$11,'Bouwkost VERB'!$E$56,IF(D2=Bron!$B$12,'Bouwkost IER'!$E$55,IF(D2=Bron!$B$16,'Bouwkost AK+VERB'!$E$56,IF(OR(D2=Bron!$B$13,D2=Bron!$B$14),'Bouwkost VOLT'!$E$56,0))))))</f>
        <v>0</v>
      </c>
      <c r="E14" s="35"/>
      <c r="F14" s="417">
        <f>IF(OR(F2=Bron!$B$8,F2=Bron!$B$9,F2=Bron!$B$15),'Bouwkost NB'!$E$57,IF(F2=Bron!$B$10,'Bouwkost UITB'!$E$56,IF(F2=Bron!$B$11,'Bouwkost VERB'!$E$56,IF(F2=Bron!$B$12,'Bouwkost IER'!$E$55,IF(F2=Bron!$B$16,'Bouwkost AK+VERB'!$E$56,IF(OR(F2=Bron!$B$13,F2=Bron!$B$14),'Bouwkost VOLT'!$E$56,0))))))</f>
        <v>0</v>
      </c>
      <c r="G14" s="35"/>
      <c r="H14" s="417">
        <f>IF(OR(H2=Bron!$B$8,H2=Bron!$B$9,H2=Bron!$B$15),'Bouwkost NB'!$E$57,IF(H2=Bron!$B$10,'Bouwkost UITB'!$E$56,IF(H2=Bron!$B$11,'Bouwkost VERB'!$E$56,IF(H2=Bron!$B$12,'Bouwkost IER'!$E$55,IF(H2=Bron!$B$16,'Bouwkost AK+VERB'!$E$56,IF(OR(H2=Bron!$B$13,H2=Bron!$B$14),'Bouwkost VOLT'!$E$56,0))))))</f>
        <v>0</v>
      </c>
      <c r="I14" s="35"/>
      <c r="J14" s="98">
        <f t="shared" si="1"/>
        <v>0</v>
      </c>
      <c r="K14" s="35"/>
    </row>
    <row r="15" spans="1:20" x14ac:dyDescent="0.3">
      <c r="A15" s="22" t="s">
        <v>131</v>
      </c>
      <c r="B15" s="301">
        <f>B5+B9+B13+B14</f>
        <v>0</v>
      </c>
      <c r="C15" s="34"/>
      <c r="D15" s="301">
        <f>D5+D9+D13+D14</f>
        <v>0</v>
      </c>
      <c r="E15" s="34"/>
      <c r="F15" s="301">
        <f>F5+F9+F13+F14</f>
        <v>0</v>
      </c>
      <c r="G15" s="34"/>
      <c r="H15" s="301">
        <f>H5+H9+H13+H14</f>
        <v>0</v>
      </c>
      <c r="I15" s="34"/>
      <c r="J15" s="34">
        <f>B15+D15+F15+H15</f>
        <v>0</v>
      </c>
      <c r="K15" s="34"/>
    </row>
    <row r="16" spans="1:20" ht="28.2" thickBot="1" x14ac:dyDescent="0.35">
      <c r="A16" s="1081" t="s">
        <v>1422</v>
      </c>
      <c r="B16" s="1082">
        <f>IF(OR(B2=Bron!$B$8,B2=Bron!$B$9,B2=Bron!$B$15),SUM('Bouwkost NB'!$E$59:$E$61),IF(B2=Bron!$B$10,SUM('Bouwkost UITB'!$E$58:$E$60),IF(B2=Bron!$B$11,SUM('Bouwkost VERB'!$E$58:$E$60),IF(B2=Bron!$B$12,SUM('Bouwkost IER'!$E$57:$E$59),IF(B2=Bron!$B$16,SUM('Bouwkost AK+VERB'!$E$58:$E$60),IF(OR(B2=Bron!$B$13,B2=Bron!$B$14),SUM('Bouwkost VOLT'!$E$58:$E$60),0))))))</f>
        <v>0</v>
      </c>
      <c r="C16" s="1080"/>
      <c r="D16" s="1082">
        <f>IF(OR(D2=Bron!$B$8,D2=Bron!$B$9,D2=Bron!$B$15),SUM('Bouwkost NB'!$E$59:$E$61),IF(D2=Bron!$B$10,SUM('Bouwkost UITB'!$E$58:$E$60),IF(D2=Bron!$B$11,SUM('Bouwkost VERB'!$E$58:$E$60),IF(D2=Bron!$B$12,SUM('Bouwkost IER'!$E$57:$E$59),IF(D2=Bron!$B$16,SUM('Bouwkost AK+VERB'!$E$58:$E$60),IF(OR(D2=Bron!$B$13,D2=Bron!$B$14),SUM('Bouwkost VOLT'!$E$58:$E$60),0))))))</f>
        <v>0</v>
      </c>
      <c r="E16" s="1080"/>
      <c r="F16" s="1082">
        <f>IF(OR(F2=Bron!$B$8,F2=Bron!$B$9,F2=Bron!$B$15),SUM('Bouwkost NB'!$E$59:$E$61),IF(F2=Bron!$B$10,SUM('Bouwkost UITB'!$E$58:$E$60),IF(F2=Bron!$B$11,SUM('Bouwkost VERB'!$E$58:$E$60),IF(F2=Bron!$B$12,SUM('Bouwkost IER'!$E$57:$E$59),IF(F2=Bron!$B$16,SUM('Bouwkost AK+VERB'!$E$58:$E$60),IF(OR(F2=Bron!$B$13,F2=Bron!$B$14),SUM('Bouwkost VOLT'!$E$58:$E$60),0))))))</f>
        <v>0</v>
      </c>
      <c r="G16" s="1080"/>
      <c r="H16" s="1082">
        <f>IF(OR(H2=Bron!$B$8,H2=Bron!$B$9,H2=Bron!$B$15),SUM('Bouwkost NB'!$E$59:$E$61),IF(H2=Bron!$B$10,SUM('Bouwkost UITB'!$E$58:$E$60),IF(H2=Bron!$B$11,SUM('Bouwkost VERB'!$E$58:$E$60),IF(H2=Bron!$B$12,SUM('Bouwkost IER'!$E$57:$E$59),IF(H2=Bron!$B$16,SUM('Bouwkost AK+VERB'!$E$58:$E$60),IF(OR(H2=Bron!$B$13,H2=Bron!$B$14),SUM('Bouwkost VOLT'!$E$58:$E$60),0))))))</f>
        <v>0</v>
      </c>
      <c r="I16" s="1080"/>
      <c r="J16" s="1083">
        <f>B16+D16+F16+H16</f>
        <v>0</v>
      </c>
      <c r="K16" s="1083"/>
    </row>
    <row r="17" spans="1:20" ht="15" thickTop="1" x14ac:dyDescent="0.3">
      <c r="A17" s="75" t="s">
        <v>132</v>
      </c>
      <c r="B17" s="417">
        <f>B15+B10+B12+B16</f>
        <v>0</v>
      </c>
      <c r="C17" s="417"/>
      <c r="D17" s="417">
        <f>D15+D10+D12</f>
        <v>0</v>
      </c>
      <c r="E17" s="417"/>
      <c r="F17" s="417">
        <f>F15+F10+F12</f>
        <v>0</v>
      </c>
      <c r="G17" s="417"/>
      <c r="H17" s="417">
        <f>H15+H10+H12</f>
        <v>0</v>
      </c>
      <c r="I17" s="98"/>
      <c r="J17" s="98">
        <f>B17+D17+F17+H17</f>
        <v>0</v>
      </c>
      <c r="K17" s="98"/>
    </row>
    <row r="18" spans="1:20" x14ac:dyDescent="0.3">
      <c r="A18" s="19" t="s">
        <v>133</v>
      </c>
      <c r="B18" s="18"/>
      <c r="C18" s="18"/>
      <c r="D18" s="18"/>
      <c r="E18" s="18"/>
      <c r="F18" s="18"/>
      <c r="G18" s="18"/>
      <c r="H18" s="18"/>
      <c r="I18" s="18"/>
      <c r="J18" s="18"/>
      <c r="K18" s="18"/>
    </row>
    <row r="19" spans="1:20" outlineLevel="1" x14ac:dyDescent="0.3">
      <c r="A19" s="380" t="s">
        <v>147</v>
      </c>
      <c r="B19" s="301">
        <f>IF(OR(B2=Bron!$B$9),ROUND((B5+B9+B14+B16)*'Overzicht BTA'!$C$57*('Overzicht BTA'!$D$57/('Overzicht BTA'!$D$57+'Overzicht BTA'!$F$57))+(B5+B9+B14+B16)*'Overzicht BTA'!$E$57*('Overzicht BTA'!$F$57/('Overzicht BTA'!$D$57+'Overzicht BTA'!$F$57)),2),IF(Bron!$B$14=B2,ROUND((B5+B9+B14+B16)*'Overzicht BTA'!$C$63*('Overzicht BTA'!$D$63/('Overzicht BTA'!$D$63+'Overzicht BTA'!$F$63))+(B5+B9+B14+B16)*'Overzicht BTA'!$E$63*('Overzicht BTA'!$F$63/('Overzicht BTA'!$D$63+'Overzicht BTA'!$F$63)),2),ROUND((B5+B9+B14+B16)*C19,2)))</f>
        <v>0</v>
      </c>
      <c r="C19" s="803">
        <f>IF(ISNUMBER(MATCH(B2,'Overzicht BTA'!$B$57:$B$63,0)),VLOOKUP(B2,'Overzicht BTA'!$B$57:$C$63,2,FALSE),0.21)</f>
        <v>0.21</v>
      </c>
      <c r="D19" s="301">
        <f>IF(OR(D2=Bron!$B$9),ROUND((D5+D9+D14)*'Overzicht BTA'!$C$57*('Overzicht BTA'!$D$57/('Overzicht BTA'!$D$57+'Overzicht BTA'!$F$57))+(D5+D9+D14)*'Overzicht BTA'!$E$57*('Overzicht BTA'!$F$57/('Overzicht BTA'!$D$57+'Overzicht BTA'!$F$57)),2),IF(Bron!$B$14=D2,ROUND((D5+D9+D14)*'Overzicht BTA'!$C$63*('Overzicht BTA'!$D$63/('Overzicht BTA'!$D$63+'Overzicht BTA'!$F$63))+(D5+D9+D14)*'Overzicht BTA'!$E$63*('Overzicht BTA'!$F$63/('Overzicht BTA'!$D$63+'Overzicht BTA'!$F$63)),2),ROUND((D5+D9+D14)*E19,2)))</f>
        <v>0</v>
      </c>
      <c r="E19" s="803">
        <f>IF(ISNUMBER(MATCH(D2,'Overzicht BTA'!$B$57:$B$63,0)),VLOOKUP(D2,'Overzicht BTA'!$B$57:$C$63,2,FALSE),0.21)</f>
        <v>0.21</v>
      </c>
      <c r="F19" s="301">
        <f>IF(OR(F2=Bron!$B$9),ROUND((F5+F9+F13)*'Overzicht BTA'!$C$57*('Overzicht BTA'!$D$57/('Overzicht BTA'!$D$57+'Overzicht BTA'!$F$57))+(F5+F9+F13)*'Overzicht BTA'!$E$57*('Overzicht BTA'!$F$57/('Overzicht BTA'!$D$57+'Overzicht BTA'!$F$57)),2),IF(Bron!$B$14=F2,ROUND((F5+F9+F13)*'Overzicht BTA'!$C$63*('Overzicht BTA'!$D$63/('Overzicht BTA'!$D$63+'Overzicht BTA'!$F$63))+(F5+F9+F13)*'Overzicht BTA'!$E$63*('Overzicht BTA'!$F$63/('Overzicht BTA'!$D$63+'Overzicht BTA'!$F$63)),2),ROUND((F5+F9+F13)*G19,2)))</f>
        <v>0</v>
      </c>
      <c r="G19" s="803">
        <f>IF(ISNUMBER(MATCH(F2,'Overzicht BTA'!$B$57:$B$63,0)),VLOOKUP(F2,'Overzicht BTA'!$B$57:$C$63,2,FALSE),0.21)</f>
        <v>0.21</v>
      </c>
      <c r="H19" s="301">
        <f>IF(OR(H2=Bron!$B$9),ROUND((H5+H9+H13)*'Overzicht BTA'!$C$57*('Overzicht BTA'!$D$57/('Overzicht BTA'!$D$57+'Overzicht BTA'!$F$57))+(H5+H9+H13)*'Overzicht BTA'!$E$57*('Overzicht BTA'!$F$57/('Overzicht BTA'!$D$57+'Overzicht BTA'!$F$57)),2),IF(Bron!$B$14=H2,ROUND((H5+H9+H13)*'Overzicht BTA'!$C$63*('Overzicht BTA'!$D$63/('Overzicht BTA'!$D$63+'Overzicht BTA'!$F$63))+(H5+H9+H13)*'Overzicht BTA'!$E$63*('Overzicht BTA'!$F$63/('Overzicht BTA'!$D$63+'Overzicht BTA'!$F$63)),2),ROUND((H5+H9+H13)*I19,2)))</f>
        <v>0</v>
      </c>
      <c r="I19" s="803">
        <f>IF(ISNUMBER(MATCH(H2,'Overzicht BTA'!$B$57:$B$63,0)),VLOOKUP(H2,'Overzicht BTA'!$B$57:$C$63,2,FALSE),0.21)</f>
        <v>0.21</v>
      </c>
      <c r="J19" s="301">
        <f t="shared" ref="J19:J26" si="6">B19+D19+F19+H19</f>
        <v>0</v>
      </c>
      <c r="K19" s="18"/>
    </row>
    <row r="20" spans="1:20" outlineLevel="1" x14ac:dyDescent="0.3">
      <c r="A20" s="380" t="s">
        <v>135</v>
      </c>
      <c r="B20" s="301">
        <f>ROUND(B12*C20,2)</f>
        <v>0</v>
      </c>
      <c r="C20" s="35">
        <v>0.06</v>
      </c>
      <c r="D20" s="301">
        <f>ROUND(D12*E20,2)</f>
        <v>0</v>
      </c>
      <c r="E20" s="35">
        <v>0.06</v>
      </c>
      <c r="F20" s="301">
        <f>ROUND(F12*G20,2)</f>
        <v>0</v>
      </c>
      <c r="G20" s="35">
        <v>0.06</v>
      </c>
      <c r="H20" s="301">
        <f>ROUND(H12*I20,2)</f>
        <v>0</v>
      </c>
      <c r="I20" s="35">
        <v>0.06</v>
      </c>
      <c r="J20" s="301">
        <f>B20+D20+F20+H20</f>
        <v>0</v>
      </c>
      <c r="K20" s="18"/>
    </row>
    <row r="21" spans="1:20" outlineLevel="1" x14ac:dyDescent="0.3">
      <c r="A21" s="380" t="s">
        <v>136</v>
      </c>
      <c r="B21" s="301">
        <f>ROUND((B10+B13)*C21,2)</f>
        <v>0</v>
      </c>
      <c r="C21" s="35">
        <v>0.21</v>
      </c>
      <c r="D21" s="301">
        <f>ROUND((D10+D13)*E21,2)</f>
        <v>0</v>
      </c>
      <c r="E21" s="35">
        <v>0.21</v>
      </c>
      <c r="F21" s="301">
        <f>ROUND((F10+F13)*G21,2)</f>
        <v>0</v>
      </c>
      <c r="G21" s="35">
        <v>0.21</v>
      </c>
      <c r="H21" s="301">
        <f>ROUND((H10+H13)*I21,2)</f>
        <v>0</v>
      </c>
      <c r="I21" s="35">
        <v>0.21</v>
      </c>
      <c r="J21" s="301">
        <f>B21+D21+F21+H21</f>
        <v>0</v>
      </c>
      <c r="K21" s="18"/>
    </row>
    <row r="22" spans="1:20" outlineLevel="1" x14ac:dyDescent="0.3">
      <c r="A22" s="380" t="s">
        <v>137</v>
      </c>
      <c r="B22" s="417">
        <f>IF(OR(B2=Bron!$B$8,B2=Bron!$B$9,B2=Bron!$B$15),'Bouwkost NB'!$E$64,IF(B2=Bron!$B$10,'Bouwkost UITB'!$E$63,IF(B2=Bron!$B$11,'Bouwkost VERB'!$E$63,IF(B2=Bron!$B$12,'Bouwkost IER'!$E$62,IF(B2=Bron!$B$16,'Bouwkost AK+VERB'!$E$63,IF(OR(B2=Bron!$B$13,B2=Bron!$B$14),'Bouwkost VOLT'!$E$63,0))))))</f>
        <v>0</v>
      </c>
      <c r="C22" s="634">
        <f>IFERROR(B22/(B17-B12-B10),0)</f>
        <v>0</v>
      </c>
      <c r="D22" s="417">
        <f>IF(OR(D2=Bron!$B$8,D2=Bron!$B$9,D2=Bron!$B$15),'Bouwkost NB'!$E$64,IF(D2=Bron!$B$10,'Bouwkost UITB'!$E$63,IF(D2=Bron!$B$11,'Bouwkost VERB'!$E$63,IF(D2=Bron!$B$12,'Bouwkost IER'!$E$62,IF(D2=Bron!$B$16,'Bouwkost AK+VERB'!$E$63,IF(OR(D2=Bron!$B$13,D2=Bron!$B$14),'Bouwkost VOLT'!$E$63,0))))))</f>
        <v>0</v>
      </c>
      <c r="E22" s="634">
        <f>IFERROR(D22/(D17-D12-D10),0)</f>
        <v>0</v>
      </c>
      <c r="F22" s="417">
        <f>IF(OR(F2=Bron!$B$8,F2=Bron!$B$9,F2=Bron!$B$15),'Bouwkost NB'!$E$64,IF(F2=Bron!$B$10,'Bouwkost UITB'!$E$63,IF(F2=Bron!$B$11,'Bouwkost VERB'!$E$63,IF(F2=Bron!$B$12,'Bouwkost IER'!$E$62,IF(F2=Bron!$B$16,'Bouwkost AK+VERB'!$E$63,IF(OR(F2=Bron!$B$13,F2=Bron!$B$14),'Bouwkost VOLT'!$E$63,0))))))</f>
        <v>0</v>
      </c>
      <c r="G22" s="634">
        <f>IFERROR(F22/(F17-F12-F10),0)</f>
        <v>0</v>
      </c>
      <c r="H22" s="417">
        <f>IF(OR(H2=Bron!$B$8,H2=Bron!$B$9,H2=Bron!$B$15),'Bouwkost NB'!$E$64,IF(H2=Bron!$B$10,'Bouwkost UITB'!$E$63,IF(H2=Bron!$B$11,'Bouwkost VERB'!$E$63,IF(H2=Bron!$B$12,'Bouwkost IER'!$E$62,IF(H2=Bron!$B$16,'Bouwkost AK+VERB'!$E$63,IF(OR(H2=Bron!$B$13,H2=Bron!$B$14),'Bouwkost VOLT'!$E$63,0))))))</f>
        <v>0</v>
      </c>
      <c r="I22" s="634">
        <f>IFERROR(H22/(H17-H12-H10),0)</f>
        <v>0</v>
      </c>
      <c r="J22" s="301">
        <f>B22+D22+F22+H22</f>
        <v>0</v>
      </c>
      <c r="L22" s="52"/>
    </row>
    <row r="23" spans="1:20" outlineLevel="1" x14ac:dyDescent="0.3">
      <c r="A23" s="380" t="s">
        <v>138</v>
      </c>
      <c r="B23" s="301">
        <f>ROUND(B22*C23,2)</f>
        <v>0</v>
      </c>
      <c r="C23" s="35">
        <v>0.21</v>
      </c>
      <c r="D23" s="301">
        <f>ROUND(D22*E23,2)</f>
        <v>0</v>
      </c>
      <c r="E23" s="35">
        <v>0.21</v>
      </c>
      <c r="F23" s="301">
        <f>ROUND(F22*G23,2)</f>
        <v>0</v>
      </c>
      <c r="G23" s="35">
        <v>0.21</v>
      </c>
      <c r="H23" s="301">
        <f>ROUND(H22*I23,2)</f>
        <v>0</v>
      </c>
      <c r="I23" s="35">
        <v>0.21</v>
      </c>
      <c r="J23" s="301">
        <f>B23+D23+F23+H23</f>
        <v>0</v>
      </c>
    </row>
    <row r="24" spans="1:20" outlineLevel="1" x14ac:dyDescent="0.3">
      <c r="A24" s="383" t="s">
        <v>139</v>
      </c>
      <c r="B24" s="804">
        <f>SUM(B19:B23)</f>
        <v>0</v>
      </c>
      <c r="D24" s="804">
        <f>SUM(D19:D23)</f>
        <v>0</v>
      </c>
      <c r="E24" s="301"/>
      <c r="F24" s="804">
        <f>SUM(F19:F23)</f>
        <v>0</v>
      </c>
      <c r="H24" s="804">
        <f>SUM(H19:H23)</f>
        <v>0</v>
      </c>
      <c r="J24" s="384">
        <f>B24+D24+F24+H24</f>
        <v>0</v>
      </c>
    </row>
    <row r="25" spans="1:20" outlineLevel="1" x14ac:dyDescent="0.3">
      <c r="A25" s="582" t="s">
        <v>140</v>
      </c>
      <c r="B25" s="382">
        <f>B4+B3</f>
        <v>0</v>
      </c>
      <c r="C25" s="382"/>
      <c r="D25" s="382">
        <f>D4+D3</f>
        <v>0</v>
      </c>
      <c r="E25" s="382"/>
      <c r="F25" s="382">
        <f>F4+F3</f>
        <v>0</v>
      </c>
      <c r="G25" s="382"/>
      <c r="H25" s="382">
        <f>H4+H3</f>
        <v>0</v>
      </c>
      <c r="I25" s="382"/>
      <c r="J25" s="382">
        <f>J4+J3</f>
        <v>0</v>
      </c>
    </row>
    <row r="26" spans="1:20" x14ac:dyDescent="0.3">
      <c r="A26" s="381" t="s">
        <v>141</v>
      </c>
      <c r="B26" s="801">
        <f>B24+B17</f>
        <v>0</v>
      </c>
      <c r="C26" s="20"/>
      <c r="D26" s="801">
        <f>D24+D17</f>
        <v>0</v>
      </c>
      <c r="E26" s="20"/>
      <c r="F26" s="801">
        <f>F24+F17</f>
        <v>0</v>
      </c>
      <c r="G26" s="20"/>
      <c r="H26" s="801">
        <f>H24+H17</f>
        <v>0</v>
      </c>
      <c r="I26" s="20"/>
      <c r="J26" s="382">
        <f t="shared" si="6"/>
        <v>0</v>
      </c>
    </row>
    <row r="27" spans="1:20" x14ac:dyDescent="0.3">
      <c r="A27" s="19"/>
      <c r="B27" s="18"/>
      <c r="C27" s="18"/>
      <c r="D27" s="18"/>
      <c r="E27" s="18"/>
      <c r="F27" s="18"/>
      <c r="G27" s="18"/>
      <c r="H27" s="18"/>
      <c r="I27" s="18"/>
      <c r="J27" s="18"/>
      <c r="K27" s="18"/>
    </row>
    <row r="28" spans="1:20" hidden="1" x14ac:dyDescent="0.3">
      <c r="A28" s="94" t="s">
        <v>116</v>
      </c>
      <c r="B28" s="1189" t="str">
        <f>'Overzicht BTA'!H3</f>
        <v>Kies de zorgvorm</v>
      </c>
      <c r="C28" s="1190"/>
      <c r="D28" s="1190"/>
      <c r="E28" s="1190"/>
      <c r="F28" s="1190"/>
      <c r="G28" s="1190"/>
      <c r="H28" s="1190"/>
      <c r="I28" s="1190"/>
      <c r="J28" s="1190"/>
      <c r="K28" s="1190"/>
    </row>
    <row r="29" spans="1:20" ht="15" hidden="1" thickBot="1" x14ac:dyDescent="0.35">
      <c r="A29" s="99" t="s">
        <v>117</v>
      </c>
      <c r="B29" s="108" t="str">
        <f>'Overzicht BTA'!H7</f>
        <v>Kies kostensoort</v>
      </c>
      <c r="C29" s="100" t="s">
        <v>118</v>
      </c>
      <c r="D29" s="108" t="str">
        <f>'Overzicht BTA'!H8</f>
        <v>Kies kostensoort</v>
      </c>
      <c r="E29" s="100" t="s">
        <v>119</v>
      </c>
      <c r="F29" s="108" t="str">
        <f>'Overzicht BTA'!H9</f>
        <v>Kies kostensoort</v>
      </c>
      <c r="G29" s="100" t="s">
        <v>119</v>
      </c>
      <c r="H29" s="108" t="str">
        <f>'Overzicht BTA'!H10</f>
        <v>Kies kostensoort</v>
      </c>
      <c r="I29" s="100" t="s">
        <v>119</v>
      </c>
      <c r="J29" s="99" t="s">
        <v>110</v>
      </c>
      <c r="K29" s="100" t="s">
        <v>119</v>
      </c>
      <c r="T29" t="s">
        <v>69</v>
      </c>
    </row>
    <row r="30" spans="1:20" ht="15" hidden="1" thickTop="1" x14ac:dyDescent="0.3">
      <c r="A30" s="75" t="s">
        <v>120</v>
      </c>
      <c r="B30" s="798">
        <f>IF(OR(B$29=Bron!$B$8,B$29=Bron!$B$9,B$29=Bron!$B$15),'Bouwkost NB'!$P17,IF(B$29=Bron!$B$10,'Bouwkost UITB'!$P$16,IF(B$29=Bron!$B$11,'Bouwkost VERB'!$P$16,IF(B$29=Bron!$B$12,'Bouwkost IER'!$P$15,IF(B$29=Bron!$B$16,'Bouwkost AK+VERB'!$P$16,IF(OR(B$29=Bron!$B$13,B$29=Bron!$B$14),'Bouwkost VOLT'!$P$16,0))))))</f>
        <v>0</v>
      </c>
      <c r="C30" s="488"/>
      <c r="D30" s="798">
        <f>IF(OR(D$29=Bron!$B$8,D$29=Bron!$B$9,D$29=Bron!$B$15),'Bouwkost NB'!$P17,IF(D$29=Bron!$B$10,'Bouwkost UITB'!$P$16,IF(D$29=Bron!$B$11,'Bouwkost VERB'!$P$16,IF(D$29=Bron!$B$12,'Bouwkost IER'!$P$15,IF(D$29=Bron!$B$16,'Bouwkost AK+VERB'!$P$16,IF(OR(D$29=Bron!$B$13,D$29=Bron!$B$14),'Bouwkost VOLT'!$P$16,0))))))</f>
        <v>0</v>
      </c>
      <c r="E30" s="488"/>
      <c r="F30" s="798">
        <f>IF(OR(F$29=Bron!$B$8,F$29=Bron!$B$9,F$29=Bron!$B$15),'Bouwkost NB'!$P17,IF(F$29=Bron!$B$10,'Bouwkost UITB'!$P$16,IF(F$29=Bron!$B$11,'Bouwkost VERB'!$P$16,IF(F$29=Bron!$B$12,'Bouwkost IER'!$P$15,IF(F$29=Bron!$B$16,'Bouwkost AK+VERB'!$P$16,IF(OR(F$29=Bron!$B$13,F$29=Bron!$B$14),'Bouwkost VOLT'!$P$16,0))))))</f>
        <v>0</v>
      </c>
      <c r="G30" s="488"/>
      <c r="H30" s="798">
        <f>IF(OR(H$29=Bron!$B$8,H$29=Bron!$B$9,H$29=Bron!$B$15),'Bouwkost NB'!$P17,IF(H$29=Bron!$B$10,'Bouwkost UITB'!$P$16,IF(H$29=Bron!$B$11,'Bouwkost VERB'!$P$16,IF(H$29=Bron!$B$12,'Bouwkost IER'!$P$15,IF(H$29=Bron!$B$16,'Bouwkost AK+VERB'!$P$16,IF(OR(H$29=Bron!$B$13,H$29=Bron!$B$14),'Bouwkost VOLT'!$P$16,0))))))</f>
        <v>0</v>
      </c>
      <c r="I30" s="488"/>
      <c r="J30" s="98">
        <f t="shared" ref="J30:J31" si="7">B30+D30+F30+H30</f>
        <v>0</v>
      </c>
      <c r="K30" s="488"/>
      <c r="L30" s="52"/>
    </row>
    <row r="31" spans="1:20" hidden="1" x14ac:dyDescent="0.3">
      <c r="A31" s="75" t="s">
        <v>121</v>
      </c>
      <c r="B31" s="417">
        <f>IF(OR(B$29=Bron!$B$8,B$29=Bron!$B$9,B$29=Bron!$B$15),'Bouwkost NB'!$P$20,IF(B$29=Bron!$B$10,'Bouwkost UITB'!$P$19,IF(B$29=Bron!$B$11,'Bouwkost VERB'!$P$19,IF(B$29=Bron!$B$12,'Bouwkost IER'!$P$18,IF(B$29=Bron!$B$16,'Bouwkost AK+VERB'!$P$19,IF(OR(B$29=Bron!$B$13,B$29=Bron!$B$14),'Bouwkost VOLT'!$P$19,0))))))</f>
        <v>0</v>
      </c>
      <c r="C31" s="488"/>
      <c r="D31" s="417">
        <f>IF(OR(D$29=Bron!$B$8,D$29=Bron!$B$9,D$29=Bron!$B$15),'Bouwkost NB'!$P$20,IF(D$29=Bron!$B$10,'Bouwkost UITB'!$P$19,IF(D$29=Bron!$B$11,'Bouwkost VERB'!$P$19,IF(D$29=Bron!$B$12,'Bouwkost IER'!$P$18,IF(D$29=Bron!$B$16,'Bouwkost AK+VERB'!$P$19,IF(OR(D$29=Bron!$B$13,D$29=Bron!$B$14),'Bouwkost VOLT'!$P$19,0))))))</f>
        <v>0</v>
      </c>
      <c r="E31" s="488"/>
      <c r="F31" s="417">
        <f>IF(OR(F$29=Bron!$B$8,F$29=Bron!$B$9,F$29=Bron!$B$15),'Bouwkost NB'!$P$20,IF(F$29=Bron!$B$10,'Bouwkost UITB'!$P$19,IF(F$29=Bron!$B$11,'Bouwkost VERB'!$P$19,IF(F$29=Bron!$B$12,'Bouwkost IER'!$P$18,IF(F$29=Bron!$B$16,'Bouwkost AK+VERB'!$P$19,IF(OR(F$29=Bron!$B$13,F$29=Bron!$B$14),'Bouwkost VOLT'!$P$19,0))))))</f>
        <v>0</v>
      </c>
      <c r="G31" s="488"/>
      <c r="H31" s="417">
        <f>IF(OR(H$29=Bron!$B$8,H$29=Bron!$B$9,H$29=Bron!$B$15),'Bouwkost NB'!$P$20,IF(H$29=Bron!$B$10,'Bouwkost UITB'!$P$19,IF(H$29=Bron!$B$11,'Bouwkost VERB'!$P$19,IF(H$29=Bron!$B$12,'Bouwkost IER'!$P$18,IF(H$29=Bron!$B$16,'Bouwkost AK+VERB'!$P$19,IF(OR(H$29=Bron!$B$13,H$29=Bron!$B$14),'Bouwkost VOLT'!$P$19,0))))))</f>
        <v>0</v>
      </c>
      <c r="I31" s="488"/>
      <c r="J31" s="98">
        <f t="shared" si="7"/>
        <v>0</v>
      </c>
      <c r="K31" s="488"/>
      <c r="L31" s="52"/>
    </row>
    <row r="32" spans="1:20" hidden="1" x14ac:dyDescent="0.3">
      <c r="A32" s="75" t="s">
        <v>122</v>
      </c>
      <c r="B32" s="798">
        <f>IF(OR(B$29=Bron!$B$8,B$29=Bron!$B$9,B$29=Bron!$B$15),'Bouwkost NB'!$P$55,IF(B$29=Bron!$B$10,'Bouwkost UITB'!$P$54,IF(B$29=Bron!$B$11,'Bouwkost VERB'!$P$54,IF(B$29=Bron!$B$12,'Bouwkost IER'!$P$53,IF(B$29=Bron!$B$16,'Bouwkost AK+VERB'!$P$54,IF(OR(B$29=Bron!$B$13,B$29=Bron!$B$14),'Bouwkost VOLT'!$P$54,0))))))</f>
        <v>0</v>
      </c>
      <c r="C32" s="75"/>
      <c r="D32" s="798">
        <f>IF(OR(D$29=Bron!$B$8,D$29=Bron!$B$9,D$29=Bron!$B$15),'Bouwkost NB'!$P$55,IF(D$29=Bron!$B$10,'Bouwkost UITB'!$P$54,IF(D$29=Bron!$B$11,'Bouwkost VERB'!$P$54,IF(D$29=Bron!$B$12,'Bouwkost IER'!$P$53,IF(D$29=Bron!$B$16,'Bouwkost AK+VERB'!$P$54,IF(OR(D$29=Bron!$B$13,D$29=Bron!$B$14),'Bouwkost VOLT'!$P$54,0))))))</f>
        <v>0</v>
      </c>
      <c r="E32" s="75"/>
      <c r="F32" s="798">
        <f>IF(OR(F$29=Bron!$B$8,F$29=Bron!$B$9,F$29=Bron!$B$15),'Bouwkost NB'!$P$55,IF(F$29=Bron!$B$10,'Bouwkost UITB'!$P$54,IF(F$29=Bron!$B$11,'Bouwkost VERB'!$P$54,IF(F$29=Bron!$B$12,'Bouwkost IER'!$P$53,IF(F$29=Bron!$B$16,'Bouwkost AK+VERB'!$P$54,IF(OR(F$29=Bron!$B$13,F$29=Bron!$B$14),'Bouwkost VOLT'!$P$54,0))))))</f>
        <v>0</v>
      </c>
      <c r="G32" s="75"/>
      <c r="H32" s="798">
        <f>IF(OR(H$29=Bron!$B$8,H$29=Bron!$B$9,H$29=Bron!$B$15),'Bouwkost NB'!$P$55,IF(H$29=Bron!$B$10,'Bouwkost UITB'!$P$54,IF(H$29=Bron!$B$11,'Bouwkost VERB'!$P$54,IF(H$29=Bron!$B$12,'Bouwkost IER'!$P$53,IF(H$29=Bron!$B$16,'Bouwkost AK+VERB'!$P$54,IF(OR(H$29=Bron!$B$13,H$29=Bron!$B$14),'Bouwkost VOLT'!$P$54,0))))))</f>
        <v>0</v>
      </c>
      <c r="I32" s="75"/>
      <c r="J32" s="98">
        <f>B32+D32+F32+H32</f>
        <v>0</v>
      </c>
      <c r="K32" s="75"/>
    </row>
    <row r="33" spans="1:11" hidden="1" x14ac:dyDescent="0.3">
      <c r="A33" s="48" t="s">
        <v>123</v>
      </c>
      <c r="B33" s="798">
        <f>IF(OR(B$29=Bron!$B$8,B$29=Bron!$B$9,B$29=Bron!$B$15),'Bouwkost NB'!$P$25,IF(B$29=Bron!$B$10,'Bouwkost UITB'!$P$24,IF(B$29=Bron!$B$11,'Bouwkost VERB'!$P$24,IF(B$29=Bron!$B$12,'Bouwkost IER'!$P$23,IF(B$29=Bron!$B$16,'Bouwkost AK+VERB'!$P$24,IF(OR(B$29=Bron!$B$13,B$29=Bron!$B$14),'Bouwkost VOLT'!$P$24,0))))))</f>
        <v>0</v>
      </c>
      <c r="C33" s="35">
        <f>IF($B$38=0,0,B33/$B$38)</f>
        <v>0</v>
      </c>
      <c r="D33" s="798">
        <f>IF(OR(D$29=Bron!$B$8,D$29=Bron!$B$9,D$29=Bron!$B$15),'Bouwkost NB'!$P$25,IF(D$29=Bron!$B$10,'Bouwkost UITB'!$P$24,IF(D$29=Bron!$B$11,'Bouwkost VERB'!$P$24,IF(D$29=Bron!$B$12,'Bouwkost IER'!$P$23,IF(D$29=Bron!$B$16,'Bouwkost AK+VERB'!$P$24,IF(OR(D$29=Bron!$B$13,D$29=Bron!$B$14),'Bouwkost VOLT'!$P$24,0))))))</f>
        <v>0</v>
      </c>
      <c r="E33" s="35">
        <f>IF($D$38=0,0,D33/$D$38)</f>
        <v>0</v>
      </c>
      <c r="F33" s="798">
        <f>IF(OR(F$29=Bron!$B$8,F$29=Bron!$B$9,F$29=Bron!$B$15),'Bouwkost NB'!$P$25,IF(F$29=Bron!$B$10,'Bouwkost UITB'!$P$24,IF(F$29=Bron!$B$11,'Bouwkost VERB'!$P$24,IF(F$29=Bron!$B$12,'Bouwkost IER'!$P$23,IF(F$29=Bron!$B$16,'Bouwkost AK+VERB'!$P$24,IF(OR(F$29=Bron!$B$13,F$29=Bron!$B$14),'Bouwkost VOLT'!$P$24,0))))))</f>
        <v>0</v>
      </c>
      <c r="G33" s="35">
        <f>IF($F$38=0,0,F33/$F$38)</f>
        <v>0</v>
      </c>
      <c r="H33" s="798">
        <f>IF(OR(H$29=Bron!$B$8,H$29=Bron!$B$9,H$29=Bron!$B$15),'Bouwkost NB'!$P$25,IF(H$29=Bron!$B$10,'Bouwkost UITB'!$P$24,IF(H$29=Bron!$B$11,'Bouwkost VERB'!$P$24,IF(H$29=Bron!$B$12,'Bouwkost IER'!$P$23,IF(H$29=Bron!$B$16,'Bouwkost AK+VERB'!$P$24,IF(OR(H$29=Bron!$B$13,H$29=Bron!$B$14),'Bouwkost VOLT'!$P$24,0))))))</f>
        <v>0</v>
      </c>
      <c r="I33" s="35">
        <f>IF($H$38=0,0,H33/$H$38)</f>
        <v>0</v>
      </c>
      <c r="J33" s="98">
        <f t="shared" ref="J33:J38" si="8">B33+D33+F33+H33</f>
        <v>0</v>
      </c>
      <c r="K33" s="35" t="e">
        <f>J33/J38</f>
        <v>#DIV/0!</v>
      </c>
    </row>
    <row r="34" spans="1:11" hidden="1" x14ac:dyDescent="0.3">
      <c r="A34" s="48" t="s">
        <v>124</v>
      </c>
      <c r="B34" s="798">
        <f>IF(OR(B$29=Bron!$B$8,B$29=Bron!$B$9,B$29=Bron!$B$15),'Bouwkost NB'!$P$32,IF(B$29=Bron!$B$10,'Bouwkost UITB'!$P$31,IF(B$29=Bron!$B$11,'Bouwkost VERB'!$P$31,IF(B$29=Bron!$B$12,'Bouwkost IER'!$P$30,IF(B$29=Bron!$B$16,'Bouwkost AK+VERB'!$P$31,IF(OR(B$29=Bron!$B$13,B$29=Bron!$B$14),'Bouwkost VOLT'!$P$31,0))))))</f>
        <v>0</v>
      </c>
      <c r="C34" s="35">
        <f t="shared" ref="C34:C38" si="9">IF($B$38=0,0,B34/$B$38)</f>
        <v>0</v>
      </c>
      <c r="D34" s="798">
        <f>IF(OR(D$29=Bron!$B$8,D$29=Bron!$B$9,D$29=Bron!$B$15),'Bouwkost NB'!$P$32,IF(D$29=Bron!$B$10,'Bouwkost UITB'!$P$31,IF(D$29=Bron!$B$11,'Bouwkost VERB'!$P$31,IF(D$29=Bron!$B$12,'Bouwkost IER'!$P$30,IF(D$29=Bron!$B$16,'Bouwkost AK+VERB'!$P$31,IF(OR(D$29=Bron!$B$13,D$29=Bron!$B$14),'Bouwkost VOLT'!$P$31,0))))))</f>
        <v>0</v>
      </c>
      <c r="E34" s="35">
        <f t="shared" ref="E34:E38" si="10">IF($D$38=0,0,D34/$D$38)</f>
        <v>0</v>
      </c>
      <c r="F34" s="798">
        <f>IF(OR(F$29=Bron!$B$8,F$29=Bron!$B$9,F$29=Bron!$B$15),'Bouwkost NB'!$P$32,IF(F$29=Bron!$B$10,'Bouwkost UITB'!$P$31,IF(F$29=Bron!$B$11,'Bouwkost VERB'!$P$31,IF(F$29=Bron!$B$12,'Bouwkost IER'!$P$30,IF(F$29=Bron!$B$16,'Bouwkost AK+VERB'!$P$31,IF(OR(F$29=Bron!$B$13,F$29=Bron!$B$14),'Bouwkost VOLT'!$P$31,0))))))</f>
        <v>0</v>
      </c>
      <c r="G34" s="35">
        <f t="shared" ref="G34:G38" si="11">IF($F$38=0,0,F34/$F$38)</f>
        <v>0</v>
      </c>
      <c r="H34" s="798">
        <f>IF(OR(H$29=Bron!$B$8,H$29=Bron!$B$9,H$29=Bron!$B$15),'Bouwkost NB'!$P$32,IF(H$29=Bron!$B$10,'Bouwkost UITB'!$P$31,IF(H$29=Bron!$B$11,'Bouwkost VERB'!$P$31,IF(H$29=Bron!$B$12,'Bouwkost IER'!$P$30,IF(H$29=Bron!$B$16,'Bouwkost AK+VERB'!$P$31,IF(OR(H$29=Bron!$B$13,H$29=Bron!$B$14),'Bouwkost VOLT'!$P$31,0))))))</f>
        <v>0</v>
      </c>
      <c r="I34" s="35">
        <f t="shared" ref="I34:I38" si="12">IF($H$38=0,0,H34/$H$38)</f>
        <v>0</v>
      </c>
      <c r="J34" s="98">
        <f t="shared" si="8"/>
        <v>0</v>
      </c>
      <c r="K34" s="35" t="e">
        <f>J34/J38</f>
        <v>#DIV/0!</v>
      </c>
    </row>
    <row r="35" spans="1:11" hidden="1" x14ac:dyDescent="0.3">
      <c r="A35" s="48" t="s">
        <v>125</v>
      </c>
      <c r="B35" s="798">
        <f>IF(OR(B$29=Bron!$B$8,B$29=Bron!$B$9,B$29=Bron!$B$15),'Bouwkost NB'!$P$40,IF(B$29=Bron!$B$10,'Bouwkost UITB'!$P$39,IF(B$29=Bron!$B$11,'Bouwkost VERB'!$P$39,IF(B$29=Bron!$B$12,'Bouwkost IER'!$P$38,IF(B$29=Bron!$B$16,'Bouwkost AK+VERB'!$P$39,IF(OR(B$29=Bron!$B$13,B$29=Bron!$B$14),'Bouwkost VOLT'!$P$39,0))))))</f>
        <v>0</v>
      </c>
      <c r="C35" s="35">
        <f t="shared" si="9"/>
        <v>0</v>
      </c>
      <c r="D35" s="798">
        <f>IF(OR(D$29=Bron!$B$8,D$29=Bron!$B$9,D$29=Bron!$B$15),'Bouwkost NB'!$P$40,IF(D$29=Bron!$B$10,'Bouwkost UITB'!$P$39,IF(D$29=Bron!$B$11,'Bouwkost VERB'!$P$39,IF(D$29=Bron!$B$12,'Bouwkost IER'!$P$38,IF(D$29=Bron!$B$16,'Bouwkost AK+VERB'!$P$39,IF(OR(D$29=Bron!$B$13,D$29=Bron!$B$14),'Bouwkost VOLT'!$P$39,0))))))</f>
        <v>0</v>
      </c>
      <c r="E35" s="35">
        <f t="shared" si="10"/>
        <v>0</v>
      </c>
      <c r="F35" s="798">
        <f>IF(OR(F$29=Bron!$B$8,F$29=Bron!$B$9,F$29=Bron!$B$15),'Bouwkost NB'!$P$40,IF(F$29=Bron!$B$10,'Bouwkost UITB'!$P$39,IF(F$29=Bron!$B$11,'Bouwkost VERB'!$P$39,IF(F$29=Bron!$B$12,'Bouwkost IER'!$P$38,IF(F$29=Bron!$B$16,'Bouwkost AK+VERB'!$P$39,IF(OR(F$29=Bron!$B$13,F$29=Bron!$B$14),'Bouwkost VOLT'!$P$39,0))))))</f>
        <v>0</v>
      </c>
      <c r="G35" s="35">
        <f t="shared" si="11"/>
        <v>0</v>
      </c>
      <c r="H35" s="798">
        <f>IF(OR(H$29=Bron!$B$8,H$29=Bron!$B$9,H$29=Bron!$B$15),'Bouwkost NB'!$P$40,IF(H$29=Bron!$B$10,'Bouwkost UITB'!$P$39,IF(H$29=Bron!$B$11,'Bouwkost VERB'!$P$39,IF(H$29=Bron!$B$12,'Bouwkost IER'!$P$38,IF(H$29=Bron!$B$16,'Bouwkost AK+VERB'!$P$39,IF(OR(H$29=Bron!$B$13,H$29=Bron!$B$14),'Bouwkost VOLT'!$P$39,0))))))</f>
        <v>0</v>
      </c>
      <c r="I35" s="35">
        <f t="shared" si="12"/>
        <v>0</v>
      </c>
      <c r="J35" s="98">
        <f t="shared" si="8"/>
        <v>0</v>
      </c>
      <c r="K35" s="35" t="e">
        <f>J35/J38</f>
        <v>#DIV/0!</v>
      </c>
    </row>
    <row r="36" spans="1:11" hidden="1" x14ac:dyDescent="0.3">
      <c r="A36" s="58" t="s">
        <v>126</v>
      </c>
      <c r="B36" s="801">
        <f>SUM(B33:B35)</f>
        <v>0</v>
      </c>
      <c r="C36" s="35">
        <f t="shared" si="9"/>
        <v>0</v>
      </c>
      <c r="D36" s="801">
        <f>SUM(D33:D35)</f>
        <v>0</v>
      </c>
      <c r="E36" s="35">
        <f t="shared" si="10"/>
        <v>0</v>
      </c>
      <c r="F36" s="801">
        <f>SUM(F33:F35)</f>
        <v>0</v>
      </c>
      <c r="G36" s="35">
        <f t="shared" si="11"/>
        <v>0</v>
      </c>
      <c r="H36" s="801">
        <f>SUM(H33:H35)</f>
        <v>0</v>
      </c>
      <c r="I36" s="35">
        <f t="shared" si="12"/>
        <v>0</v>
      </c>
      <c r="J36" s="598">
        <f t="shared" si="8"/>
        <v>0</v>
      </c>
      <c r="K36" s="35" t="e">
        <f>J36/J38</f>
        <v>#DIV/0!</v>
      </c>
    </row>
    <row r="37" spans="1:11" hidden="1" x14ac:dyDescent="0.3">
      <c r="A37" s="48" t="s">
        <v>127</v>
      </c>
      <c r="B37" s="798">
        <f>IF(OR(B$29=Bron!$B$8,B$29=Bron!$B$9,B$29=Bron!$B$15),'Bouwkost NB'!$P$50,IF(B$29=Bron!$B$10,'Bouwkost UITB'!$P$49,IF(B$29=Bron!$B$11,'Bouwkost VERB'!$P$49,IF(B$29=Bron!$B$12,'Bouwkost IER'!$P$48,IF(B$29=Bron!$B$16,'Bouwkost AK+VERB'!$P$49,IF(OR(B$29=Bron!$B$13,B$29=Bron!$B$14),'Bouwkost VOLT'!$P$49,0))))))</f>
        <v>0</v>
      </c>
      <c r="C37" s="35">
        <f t="shared" si="9"/>
        <v>0</v>
      </c>
      <c r="D37" s="798">
        <f>IF(OR(D$29=Bron!$B$8,D$29=Bron!$B$9,D$29=Bron!$B$15),'Bouwkost NB'!$P$50,IF(D$29=Bron!$B$10,'Bouwkost UITB'!$P$49,IF(D$29=Bron!$B$11,'Bouwkost VERB'!$P$49,IF(D$29=Bron!$B$12,'Bouwkost IER'!$P$48,IF(D$29=Bron!$B$16,'Bouwkost AK+VERB'!$P$49,IF(OR(D$29=Bron!$B$13,D$29=Bron!$B$14),'Bouwkost VOLT'!$P$49,0))))))</f>
        <v>0</v>
      </c>
      <c r="E37" s="35">
        <f t="shared" si="10"/>
        <v>0</v>
      </c>
      <c r="F37" s="798">
        <f>IF(OR(F$29=Bron!$B$8,F$29=Bron!$B$9,F$29=Bron!$B$15),'Bouwkost NB'!$P$50,IF(F$29=Bron!$B$10,'Bouwkost UITB'!$P$49,IF(F$29=Bron!$B$11,'Bouwkost VERB'!$P$49,IF(F$29=Bron!$B$12,'Bouwkost IER'!$P$48,IF(F$29=Bron!$B$16,'Bouwkost AK+VERB'!$P$49,IF(OR(F$29=Bron!$B$13,F$29=Bron!$B$14),'Bouwkost VOLT'!$P$49,0))))))</f>
        <v>0</v>
      </c>
      <c r="G37" s="35">
        <f t="shared" si="11"/>
        <v>0</v>
      </c>
      <c r="H37" s="798">
        <f>IF(OR(H$29=Bron!$B$8,H$29=Bron!$B$9,H$29=Bron!$B$15),'Bouwkost NB'!$P$50,IF(H$29=Bron!$B$10,'Bouwkost UITB'!$P$49,IF(H$29=Bron!$B$11,'Bouwkost VERB'!$P$49,IF(H$29=Bron!$B$12,'Bouwkost IER'!$P$48,IF(H$29=Bron!$B$16,'Bouwkost AK+VERB'!$P$49,IF(OR(H$29=Bron!$B$13,H$29=Bron!$B$14),'Bouwkost VOLT'!$P$49,0))))))</f>
        <v>0</v>
      </c>
      <c r="I37" s="35">
        <f t="shared" si="12"/>
        <v>0</v>
      </c>
      <c r="J37" s="98">
        <f t="shared" si="8"/>
        <v>0</v>
      </c>
      <c r="K37" s="35" t="e">
        <f>J37/J38</f>
        <v>#DIV/0!</v>
      </c>
    </row>
    <row r="38" spans="1:11" hidden="1" x14ac:dyDescent="0.3">
      <c r="A38" s="58" t="s">
        <v>110</v>
      </c>
      <c r="B38" s="802">
        <f>B36+B37</f>
        <v>0</v>
      </c>
      <c r="C38" s="35">
        <f t="shared" si="9"/>
        <v>0</v>
      </c>
      <c r="D38" s="802">
        <f>D36+D37</f>
        <v>0</v>
      </c>
      <c r="E38" s="35">
        <f t="shared" si="10"/>
        <v>0</v>
      </c>
      <c r="F38" s="802">
        <f>F36+F37</f>
        <v>0</v>
      </c>
      <c r="G38" s="35">
        <f t="shared" si="11"/>
        <v>0</v>
      </c>
      <c r="H38" s="802">
        <f>H36+H37</f>
        <v>0</v>
      </c>
      <c r="I38" s="35">
        <f t="shared" si="12"/>
        <v>0</v>
      </c>
      <c r="J38" s="598">
        <f t="shared" si="8"/>
        <v>0</v>
      </c>
      <c r="K38" s="35" t="e">
        <f>SUM(K33:K35)+K37</f>
        <v>#DIV/0!</v>
      </c>
    </row>
    <row r="39" spans="1:11" hidden="1" x14ac:dyDescent="0.3">
      <c r="A39" s="22" t="s">
        <v>128</v>
      </c>
      <c r="B39" s="301">
        <f>IFERROR(IF('Overzicht project'!$E$66=0,0,$B$84*('Overzicht BTA'!J$51/'Overzicht BTA'!J74)),0)</f>
        <v>0</v>
      </c>
      <c r="C39" s="301"/>
      <c r="D39" s="301">
        <f>IFERROR(IF('Overzicht project'!$E$66=0,0,$B$84*('Overzicht BTA'!J$52/'Overzicht BTA'!J74)),0)</f>
        <v>0</v>
      </c>
      <c r="E39" s="301"/>
      <c r="F39" s="301">
        <f>IFERROR(IF('Overzicht project'!$E$66=0,0,$B$84*('Overzicht BTA'!J$53/'Overzicht BTA'!J74)),0)</f>
        <v>0</v>
      </c>
      <c r="G39" s="301"/>
      <c r="H39" s="301">
        <f>IFERROR(IF('Overzicht project'!$E$66=0,0,$B$84*('Overzicht BTA'!J$54/'Overzicht BTA'!J74)),0)</f>
        <v>0</v>
      </c>
      <c r="I39" s="35"/>
      <c r="J39" s="98">
        <f>IF('Overzicht project'!$E$66=0,0,kunst!$M$11*('Overzicht BTA'!J30/'Overzicht project'!$E$66))</f>
        <v>0</v>
      </c>
      <c r="K39" s="35"/>
    </row>
    <row r="40" spans="1:11" hidden="1" x14ac:dyDescent="0.3">
      <c r="A40" s="22" t="s">
        <v>129</v>
      </c>
      <c r="B40" s="798">
        <f>IF(OR(B29=Bron!$B$8,B29=Bron!$B$9,B29=Bron!$B$15),'Bouwkost NB'!$P$52,IF(B29=Bron!$B$10,'Bouwkost UITB'!$P$51,IF(B29=Bron!$B$11,'Bouwkost VERB'!$P$51,IF(B29=Bron!$B$12,'Bouwkost IER'!$P$50,IF(B29=Bron!$B$16,'Bouwkost AK+VERB'!$P$51,IF(OR(B29=Bron!$B$13,B29=Bron!$B$14),'Bouwkost VOLT'!$P$51,0))))))</f>
        <v>0</v>
      </c>
      <c r="C40" s="35"/>
      <c r="D40" s="798">
        <f>IF(OR(D29=Bron!$B$8,D29=Bron!$B$9,D29=Bron!$B$15),'Bouwkost NB'!$P$52,IF(D29=Bron!$B$10,'Bouwkost UITB'!$P$51,IF(D29=Bron!$B$11,'Bouwkost VERB'!$P$51,IF(D29=Bron!$B$12,'Bouwkost IER'!$P$50,IF(D29=Bron!$B$16,'Bouwkost AK+VERB'!$P$51,IF(OR(D29=Bron!$B$13,D29=Bron!$B$14),'Bouwkost VOLT'!$P$51,0))))))</f>
        <v>0</v>
      </c>
      <c r="E40" s="35"/>
      <c r="F40" s="798">
        <f>IF(OR(F29=Bron!$B$8,F29=Bron!$B$9,F29=Bron!$B$15),'Bouwkost NB'!$P$52,IF(F29=Bron!$B$10,'Bouwkost UITB'!$P$51,IF(F29=Bron!$B$11,'Bouwkost VERB'!$P$51,IF(F29=Bron!$B$12,'Bouwkost IER'!$P$50,IF(F29=Bron!$B$16,'Bouwkost AK+VERB'!$P$51,IF(OR(F29=Bron!$B$13,F29=Bron!$B$14),'Bouwkost VOLT'!$P$51,0))))))</f>
        <v>0</v>
      </c>
      <c r="G40" s="35"/>
      <c r="H40" s="798">
        <f>IF(OR(H29=Bron!$B$8,H29=Bron!$B$9,H29=Bron!$B$15),'Bouwkost NB'!$P$52,IF(H29=Bron!$B$10,'Bouwkost UITB'!$P$51,IF(H29=Bron!$B$11,'Bouwkost VERB'!$P$51,IF(H29=Bron!$B$12,'Bouwkost IER'!$P$50,IF(H29=Bron!$B$16,'Bouwkost AK+VERB'!$P$51,IF(OR(H29=Bron!$B$13,H29=Bron!$B$14),'Bouwkost VOLT'!$P$51,0))))))</f>
        <v>0</v>
      </c>
      <c r="I40" s="35"/>
      <c r="J40" s="98">
        <f t="shared" ref="J40:J41" si="13">B40+D40+F40+H40</f>
        <v>0</v>
      </c>
      <c r="K40" s="35"/>
    </row>
    <row r="41" spans="1:11" hidden="1" x14ac:dyDescent="0.3">
      <c r="A41" s="22" t="s">
        <v>130</v>
      </c>
      <c r="B41" s="417">
        <f>IF(OR(B29=Bron!$B$8,B29=Bron!$B$9,B29=Bron!$B$15),'Bouwkost NB'!$P$57,IF(B29=Bron!$B$10,'Bouwkost UITB'!$P$56,IF(B29=Bron!$B$11,'Bouwkost VERB'!$P$56,IF(B29=Bron!$B$12,'Bouwkost IER'!$P$55,IF(B29=Bron!$B$16,'Bouwkost AK+VERB'!$P$56,IF(OR(B29=Bron!$B$13,B29=Bron!$B$14),'Bouwkost VOLT'!$P$56,0))))))</f>
        <v>0</v>
      </c>
      <c r="C41" s="35"/>
      <c r="D41" s="417">
        <f>IF(OR(D29=Bron!$B$8,D29=Bron!$B$9,D29=Bron!$B$15),'Bouwkost NB'!$P$57,IF(D29=Bron!$B$10,'Bouwkost UITB'!$P$56,IF(D29=Bron!$B$11,'Bouwkost VERB'!$P$56,IF(D29=Bron!$B$12,'Bouwkost IER'!$P$55,IF(D29=Bron!$B$16,'Bouwkost AK+VERB'!$P$56,IF(OR(D29=Bron!$B$13,D29=Bron!$B$14),'Bouwkost VOLT'!$P$56,0))))))</f>
        <v>0</v>
      </c>
      <c r="E41" s="35"/>
      <c r="F41" s="417">
        <f>IF(OR(F29=Bron!$B$8,F29=Bron!$B$9,F29=Bron!$B$15),'Bouwkost NB'!$P$57,IF(F29=Bron!$B$10,'Bouwkost UITB'!$P$56,IF(F29=Bron!$B$11,'Bouwkost VERB'!$P$56,IF(F29=Bron!$B$12,'Bouwkost IER'!$P$55,IF(F29=Bron!$B$16,'Bouwkost AK+VERB'!$P$56,IF(OR(F29=Bron!$B$13,F29=Bron!$B$14),'Bouwkost VOLT'!$P$56,0))))))</f>
        <v>0</v>
      </c>
      <c r="G41" s="35"/>
      <c r="H41" s="417">
        <f>IF(OR(H29=Bron!$B$8,H29=Bron!$B$9,H29=Bron!$B$15),'Bouwkost NB'!$P$57,IF(H29=Bron!$B$10,'Bouwkost UITB'!$P$56,IF(H29=Bron!$B$11,'Bouwkost VERB'!$P$56,IF(H29=Bron!$B$12,'Bouwkost IER'!$P$55,IF(H29=Bron!$B$16,'Bouwkost AK+VERB'!$P$56,IF(OR(H29=Bron!$B$13,H29=Bron!$B$14),'Bouwkost VOLT'!$P$56,0))))))</f>
        <v>0</v>
      </c>
      <c r="I41" s="35"/>
      <c r="J41" s="98">
        <f t="shared" si="13"/>
        <v>0</v>
      </c>
      <c r="K41" s="35"/>
    </row>
    <row r="42" spans="1:11" hidden="1" x14ac:dyDescent="0.3">
      <c r="A42" s="22" t="s">
        <v>131</v>
      </c>
      <c r="B42" s="301">
        <f>B32+B36+B40+B41</f>
        <v>0</v>
      </c>
      <c r="C42" s="301"/>
      <c r="D42" s="301">
        <f>D32+D36+D40+D41</f>
        <v>0</v>
      </c>
      <c r="E42" s="301"/>
      <c r="F42" s="301">
        <f>F32+F36+F40+F41</f>
        <v>0</v>
      </c>
      <c r="G42" s="301"/>
      <c r="H42" s="301">
        <f>H32+H36+H40+H41</f>
        <v>0</v>
      </c>
      <c r="I42" s="34"/>
      <c r="J42" s="34">
        <f>B42+D42+F42+H42</f>
        <v>0</v>
      </c>
      <c r="K42" s="34"/>
    </row>
    <row r="43" spans="1:11" ht="28.2" hidden="1" thickBot="1" x14ac:dyDescent="0.35">
      <c r="A43" s="1081" t="s">
        <v>1422</v>
      </c>
      <c r="B43" s="1082">
        <f>IF(OR(B29=Bron!$B$8,B29=Bron!$B$9,B29=Bron!$B$15),SUM('Bouwkost NB'!$P$59:$P$61),IF(B29=Bron!$B$10,SUM('Bouwkost UITB'!$P$58:$P$60),IF(B29=Bron!$B$11,SUM('Bouwkost VERB'!$P$58:$P$60),IF(B29=Bron!$B$12,SUM('Bouwkost IER'!$P$57:$P$59),IF(B29=Bron!$B$16,SUM('Bouwkost AK+VERB'!$P$58:$P$60),IF(OR(B29=Bron!$B$13,B29=Bron!$B$14),SUM('Bouwkost VOLT'!$P$58:$P$60),0))))))</f>
        <v>0</v>
      </c>
      <c r="C43" s="1080"/>
      <c r="D43" s="1082">
        <f>IF(OR(D29=Bron!$B$8,D29=Bron!$B$9,D29=Bron!$B$15),SUM('Bouwkost NB'!$P$59:$P$61),IF(D29=Bron!$B$10,SUM('Bouwkost UITB'!$P$58:$P$60),IF(D29=Bron!$B$11,SUM('Bouwkost VERB'!$P$58:$P$60),IF(D29=Bron!$B$12,SUM('Bouwkost IER'!$P$57:$P$59),IF(D29=Bron!$B$16,SUM('Bouwkost AK+VERB'!$P$58:$P$60),IF(OR(D29=Bron!$B$13,D29=Bron!$B$14),SUM('Bouwkost VOLT'!$P$58:$P$60),0))))))</f>
        <v>0</v>
      </c>
      <c r="E43" s="1080"/>
      <c r="F43" s="1082">
        <f>IF(OR(F29=Bron!$B$8,F29=Bron!$B$9,F29=Bron!$B$15),SUM('Bouwkost NB'!$P$59:$P$61),IF(F29=Bron!$B$10,SUM('Bouwkost UITB'!$P$58:$P$60),IF(F29=Bron!$B$11,SUM('Bouwkost VERB'!$P$58:$P$60),IF(F29=Bron!$B$12,SUM('Bouwkost IER'!$P$57:$P$59),IF(F29=Bron!$B$16,SUM('Bouwkost AK+VERB'!$P$58:$P$60),IF(OR(F29=Bron!$B$13,F29=Bron!$B$14),SUM('Bouwkost VOLT'!$P$58:$P$60),0))))))</f>
        <v>0</v>
      </c>
      <c r="G43" s="1080"/>
      <c r="H43" s="1082">
        <f>IF(OR(H29=Bron!$B$8,H29=Bron!$B$9,H29=Bron!$B$15),SUM('Bouwkost NB'!$P$59:$P$61),IF(H29=Bron!$B$10,SUM('Bouwkost UITB'!$P$58:$P$60),IF(H29=Bron!$B$11,SUM('Bouwkost VERB'!$P$58:$P$60),IF(H29=Bron!$B$12,SUM('Bouwkost IER'!$P$57:$P$59),IF(H29=Bron!$B$16,SUM('Bouwkost AK+VERB'!$P$58:$P$60),IF(OR(H29=Bron!$B$13,H29=Bron!$B$14),SUM('Bouwkost VOLT'!$P$58:$P$60),0))))))</f>
        <v>0</v>
      </c>
      <c r="I43" s="1080"/>
      <c r="J43" s="1083">
        <f>B43+D43+F43+H43</f>
        <v>0</v>
      </c>
      <c r="K43" s="1083"/>
    </row>
    <row r="44" spans="1:11" ht="15" hidden="1" thickTop="1" x14ac:dyDescent="0.3">
      <c r="A44" s="75" t="s">
        <v>132</v>
      </c>
      <c r="B44" s="417">
        <f>B42+B37+B39</f>
        <v>0</v>
      </c>
      <c r="C44" s="98"/>
      <c r="D44" s="417">
        <f>D42+D37+D39</f>
        <v>0</v>
      </c>
      <c r="E44" s="98"/>
      <c r="F44" s="417">
        <f>F42+F37+F39</f>
        <v>0</v>
      </c>
      <c r="G44" s="98"/>
      <c r="H44" s="417">
        <f>H42+H37+H39</f>
        <v>0</v>
      </c>
      <c r="I44" s="98"/>
      <c r="J44" s="98">
        <f>B44+D44+F44+H44</f>
        <v>0</v>
      </c>
      <c r="K44" s="98"/>
    </row>
    <row r="45" spans="1:11" hidden="1" x14ac:dyDescent="0.3">
      <c r="A45" s="19" t="s">
        <v>133</v>
      </c>
      <c r="B45" s="18"/>
      <c r="C45" s="18"/>
      <c r="D45" s="18"/>
      <c r="E45" s="18"/>
      <c r="F45" s="18"/>
      <c r="G45" s="18"/>
      <c r="H45" s="18"/>
      <c r="I45" s="18"/>
      <c r="J45" s="18"/>
      <c r="K45" s="18"/>
    </row>
    <row r="46" spans="1:11" hidden="1" outlineLevel="1" x14ac:dyDescent="0.3">
      <c r="A46" s="380" t="s">
        <v>147</v>
      </c>
      <c r="B46" s="301">
        <f>IF(OR(B29=Bron!$B$9),ROUND(('uitgebreide raming'!B32+'uitgebreide raming'!B36+'uitgebreide raming'!B41)*'Overzicht BTA'!$I$57*('Overzicht BTA'!$J$57/('Overzicht BTA'!$J$57+'Overzicht BTA'!$L$57))+('uitgebreide raming'!B32+'uitgebreide raming'!B36+'uitgebreide raming'!B41)*'Overzicht BTA'!$K$57*('Overzicht BTA'!$L$57/('Overzicht BTA'!$J$57+'Overzicht BTA'!$L$57)),2),IF(Bron!$B$14='uitgebreide raming'!B29,ROUND(('uitgebreide raming'!B32+'uitgebreide raming'!B36+'uitgebreide raming'!B41)*'Overzicht BTA'!$I$63*('Overzicht BTA'!$J$63/('Overzicht BTA'!$J$63+'Overzicht BTA'!$L$63))+('uitgebreide raming'!B32+'uitgebreide raming'!B36+'uitgebreide raming'!B41)*'Overzicht BTA'!$K$63*('Overzicht BTA'!$L$63/('Overzicht BTA'!$J$63+'Overzicht BTA'!$L$63)),2),ROUND((B32+B36+B41)*C46,2)))</f>
        <v>0</v>
      </c>
      <c r="C46" s="803">
        <f>IF(ISNUMBER(MATCH(B29,'Overzicht BTA'!$H$57:$H$63,0)),VLOOKUP(B29,'Overzicht BTA'!$H$57:$I$63,2,FALSE),0.21)</f>
        <v>0.21</v>
      </c>
      <c r="D46" s="301">
        <f>IF(OR(D29=Bron!$B$9),ROUND(('uitgebreide raming'!D32+'uitgebreide raming'!D36+'uitgebreide raming'!D41)*'Overzicht BTA'!$I$57*('Overzicht BTA'!$J$57/('Overzicht BTA'!$J$57+'Overzicht BTA'!$L$57))+('uitgebreide raming'!D32+'uitgebreide raming'!D36+'uitgebreide raming'!D41)*'Overzicht BTA'!$K$57*('Overzicht BTA'!$L$57/('Overzicht BTA'!$J$57+'Overzicht BTA'!$L$57)),2),IF(Bron!$B$14='uitgebreide raming'!D29,ROUND(('uitgebreide raming'!D32+'uitgebreide raming'!D36+'uitgebreide raming'!D41)*'Overzicht BTA'!$I$63*('Overzicht BTA'!$J$63/('Overzicht BTA'!$J$63+'Overzicht BTA'!$L$63))+('uitgebreide raming'!D32+'uitgebreide raming'!D36+'uitgebreide raming'!D41)*'Overzicht BTA'!$K$63*('Overzicht BTA'!$L$63/('Overzicht BTA'!$J$63+'Overzicht BTA'!$L$63)),2),ROUND((D32+D36+D41)*E46,2)))</f>
        <v>0</v>
      </c>
      <c r="E46" s="803">
        <f>IF(ISNUMBER(MATCH(D29,'Overzicht BTA'!$H$57:$H$63,0)),VLOOKUP(D29,'Overzicht BTA'!$H$57:$I$63,2,FALSE),0.21)</f>
        <v>0.21</v>
      </c>
      <c r="F46" s="301">
        <f>IF(OR(F29=Bron!$B$9),ROUND(('uitgebreide raming'!F32+'uitgebreide raming'!F36+'uitgebreide raming'!F41)*'Overzicht BTA'!$I$57*('Overzicht BTA'!$J$57/('Overzicht BTA'!$J$57+'Overzicht BTA'!$L$57))+('uitgebreide raming'!F32+'uitgebreide raming'!F36+'uitgebreide raming'!F41)*'Overzicht BTA'!$K$57*('Overzicht BTA'!$L$57/('Overzicht BTA'!$J$57+'Overzicht BTA'!$L$57)),2),IF(Bron!$B$14='uitgebreide raming'!F29,ROUND(('uitgebreide raming'!F32+'uitgebreide raming'!F36+'uitgebreide raming'!F41)*'Overzicht BTA'!$I$63*('Overzicht BTA'!$J$63/('Overzicht BTA'!$J$63+'Overzicht BTA'!$L$63))+('uitgebreide raming'!F32+'uitgebreide raming'!F36+'uitgebreide raming'!F41)*'Overzicht BTA'!$K$63*('Overzicht BTA'!$L$63/('Overzicht BTA'!$J$63+'Overzicht BTA'!$L$63)),2),ROUND((F32+F36+F41)*G46,2)))</f>
        <v>0</v>
      </c>
      <c r="G46" s="803">
        <f>IF(ISNUMBER(MATCH(F29,'Overzicht BTA'!$H$57:$H$63,0)),VLOOKUP(F29,'Overzicht BTA'!$H$57:$I$63,2,FALSE),0.21)</f>
        <v>0.21</v>
      </c>
      <c r="H46" s="301">
        <f>IF(OR(H29=Bron!$B$9),ROUND(('uitgebreide raming'!H32+'uitgebreide raming'!H36+'uitgebreide raming'!H41)*'Overzicht BTA'!$I$57*('Overzicht BTA'!$J$57/('Overzicht BTA'!$J$57+'Overzicht BTA'!$L$57))+('uitgebreide raming'!H32+'uitgebreide raming'!H36+'uitgebreide raming'!H41)*'Overzicht BTA'!$K$57*('Overzicht BTA'!$L$57/('Overzicht BTA'!$J$57+'Overzicht BTA'!$L$57)),2),IF(Bron!$B$14='uitgebreide raming'!H29,ROUND(('uitgebreide raming'!H32+'uitgebreide raming'!H36+'uitgebreide raming'!H41)*'Overzicht BTA'!$I$63*('Overzicht BTA'!$J$63/('Overzicht BTA'!$J$63+'Overzicht BTA'!$L$63))+('uitgebreide raming'!H32+'uitgebreide raming'!H36+'uitgebreide raming'!H41)*'Overzicht BTA'!$K$63*('Overzicht BTA'!$L$63/('Overzicht BTA'!$J$63+'Overzicht BTA'!$L$63)),2),ROUND((H32+H36+H41)*I46,2)))</f>
        <v>0</v>
      </c>
      <c r="I46" s="803">
        <f>IF(ISNUMBER(MATCH(H29,'Overzicht BTA'!$H$57:$H$63,0)),VLOOKUP(H29,'Overzicht BTA'!$H$57:$I$63,2,FALSE),0.21)</f>
        <v>0.21</v>
      </c>
      <c r="J46" s="301">
        <f t="shared" ref="J46" si="14">B46+D46+F46+H46</f>
        <v>0</v>
      </c>
      <c r="K46" s="18"/>
    </row>
    <row r="47" spans="1:11" hidden="1" outlineLevel="1" x14ac:dyDescent="0.3">
      <c r="A47" s="380" t="s">
        <v>135</v>
      </c>
      <c r="B47" s="301">
        <f>ROUND(B39*C47,2)</f>
        <v>0</v>
      </c>
      <c r="C47" s="35">
        <v>0.06</v>
      </c>
      <c r="D47" s="301">
        <f>ROUND(D39*E47,2)</f>
        <v>0</v>
      </c>
      <c r="E47" s="35">
        <v>0.06</v>
      </c>
      <c r="F47" s="301">
        <f>ROUND(F39*G47,2)</f>
        <v>0</v>
      </c>
      <c r="G47" s="35">
        <v>0.06</v>
      </c>
      <c r="H47" s="301">
        <f>ROUND(H39*I47,2)</f>
        <v>0</v>
      </c>
      <c r="I47" s="35">
        <v>0.06</v>
      </c>
      <c r="J47" s="301">
        <f>B47+D47+F47+H47</f>
        <v>0</v>
      </c>
      <c r="K47" s="18"/>
    </row>
    <row r="48" spans="1:11" hidden="1" outlineLevel="1" x14ac:dyDescent="0.3">
      <c r="A48" s="380" t="s">
        <v>136</v>
      </c>
      <c r="B48" s="301">
        <f>ROUND((B37+B40)*C48,2)</f>
        <v>0</v>
      </c>
      <c r="C48" s="35">
        <v>0.21</v>
      </c>
      <c r="D48" s="301">
        <f>ROUND((D37+D40)*E48,2)</f>
        <v>0</v>
      </c>
      <c r="E48" s="35">
        <v>0.21</v>
      </c>
      <c r="F48" s="301">
        <f>ROUND((F37+F40)*G48,2)</f>
        <v>0</v>
      </c>
      <c r="G48" s="35">
        <v>0.21</v>
      </c>
      <c r="H48" s="301">
        <f>ROUND((H37+H40)*I48,2)</f>
        <v>0</v>
      </c>
      <c r="I48" s="35">
        <v>0.21</v>
      </c>
      <c r="J48" s="301">
        <f>B48+D48+F48+H48</f>
        <v>0</v>
      </c>
      <c r="K48" s="18"/>
    </row>
    <row r="49" spans="1:12" hidden="1" outlineLevel="1" x14ac:dyDescent="0.3">
      <c r="A49" s="380" t="s">
        <v>137</v>
      </c>
      <c r="B49" s="417">
        <f>ROUND(IF(OR(B29=Bron!$B$8,B29=Bron!$B$9,B29=Bron!$B$15),'Bouwkost NB'!$P$64,IF(B29=Bron!$B$10,'Bouwkost UITB'!$P$63,IF(B29=Bron!$B$11,'Bouwkost VERB'!$P$63,IF(B29=Bron!$B$12,'Bouwkost IER'!$P$62,IF(B29=Bron!$B$16,'Bouwkost AK+VERB'!$P$63,IF(OR(B29=Bron!$B$13,B29=Bron!$B$14),'Bouwkost VOLT'!$P$63,0)))))),2)</f>
        <v>0</v>
      </c>
      <c r="C49" s="634">
        <f>IFERROR(B49/(B44-B39-B37),0)</f>
        <v>0</v>
      </c>
      <c r="D49" s="417">
        <f>ROUND(IF(OR(D29=Bron!$B$8,D29=Bron!$B$9,D29=Bron!$B$15),'Bouwkost NB'!$P$64,IF(D29=Bron!$B$10,'Bouwkost UITB'!$P$63,IF(D29=Bron!$B$11,'Bouwkost VERB'!$P$63,IF(D29=Bron!$B$12,'Bouwkost IER'!$P$62,IF(D29=Bron!$B$16,'Bouwkost AK+VERB'!$P$63,IF(OR(D29=Bron!$B$13,D29=Bron!$B$14),'Bouwkost VOLT'!$P$63,0)))))),2)</f>
        <v>0</v>
      </c>
      <c r="E49" s="634">
        <f>IFERROR(D49/(D44-D39-D37),0)</f>
        <v>0</v>
      </c>
      <c r="F49" s="417">
        <f>ROUND(IF(OR(F29=Bron!$B$8,F29=Bron!$B$9,F29=Bron!$B$15),'Bouwkost NB'!$P$64,IF(F29=Bron!$B$10,'Bouwkost UITB'!$P$63,IF(F29=Bron!$B$11,'Bouwkost VERB'!$P$63,IF(F29=Bron!$B$12,'Bouwkost IER'!$P$62,IF(F29=Bron!$B$16,'Bouwkost AK+VERB'!$P$63,IF(OR(F29=Bron!$B$13,F29=Bron!$B$14),'Bouwkost VOLT'!$P$63,0)))))),2)</f>
        <v>0</v>
      </c>
      <c r="G49" s="634">
        <f>IFERROR(F49/(F44-F39-F37),0)</f>
        <v>0</v>
      </c>
      <c r="H49" s="417">
        <f>ROUND(IF(OR(H29=Bron!$B$8,H29=Bron!$B$9,H29=Bron!$B$15),'Bouwkost NB'!$P$64,IF(H29=Bron!$B$10,'Bouwkost UITB'!$P$63,IF(H29=Bron!$B$11,'Bouwkost VERB'!$P$63,IF(H29=Bron!$B$12,'Bouwkost IER'!$P$62,IF(H29=Bron!$B$16,'Bouwkost AK+VERB'!$P$63,IF(OR(H29=Bron!$B$13,H29=Bron!$B$14),'Bouwkost VOLT'!$P$63,0)))))),2)</f>
        <v>0</v>
      </c>
      <c r="I49" s="634">
        <f>IFERROR(H49/(H44-H39-H37),0)</f>
        <v>0</v>
      </c>
      <c r="J49" s="301">
        <f>B49+D49+F49+H49</f>
        <v>0</v>
      </c>
      <c r="L49" s="52"/>
    </row>
    <row r="50" spans="1:12" hidden="1" outlineLevel="1" x14ac:dyDescent="0.3">
      <c r="A50" s="380" t="s">
        <v>138</v>
      </c>
      <c r="B50" s="301">
        <f>ROUND(B49*C50,2)</f>
        <v>0</v>
      </c>
      <c r="C50" s="35">
        <v>0.21</v>
      </c>
      <c r="D50" s="301">
        <f>ROUND(D49*E50,2)</f>
        <v>0</v>
      </c>
      <c r="E50" s="35">
        <v>0.21</v>
      </c>
      <c r="F50" s="301">
        <f>ROUND(F49*G50,2)</f>
        <v>0</v>
      </c>
      <c r="G50" s="35">
        <v>0.21</v>
      </c>
      <c r="H50" s="301">
        <f>ROUND(H49*I50,2)</f>
        <v>0</v>
      </c>
      <c r="I50" s="35">
        <v>0.21</v>
      </c>
      <c r="J50" s="301">
        <f>B50+D50+F50+H50</f>
        <v>0</v>
      </c>
    </row>
    <row r="51" spans="1:12" hidden="1" outlineLevel="1" x14ac:dyDescent="0.3">
      <c r="A51" s="383" t="s">
        <v>139</v>
      </c>
      <c r="B51" s="804">
        <f>SUM(B46:B50)</f>
        <v>0</v>
      </c>
      <c r="D51" s="804">
        <f>SUM(D46:D50)</f>
        <v>0</v>
      </c>
      <c r="F51" s="804">
        <f>SUM(F46:F50)</f>
        <v>0</v>
      </c>
      <c r="H51" s="804">
        <f>SUM(H46:H50)</f>
        <v>0</v>
      </c>
      <c r="J51" s="384">
        <f>B51+D51+F51+H51</f>
        <v>0</v>
      </c>
    </row>
    <row r="52" spans="1:12" hidden="1" outlineLevel="1" x14ac:dyDescent="0.3">
      <c r="A52" s="582" t="s">
        <v>140</v>
      </c>
      <c r="B52" s="382">
        <f>B31+B30</f>
        <v>0</v>
      </c>
      <c r="C52" s="382"/>
      <c r="D52" s="382">
        <f>D31+D30</f>
        <v>0</v>
      </c>
      <c r="E52" s="382"/>
      <c r="F52" s="382">
        <f>F31+F30</f>
        <v>0</v>
      </c>
      <c r="G52" s="382"/>
      <c r="H52" s="382">
        <f>H31+H30</f>
        <v>0</v>
      </c>
      <c r="I52" s="382"/>
      <c r="J52" s="382">
        <f>J31+J30</f>
        <v>0</v>
      </c>
    </row>
    <row r="53" spans="1:12" hidden="1" collapsed="1" x14ac:dyDescent="0.3">
      <c r="A53" s="381" t="s">
        <v>141</v>
      </c>
      <c r="B53" s="801">
        <f>B51+B44</f>
        <v>0</v>
      </c>
      <c r="C53" s="20"/>
      <c r="D53" s="801">
        <f>D51+D44</f>
        <v>0</v>
      </c>
      <c r="E53" s="20"/>
      <c r="F53" s="801">
        <f>F51+F44</f>
        <v>0</v>
      </c>
      <c r="G53" s="20"/>
      <c r="H53" s="801">
        <f>H51+H44</f>
        <v>0</v>
      </c>
      <c r="I53" s="20"/>
      <c r="J53" s="382">
        <f t="shared" ref="J53" si="15">B53+D53+F53+H53</f>
        <v>0</v>
      </c>
    </row>
    <row r="54" spans="1:12" hidden="1" x14ac:dyDescent="0.3">
      <c r="A54" s="19"/>
      <c r="B54" s="18"/>
      <c r="C54" s="18"/>
      <c r="D54" s="18"/>
      <c r="E54" s="18"/>
      <c r="F54" s="18"/>
      <c r="G54" s="18"/>
      <c r="H54" s="18"/>
      <c r="I54" s="18"/>
      <c r="J54" s="18"/>
      <c r="K54" s="18"/>
    </row>
    <row r="55" spans="1:12" hidden="1" x14ac:dyDescent="0.3">
      <c r="A55" s="94" t="s">
        <v>116</v>
      </c>
      <c r="B55" s="1189" t="str">
        <f>'Overzicht BTA'!N3</f>
        <v>Kies de zorgvorm</v>
      </c>
      <c r="C55" s="1190"/>
      <c r="D55" s="1190"/>
      <c r="E55" s="1190"/>
      <c r="F55" s="1190"/>
      <c r="G55" s="1190"/>
      <c r="H55" s="1190"/>
      <c r="I55" s="1190"/>
      <c r="J55" s="1190"/>
      <c r="K55" s="1190"/>
    </row>
    <row r="56" spans="1:12" ht="15" hidden="1" thickBot="1" x14ac:dyDescent="0.35">
      <c r="A56" s="99" t="s">
        <v>117</v>
      </c>
      <c r="B56" s="108" t="str">
        <f>'Overzicht BTA'!N7</f>
        <v>Kies kostensoort</v>
      </c>
      <c r="C56" s="100" t="s">
        <v>118</v>
      </c>
      <c r="D56" s="108" t="str">
        <f>'Overzicht BTA'!N8</f>
        <v>Kies kostensoort</v>
      </c>
      <c r="E56" s="100" t="s">
        <v>119</v>
      </c>
      <c r="F56" s="108" t="str">
        <f>'Overzicht BTA'!N9</f>
        <v>Kies kostensoort</v>
      </c>
      <c r="G56" s="100" t="s">
        <v>119</v>
      </c>
      <c r="H56" s="108" t="str">
        <f>'Overzicht BTA'!N10</f>
        <v>Kies kostensoort</v>
      </c>
      <c r="I56" s="100" t="s">
        <v>119</v>
      </c>
      <c r="J56" s="99" t="s">
        <v>110</v>
      </c>
      <c r="K56" s="100" t="s">
        <v>119</v>
      </c>
    </row>
    <row r="57" spans="1:12" ht="15" hidden="1" thickTop="1" x14ac:dyDescent="0.3">
      <c r="A57" s="75" t="s">
        <v>120</v>
      </c>
      <c r="B57" s="798">
        <f>IF(OR(B56=Bron!$B$8,B56=Bron!$B$9,B56=Bron!$B$15),'Bouwkost NB'!$AA$17,IF(B56=Bron!$B$10,'Bouwkost UITB'!$AA$16,IF(B56=Bron!$B$11,'Bouwkost VERB'!$AA$16,IF(B56=Bron!$B$12,'Bouwkost IER'!$AA$15,IF(B56=Bron!$B$16,'Bouwkost AK+VERB'!$AA$16,IF(OR(B56=Bron!$B$13,B56=Bron!$B$14),'Bouwkost VOLT'!$AA$16,0))))))</f>
        <v>0</v>
      </c>
      <c r="C57" s="488"/>
      <c r="D57" s="798">
        <f>IF(OR(D56=Bron!$B$8,D56=Bron!$B$9,D56=Bron!$B$15),'Bouwkost NB'!$AA$17,IF(D56=Bron!$B$10,'Bouwkost UITB'!$AA$16,IF(D56=Bron!$B$11,'Bouwkost VERB'!$AA$16,IF(D56=Bron!$B$12,'Bouwkost IER'!$AA$15,IF(D56=Bron!$B$16,'Bouwkost AK+VERB'!$AA$16,IF(OR(D56=Bron!$B$13,D56=Bron!$B$14),'Bouwkost VOLT'!$AA$16,0))))))</f>
        <v>0</v>
      </c>
      <c r="E57" s="488"/>
      <c r="F57" s="798">
        <f>IF(OR(F56=Bron!$B$8,F56=Bron!$B$9,F56=Bron!$B$15),'Bouwkost NB'!$AA$17,IF(F56=Bron!$B$10,'Bouwkost UITB'!$AA$16,IF(F56=Bron!$B$11,'Bouwkost VERB'!$AA$16,IF(F56=Bron!$B$12,'Bouwkost IER'!$AA$15,IF(F56=Bron!$B$16,'Bouwkost AK+VERB'!$AA$16,IF(OR(F56=Bron!$B$13,F56=Bron!$B$14),'Bouwkost VOLT'!$AA$16,0))))))</f>
        <v>0</v>
      </c>
      <c r="G57" s="488"/>
      <c r="H57" s="798">
        <f>IF(OR(H56=Bron!$B$8,H56=Bron!$B$9,H56=Bron!$B$15),'Bouwkost NB'!$AA$17,IF(H56=Bron!$B$10,'Bouwkost UITB'!$AA$16,IF(H56=Bron!$B$11,'Bouwkost VERB'!$AA$16,IF(H56=Bron!$B$12,'Bouwkost IER'!$AA$15,IF(H56=Bron!$B$16,'Bouwkost AK+VERB'!$AA$16,IF(OR(H56=Bron!$B$13,H56=Bron!$B$14),'Bouwkost VOLT'!$AA$16,0))))))</f>
        <v>0</v>
      </c>
      <c r="I57" s="488"/>
      <c r="J57" s="98">
        <f t="shared" ref="J57:J58" si="16">B57+D57+F57+H57</f>
        <v>0</v>
      </c>
      <c r="K57" s="488"/>
      <c r="L57" s="52"/>
    </row>
    <row r="58" spans="1:12" hidden="1" x14ac:dyDescent="0.3">
      <c r="A58" s="75" t="s">
        <v>121</v>
      </c>
      <c r="B58" s="417">
        <f>IF(OR(B56=Bron!$B$8,B56=Bron!$B$9,B56=Bron!$B$15),'Bouwkost NB'!$AA$20,IF(B56=Bron!$B$10,'Bouwkost UITB'!$AA$19,IF(B56=Bron!$B$11,'Bouwkost VERB'!$AA$19,IF(B56=Bron!$B$12,'Bouwkost IER'!$AA$18,IF(B56=Bron!$B$16,'Bouwkost AK+VERB'!$AA$19,IF(OR(B56=Bron!$B$13,B56=Bron!$B$14),'Bouwkost VOLT'!$AA$19,0))))))</f>
        <v>0</v>
      </c>
      <c r="C58" s="488"/>
      <c r="D58" s="417">
        <f>IF(OR(D56=Bron!$B$8,D56=Bron!$B$9,D56=Bron!$B$15),'Bouwkost NB'!$AA$20,IF(D56=Bron!$B$10,'Bouwkost UITB'!$AA$19,IF(D56=Bron!$B$11,'Bouwkost VERB'!$AA$19,IF(D56=Bron!$B$12,'Bouwkost IER'!$AA$18,IF(D56=Bron!$B$16,'Bouwkost AK+VERB'!$AA$19,IF(OR(D56=Bron!$B$13,D56=Bron!$B$14),'Bouwkost VOLT'!$AA$19,0))))))</f>
        <v>0</v>
      </c>
      <c r="E58" s="488"/>
      <c r="F58" s="417">
        <f>IF(OR(F56=Bron!$B$8,F56=Bron!$B$9,F56=Bron!$B$15),'Bouwkost NB'!$AA$20,IF(F56=Bron!$B$10,'Bouwkost UITB'!$AA$19,IF(F56=Bron!$B$11,'Bouwkost VERB'!$AA$19,IF(F56=Bron!$B$12,'Bouwkost IER'!$AA$18,IF(F56=Bron!$B$16,'Bouwkost AK+VERB'!$AA$19,IF(OR(F56=Bron!$B$13,F56=Bron!$B$14),'Bouwkost VOLT'!$AA$19,0))))))</f>
        <v>0</v>
      </c>
      <c r="G58" s="488"/>
      <c r="H58" s="417">
        <f>IF(OR(H56=Bron!$B$8,H56=Bron!$B$9,H56=Bron!$B$15),'Bouwkost NB'!$AA$20,IF(H56=Bron!$B$10,'Bouwkost UITB'!$AA$19,IF(H56=Bron!$B$11,'Bouwkost VERB'!$AA$19,IF(H56=Bron!$B$12,'Bouwkost IER'!$AA$18,IF(H56=Bron!$B$16,'Bouwkost AK+VERB'!$AA$19,IF(OR(H56=Bron!$B$13,H56=Bron!$B$14),'Bouwkost VOLT'!$AA$19,0))))))</f>
        <v>0</v>
      </c>
      <c r="I58" s="488"/>
      <c r="J58" s="98">
        <f t="shared" si="16"/>
        <v>0</v>
      </c>
      <c r="K58" s="488"/>
      <c r="L58" s="52"/>
    </row>
    <row r="59" spans="1:12" hidden="1" x14ac:dyDescent="0.3">
      <c r="A59" s="75" t="s">
        <v>122</v>
      </c>
      <c r="B59" s="798">
        <f>IF(OR(B56=Bron!$B$8,B56=Bron!$B$9,B56=Bron!$B$15),'Bouwkost NB'!$AA$55,IF(B56=Bron!$B$10,'Bouwkost UITB'!$AA$54,IF(B56=Bron!$B$11,'Bouwkost VERB'!$AA$54,IF(B56=Bron!$B$12,'Bouwkost IER'!$AA$53,IF(B56=Bron!$B$16,'Bouwkost AK+VERB'!$AA$54,IF(OR(B56=Bron!$B$13,B56=Bron!$B$14),'Bouwkost VOLT'!$AA$54,0))))))</f>
        <v>0</v>
      </c>
      <c r="C59" s="75"/>
      <c r="D59" s="798">
        <f>IF(OR(D56=Bron!$B$8,D56=Bron!$B$9,D56=Bron!$B$15),'Bouwkost NB'!$AA$55,IF(D56=Bron!$B$10,'Bouwkost UITB'!$AA$54,IF(D56=Bron!$B$11,'Bouwkost VERB'!$AA$54,IF(D56=Bron!$B$12,'Bouwkost IER'!$AA$53,IF(D56=Bron!$B$16,'Bouwkost AK+VERB'!$AA$54,IF(OR(D56=Bron!$B$13,D56=Bron!$B$14),'Bouwkost VOLT'!$AA$54,0))))))</f>
        <v>0</v>
      </c>
      <c r="E59" s="75"/>
      <c r="F59" s="798">
        <f>IF(OR(F56=Bron!$B$8,F56=Bron!$B$9,F56=Bron!$B$15),'Bouwkost NB'!$AA$55,IF(F56=Bron!$B$10,'Bouwkost UITB'!$AA$54,IF(F56=Bron!$B$11,'Bouwkost VERB'!$AA$54,IF(F56=Bron!$B$12,'Bouwkost IER'!$AA$53,IF(F56=Bron!$B$16,'Bouwkost AK+VERB'!$AA$54,IF(OR(F56=Bron!$B$13,F56=Bron!$B$14),'Bouwkost VOLT'!$AA$54,0))))))</f>
        <v>0</v>
      </c>
      <c r="G59" s="75"/>
      <c r="H59" s="798">
        <f>IF(OR(H56=Bron!$B$8,H56=Bron!$B$9,H56=Bron!$B$15),'Bouwkost NB'!$AA$55,IF(H56=Bron!$B$10,'Bouwkost UITB'!$AA$54,IF(H56=Bron!$B$11,'Bouwkost VERB'!$AA$54,IF(H56=Bron!$B$12,'Bouwkost IER'!$AA$53,IF(H56=Bron!$B$16,'Bouwkost AK+VERB'!$AA$54,IF(OR(H56=Bron!$B$13,H56=Bron!$B$14),'Bouwkost VOLT'!$AA$54,0))))))</f>
        <v>0</v>
      </c>
      <c r="I59" s="75"/>
      <c r="J59" s="98">
        <f>B59+D59+F59+H59</f>
        <v>0</v>
      </c>
      <c r="K59" s="75"/>
    </row>
    <row r="60" spans="1:12" hidden="1" x14ac:dyDescent="0.3">
      <c r="A60" s="48" t="s">
        <v>123</v>
      </c>
      <c r="B60" s="798">
        <f>IF(OR(B56=Bron!$B$8,B56=Bron!$B$9,B56=Bron!$B$15),'Bouwkost NB'!$AA$25,IF(B56=Bron!$B$10,'Bouwkost UITB'!$AA$24,IF(B56=Bron!$B$11,'Bouwkost VERB'!$AA$24,IF(B56=Bron!$B$12,'Bouwkost IER'!$AA$23,IF(B56=Bron!$B$16,'Bouwkost AK+VERB'!$AA$24,IF(OR(B56=Bron!$B$13,B56=Bron!$B$14),'Bouwkost VOLT'!$AA$24,0))))))</f>
        <v>0</v>
      </c>
      <c r="C60" s="35">
        <f>IF($B$65=0,0,B60/$B$65)</f>
        <v>0</v>
      </c>
      <c r="D60" s="798">
        <f>IF(OR(D56=Bron!$B$8,D56=Bron!$B$9,D56=Bron!$B$15),'Bouwkost NB'!$AA$25,IF(D56=Bron!$B$10,'Bouwkost UITB'!$AA$24,IF(D56=Bron!$B$11,'Bouwkost VERB'!$AA$24,IF(D56=Bron!$B$12,'Bouwkost IER'!$AA$23,IF(D56=Bron!$B$16,'Bouwkost AK+VERB'!$AA$24,IF(OR(D56=Bron!$B$13,D56=Bron!$B$14),'Bouwkost VOLT'!$AA$24,0))))))</f>
        <v>0</v>
      </c>
      <c r="E60" s="35">
        <f>IF($D$65=0,0,D60/$D$65)</f>
        <v>0</v>
      </c>
      <c r="F60" s="798">
        <f>IF(OR(F56=Bron!$B$8,F56=Bron!$B$9,F56=Bron!$B$15),'Bouwkost NB'!$AA$25,IF(F56=Bron!$B$10,'Bouwkost UITB'!$AA$24,IF(F56=Bron!$B$11,'Bouwkost VERB'!$AA$24,IF(F56=Bron!$B$12,'Bouwkost IER'!$AA$23,IF(F56=Bron!$B$16,'Bouwkost AK+VERB'!$AA$24,IF(OR(F56=Bron!$B$13,F56=Bron!$B$14),'Bouwkost VOLT'!$AA$24,0))))))</f>
        <v>0</v>
      </c>
      <c r="G60" s="35">
        <f>IF($F$65=0,0,F60/$F$65)</f>
        <v>0</v>
      </c>
      <c r="H60" s="798">
        <f>IF(OR(H56=Bron!$B$8,H56=Bron!$B$9,H56=Bron!$B$15),'Bouwkost NB'!$AA$25,IF(H56=Bron!$B$10,'Bouwkost UITB'!$AA$24,IF(H56=Bron!$B$11,'Bouwkost VERB'!$AA$24,IF(H56=Bron!$B$12,'Bouwkost IER'!$AA$23,IF(H56=Bron!$B$16,'Bouwkost AK+VERB'!$AA$24,IF(OR(H56=Bron!$B$13,H56=Bron!$B$14),'Bouwkost VOLT'!$AA$24,0))))))</f>
        <v>0</v>
      </c>
      <c r="I60" s="35">
        <f>IF($H$65=0,0,H60/$H$65)</f>
        <v>0</v>
      </c>
      <c r="J60" s="98">
        <f t="shared" ref="J60:J65" si="17">B60+D60+F60+H60</f>
        <v>0</v>
      </c>
      <c r="K60" s="35" t="e">
        <f>J60/J65</f>
        <v>#DIV/0!</v>
      </c>
    </row>
    <row r="61" spans="1:12" hidden="1" x14ac:dyDescent="0.3">
      <c r="A61" s="48" t="s">
        <v>124</v>
      </c>
      <c r="B61" s="798">
        <f>IF(OR(B56=Bron!$B$8,B56=Bron!$B$9,B56=Bron!$B$15),'Bouwkost NB'!$AA$32,IF(B56=Bron!$B$10,'Bouwkost UITB'!$AA$31,IF(B56=Bron!$B$11,'Bouwkost VERB'!$AA$31,IF(B56=Bron!$B$12,'Bouwkost IER'!$AA$30,IF(B56=Bron!$B$16,'Bouwkost AK+VERB'!$AA$31,IF(OR(B56=Bron!$B$13,B56=Bron!$B$14),'Bouwkost VOLT'!$AA$31,0))))))</f>
        <v>0</v>
      </c>
      <c r="C61" s="35">
        <f t="shared" ref="C61:C65" si="18">IF($B$65=0,0,B61/$B$65)</f>
        <v>0</v>
      </c>
      <c r="D61" s="798">
        <f>IF(OR(D56=Bron!$B$8,D56=Bron!$B$9,D56=Bron!$B$15),'Bouwkost NB'!$AA$32,IF(D56=Bron!$B$10,'Bouwkost UITB'!$AA$31,IF(D56=Bron!$B$11,'Bouwkost VERB'!$AA$31,IF(D56=Bron!$B$12,'Bouwkost IER'!$AA$30,IF(D56=Bron!$B$16,'Bouwkost AK+VERB'!$AA$31,IF(OR(D56=Bron!$B$13,D56=Bron!$B$14),'Bouwkost VOLT'!$AA$31,0))))))</f>
        <v>0</v>
      </c>
      <c r="E61" s="35">
        <f t="shared" ref="E61:E65" si="19">IF($D$65=0,0,D61/$D$65)</f>
        <v>0</v>
      </c>
      <c r="F61" s="798">
        <f>IF(OR(F56=Bron!$B$8,F56=Bron!$B$9,F56=Bron!$B$15),'Bouwkost NB'!$AA$32,IF(F56=Bron!$B$10,'Bouwkost UITB'!$AA$31,IF(F56=Bron!$B$11,'Bouwkost VERB'!$AA$31,IF(F56=Bron!$B$12,'Bouwkost IER'!$AA$30,IF(F56=Bron!$B$16,'Bouwkost AK+VERB'!$AA$31,IF(OR(F56=Bron!$B$13,F56=Bron!$B$14),'Bouwkost VOLT'!$AA$31,0))))))</f>
        <v>0</v>
      </c>
      <c r="G61" s="35">
        <f t="shared" ref="G61:G65" si="20">IF($F$65=0,0,F61/$F$65)</f>
        <v>0</v>
      </c>
      <c r="H61" s="798">
        <f>IF(OR(H56=Bron!$B$8,H56=Bron!$B$9,H56=Bron!$B$15),'Bouwkost NB'!$AA$32,IF(H56=Bron!$B$10,'Bouwkost UITB'!$AA$31,IF(H56=Bron!$B$11,'Bouwkost VERB'!$AA$31,IF(H56=Bron!$B$12,'Bouwkost IER'!$AA$30,IF(H56=Bron!$B$16,'Bouwkost AK+VERB'!$AA$31,IF(OR(H56=Bron!$B$13,H56=Bron!$B$14),'Bouwkost VOLT'!$AA$31,0))))))</f>
        <v>0</v>
      </c>
      <c r="I61" s="35">
        <f t="shared" ref="I61:I65" si="21">IF($H$65=0,0,H61/$H$65)</f>
        <v>0</v>
      </c>
      <c r="J61" s="98">
        <f t="shared" si="17"/>
        <v>0</v>
      </c>
      <c r="K61" s="35" t="e">
        <f>J61/J65</f>
        <v>#DIV/0!</v>
      </c>
    </row>
    <row r="62" spans="1:12" hidden="1" x14ac:dyDescent="0.3">
      <c r="A62" s="48" t="s">
        <v>125</v>
      </c>
      <c r="B62" s="798">
        <f>IF(OR(B56=Bron!$B$8,B56=Bron!$B$9,B56=Bron!$B$15),'Bouwkost NB'!$AA$40,IF(B56=Bron!$B$10,'Bouwkost UITB'!$AA$39,IF(B56=Bron!$B$11,'Bouwkost VERB'!$AA$39,IF(B56=Bron!$B$12,'Bouwkost IER'!$AA$38,IF(B56=Bron!$B$16,'Bouwkost AK+VERB'!$AA$39,IF(OR(B56=Bron!$B$13,B56=Bron!$B$14),'Bouwkost VOLT'!$AA$39,0))))))</f>
        <v>0</v>
      </c>
      <c r="C62" s="35">
        <f t="shared" si="18"/>
        <v>0</v>
      </c>
      <c r="D62" s="798">
        <f>IF(OR(D56=Bron!$B$8,D56=Bron!$B$9,D56=Bron!$B$15),'Bouwkost NB'!$AA$40,IF(D56=Bron!$B$10,'Bouwkost UITB'!$AA$39,IF(D56=Bron!$B$11,'Bouwkost VERB'!$AA$39,IF(D56=Bron!$B$12,'Bouwkost IER'!$AA$38,IF(D56=Bron!$B$16,'Bouwkost AK+VERB'!$AA$39,IF(OR(D56=Bron!$B$13,D56=Bron!$B$14),'Bouwkost VOLT'!$AA$39,0))))))</f>
        <v>0</v>
      </c>
      <c r="E62" s="35">
        <f t="shared" si="19"/>
        <v>0</v>
      </c>
      <c r="F62" s="798">
        <f>IF(OR(F56=Bron!$B$8,F56=Bron!$B$9,F56=Bron!$B$15),'Bouwkost NB'!$AA$40,IF(F56=Bron!$B$10,'Bouwkost UITB'!$AA$39,IF(F56=Bron!$B$11,'Bouwkost VERB'!$AA$39,IF(F56=Bron!$B$12,'Bouwkost IER'!$AA$38,IF(F56=Bron!$B$16,'Bouwkost AK+VERB'!$AA$39,IF(OR(F56=Bron!$B$13,F56=Bron!$B$14),'Bouwkost VOLT'!$AA$39,0))))))</f>
        <v>0</v>
      </c>
      <c r="G62" s="35">
        <f t="shared" si="20"/>
        <v>0</v>
      </c>
      <c r="H62" s="798">
        <f>IF(OR(H56=Bron!$B$8,H56=Bron!$B$9,H56=Bron!$B$15),'Bouwkost NB'!$AA$40,IF(H56=Bron!$B$10,'Bouwkost UITB'!$AA$39,IF(H56=Bron!$B$11,'Bouwkost VERB'!$AA$39,IF(H56=Bron!$B$12,'Bouwkost IER'!$AA$38,IF(H56=Bron!$B$16,'Bouwkost AK+VERB'!$AA$39,IF(OR(H56=Bron!$B$13,H56=Bron!$B$14),'Bouwkost VOLT'!$AA$39,0))))))</f>
        <v>0</v>
      </c>
      <c r="I62" s="35">
        <f t="shared" si="21"/>
        <v>0</v>
      </c>
      <c r="J62" s="98">
        <f t="shared" si="17"/>
        <v>0</v>
      </c>
      <c r="K62" s="35" t="e">
        <f>J62/J65</f>
        <v>#DIV/0!</v>
      </c>
    </row>
    <row r="63" spans="1:12" hidden="1" x14ac:dyDescent="0.3">
      <c r="A63" s="58" t="s">
        <v>126</v>
      </c>
      <c r="B63" s="801">
        <f>SUM(B60:B62)</f>
        <v>0</v>
      </c>
      <c r="C63" s="35">
        <f t="shared" si="18"/>
        <v>0</v>
      </c>
      <c r="D63" s="801">
        <f>SUM(D60:D62)</f>
        <v>0</v>
      </c>
      <c r="E63" s="35">
        <f t="shared" si="19"/>
        <v>0</v>
      </c>
      <c r="F63" s="801">
        <f>SUM(F60:F62)</f>
        <v>0</v>
      </c>
      <c r="G63" s="35">
        <f t="shared" si="20"/>
        <v>0</v>
      </c>
      <c r="H63" s="801">
        <f>SUM(H60:H62)</f>
        <v>0</v>
      </c>
      <c r="I63" s="35">
        <f t="shared" si="21"/>
        <v>0</v>
      </c>
      <c r="J63" s="598">
        <f t="shared" si="17"/>
        <v>0</v>
      </c>
      <c r="K63" s="35" t="e">
        <f>J63/J65</f>
        <v>#DIV/0!</v>
      </c>
    </row>
    <row r="64" spans="1:12" hidden="1" x14ac:dyDescent="0.3">
      <c r="A64" s="48" t="s">
        <v>127</v>
      </c>
      <c r="B64" s="798">
        <f>IF(OR(B56=Bron!$B$8,B56=Bron!$B$9,B56=Bron!$B$15),'Bouwkost NB'!$AA$50,IF(B56=Bron!$B$10,'Bouwkost UITB'!$AA$49,IF(B56=Bron!$B$11,'Bouwkost VERB'!$AA$49,IF(B56=Bron!$B$12,'Bouwkost IER'!$AA$48,IF(B56=Bron!$B$16,'Bouwkost AK+VERB'!$AA$49,IF(OR(B56=Bron!$B$13,B56=Bron!$B$14),'Bouwkost VOLT'!$AA$49,0))))))</f>
        <v>0</v>
      </c>
      <c r="C64" s="35">
        <f t="shared" si="18"/>
        <v>0</v>
      </c>
      <c r="D64" s="798">
        <f>IF(OR(D56=Bron!$B$8,D56=Bron!$B$9,D56=Bron!$B$15),'Bouwkost NB'!$AA$50,IF(D56=Bron!$B$10,'Bouwkost UITB'!$AA$49,IF(D56=Bron!$B$11,'Bouwkost VERB'!$AA$49,IF(D56=Bron!$B$12,'Bouwkost IER'!$AA$48,IF(D56=Bron!$B$16,'Bouwkost AK+VERB'!$AA$49,IF(OR(D56=Bron!$B$13,D56=Bron!$B$14),'Bouwkost VOLT'!$AA$49,0))))))</f>
        <v>0</v>
      </c>
      <c r="E64" s="35">
        <f t="shared" si="19"/>
        <v>0</v>
      </c>
      <c r="F64" s="798">
        <f>IF(OR(F56=Bron!$B$8,F56=Bron!$B$9,F56=Bron!$B$15),'Bouwkost NB'!$AA$50,IF(F56=Bron!$B$10,'Bouwkost UITB'!$AA$49,IF(F56=Bron!$B$11,'Bouwkost VERB'!$AA$49,IF(F56=Bron!$B$12,'Bouwkost IER'!$AA$48,IF(F56=Bron!$B$16,'Bouwkost AK+VERB'!$AA$49,IF(OR(F56=Bron!$B$13,F56=Bron!$B$14),'Bouwkost VOLT'!$AA$49,0))))))</f>
        <v>0</v>
      </c>
      <c r="G64" s="35">
        <f t="shared" si="20"/>
        <v>0</v>
      </c>
      <c r="H64" s="798">
        <f>IF(OR(H56=Bron!$B$8,H56=Bron!$B$9,H56=Bron!$B$15),'Bouwkost NB'!$AA$50,IF(H56=Bron!$B$10,'Bouwkost UITB'!$AA$49,IF(H56=Bron!$B$11,'Bouwkost VERB'!$AA$49,IF(H56=Bron!$B$12,'Bouwkost IER'!$AA$48,IF(H56=Bron!$B$16,'Bouwkost AK+VERB'!$AA$49,IF(OR(H56=Bron!$B$13,H56=Bron!$B$14),'Bouwkost VOLT'!$AA$49,0))))))</f>
        <v>0</v>
      </c>
      <c r="I64" s="35">
        <f t="shared" si="21"/>
        <v>0</v>
      </c>
      <c r="J64" s="98">
        <f t="shared" si="17"/>
        <v>0</v>
      </c>
      <c r="K64" s="35" t="e">
        <f>J64/J65</f>
        <v>#DIV/0!</v>
      </c>
    </row>
    <row r="65" spans="1:12" hidden="1" x14ac:dyDescent="0.3">
      <c r="A65" s="58" t="s">
        <v>110</v>
      </c>
      <c r="B65" s="802">
        <f>B63+B64</f>
        <v>0</v>
      </c>
      <c r="C65" s="35">
        <f t="shared" si="18"/>
        <v>0</v>
      </c>
      <c r="D65" s="802">
        <f>D63+D64</f>
        <v>0</v>
      </c>
      <c r="E65" s="35">
        <f t="shared" si="19"/>
        <v>0</v>
      </c>
      <c r="F65" s="802">
        <f>F63+F64</f>
        <v>0</v>
      </c>
      <c r="G65" s="35">
        <f t="shared" si="20"/>
        <v>0</v>
      </c>
      <c r="H65" s="802">
        <f>H63+H64</f>
        <v>0</v>
      </c>
      <c r="I65" s="35">
        <f t="shared" si="21"/>
        <v>0</v>
      </c>
      <c r="J65" s="598">
        <f t="shared" si="17"/>
        <v>0</v>
      </c>
      <c r="K65" s="35" t="e">
        <f>SUM(K60:K62)+K64</f>
        <v>#DIV/0!</v>
      </c>
    </row>
    <row r="66" spans="1:12" hidden="1" x14ac:dyDescent="0.3">
      <c r="A66" s="22" t="s">
        <v>128</v>
      </c>
      <c r="B66" s="301">
        <f>IFERROR(IF('Overzicht project'!$E$66=0,0,$B$84*('Overzicht BTA'!P$51/'Overzicht project'!$E$66)),0)</f>
        <v>0</v>
      </c>
      <c r="C66" s="301"/>
      <c r="D66" s="301">
        <f>IFERROR(IF('Overzicht project'!$E$66=0,0,$B$84*('Overzicht BTA'!P$52/'Overzicht project'!$E$66)),0)</f>
        <v>0</v>
      </c>
      <c r="E66" s="301"/>
      <c r="F66" s="301">
        <f>IFERROR(IF('Overzicht project'!$E$66=0,0,$B$84*('Overzicht BTA'!P$53/'Overzicht project'!$E$66)),0)</f>
        <v>0</v>
      </c>
      <c r="G66" s="301"/>
      <c r="H66" s="301">
        <f>IFERROR(IF('Overzicht project'!$E$66=0,0,$B$84*('Overzicht BTA'!P$54/'Overzicht project'!$E$66)),0)</f>
        <v>0</v>
      </c>
      <c r="I66" s="35"/>
      <c r="J66" s="98">
        <f>IF('Overzicht project'!$E$66=0,0,kunst!$M$11*('Overzicht BTA'!P30/'Overzicht project'!$E$66))</f>
        <v>0</v>
      </c>
      <c r="K66" s="35"/>
    </row>
    <row r="67" spans="1:12" hidden="1" x14ac:dyDescent="0.3">
      <c r="A67" s="22" t="s">
        <v>129</v>
      </c>
      <c r="B67" s="798">
        <f>IF(OR(B56=Bron!$B$8,B56=Bron!$B$9,B56=Bron!$B$15),'Bouwkost NB'!$AA$52,IF(B56=Bron!$B$10,'Bouwkost UITB'!$AA$51,IF(B56=Bron!$B$11,'Bouwkost VERB'!$AA$51,IF(B56=Bron!$B$12,'Bouwkost IER'!$AA$50,IF(B56=Bron!$B$16,'Bouwkost AK+VERB'!$AA$51,IF(OR(B56=Bron!$B$13,B56=Bron!$B$14),'Bouwkost VOLT'!$AA$51,0))))))</f>
        <v>0</v>
      </c>
      <c r="C67" s="35"/>
      <c r="D67" s="798">
        <f>IF(OR(D56=Bron!$B$8,D56=Bron!$B$9,D56=Bron!$B$15),'Bouwkost NB'!$AA$52,IF(D56=Bron!$B$10,'Bouwkost UITB'!$AA$51,IF(D56=Bron!$B$11,'Bouwkost VERB'!$AA$51,IF(D56=Bron!$B$12,'Bouwkost IER'!$AA$50,IF(D56=Bron!$B$16,'Bouwkost AK+VERB'!$AA$51,IF(OR(D56=Bron!$B$13,D56=Bron!$B$14),'Bouwkost VOLT'!$AA$51,0))))))</f>
        <v>0</v>
      </c>
      <c r="E67" s="35"/>
      <c r="F67" s="798">
        <f>IF(OR(F56=Bron!$B$8,F56=Bron!$B$9,F56=Bron!$B$15),'Bouwkost NB'!$AA$52,IF(F56=Bron!$B$10,'Bouwkost UITB'!$AA$51,IF(F56=Bron!$B$11,'Bouwkost VERB'!$AA$51,IF(F56=Bron!$B$12,'Bouwkost IER'!$AA$50,IF(F56=Bron!$B$16,'Bouwkost AK+VERB'!$AA$51,IF(OR(F56=Bron!$B$13,F56=Bron!$B$14),'Bouwkost VOLT'!$AA$51,0))))))</f>
        <v>0</v>
      </c>
      <c r="G67" s="35"/>
      <c r="H67" s="798">
        <f>IF(OR(H56=Bron!$B$8,H56=Bron!$B$9,H56=Bron!$B$15),'Bouwkost NB'!$AA$52,IF(H56=Bron!$B$10,'Bouwkost UITB'!$AA$51,IF(H56=Bron!$B$11,'Bouwkost VERB'!$AA$51,IF(H56=Bron!$B$12,'Bouwkost IER'!$AA$50,IF(H56=Bron!$B$16,'Bouwkost AK+VERB'!$AA$51,IF(OR(H56=Bron!$B$13,H56=Bron!$B$14),'Bouwkost VOLT'!$AA$51,0))))))</f>
        <v>0</v>
      </c>
      <c r="I67" s="35"/>
      <c r="J67" s="98">
        <f t="shared" ref="J67:J68" si="22">B67+D67+F67+H67</f>
        <v>0</v>
      </c>
      <c r="K67" s="35"/>
    </row>
    <row r="68" spans="1:12" hidden="1" x14ac:dyDescent="0.3">
      <c r="A68" s="22" t="s">
        <v>130</v>
      </c>
      <c r="B68" s="417">
        <f>IF(OR(B56=Bron!$B$8,B56=Bron!$B$9,B56=Bron!$B$15),'Bouwkost NB'!$AA$57,IF(B56=Bron!$B$10,'Bouwkost UITB'!$AA$56,IF(B56=Bron!$B$11,'Bouwkost VERB'!$AA$56,IF(B56=Bron!$B$12,'Bouwkost IER'!$AA$55,IF(B56=Bron!$B$16,'Bouwkost AK+VERB'!$AA$56,IF(OR(B56=Bron!$B$13,B56=Bron!$B$14),'Bouwkost VOLT'!$AA$56,0))))))</f>
        <v>0</v>
      </c>
      <c r="C68" s="35"/>
      <c r="D68" s="417">
        <f>IF(OR(D56=Bron!$B$8,D56=Bron!$B$9,D56=Bron!$B$15),'Bouwkost NB'!$AA$57,IF(D56=Bron!$B$10,'Bouwkost UITB'!$AA$56,IF(D56=Bron!$B$11,'Bouwkost VERB'!$AA$56,IF(D56=Bron!$B$12,'Bouwkost IER'!$AA$55,IF(D56=Bron!$B$16,'Bouwkost AK+VERB'!$AA$56,IF(OR(D56=Bron!$B$13,D56=Bron!$B$14),'Bouwkost VOLT'!$AA$56,0))))))</f>
        <v>0</v>
      </c>
      <c r="E68" s="35"/>
      <c r="F68" s="417">
        <f>IF(OR(F56=Bron!$B$8,F56=Bron!$B$9,F56=Bron!$B$15),'Bouwkost NB'!$AA$57,IF(F56=Bron!$B$10,'Bouwkost UITB'!$AA$56,IF(F56=Bron!$B$11,'Bouwkost VERB'!$AA$56,IF(F56=Bron!$B$12,'Bouwkost IER'!$AA$55,IF(F56=Bron!$B$16,'Bouwkost AK+VERB'!$AA$56,IF(OR(F56=Bron!$B$13,F56=Bron!$B$14),'Bouwkost VOLT'!$AA$56,0))))))</f>
        <v>0</v>
      </c>
      <c r="G68" s="35"/>
      <c r="H68" s="417">
        <f>IF(OR(H56=Bron!$B$8,H56=Bron!$B$9,H56=Bron!$B$15),'Bouwkost NB'!$AA$57,IF(H56=Bron!$B$10,'Bouwkost UITB'!$AA$56,IF(H56=Bron!$B$11,'Bouwkost VERB'!$AA$56,IF(H56=Bron!$B$12,'Bouwkost IER'!$AA$55,IF(H56=Bron!$B$16,'Bouwkost AK+VERB'!$AA$56,IF(OR(H56=Bron!$B$13,H56=Bron!$B$14),'Bouwkost VOLT'!$AA$56,0))))))</f>
        <v>0</v>
      </c>
      <c r="I68" s="35"/>
      <c r="J68" s="98">
        <f t="shared" si="22"/>
        <v>0</v>
      </c>
      <c r="K68" s="35"/>
    </row>
    <row r="69" spans="1:12" hidden="1" x14ac:dyDescent="0.3">
      <c r="A69" s="22" t="s">
        <v>131</v>
      </c>
      <c r="B69" s="301">
        <f>B59+B63+B67+B68</f>
        <v>0</v>
      </c>
      <c r="C69" s="34"/>
      <c r="D69" s="301">
        <f>D59+D63+D67+D68</f>
        <v>0</v>
      </c>
      <c r="E69" s="34"/>
      <c r="F69" s="301">
        <f>F59+F63+F67+F68</f>
        <v>0</v>
      </c>
      <c r="G69" s="34"/>
      <c r="H69" s="301">
        <f>H59+H63+H67+H68</f>
        <v>0</v>
      </c>
      <c r="I69" s="34"/>
      <c r="J69" s="34">
        <f>B69+D69+F69+H69</f>
        <v>0</v>
      </c>
      <c r="K69" s="34"/>
    </row>
    <row r="70" spans="1:12" ht="28.2" hidden="1" thickBot="1" x14ac:dyDescent="0.35">
      <c r="A70" s="1081" t="s">
        <v>1422</v>
      </c>
      <c r="B70" s="1082">
        <f>IF(OR(B56=Bron!$B$8,B56=Bron!$B$9,B56=Bron!$B$15),SUM('Bouwkost NB'!$AA$59:$AA$61),IF(B56=Bron!$B$10,SUM('Bouwkost UITB'!$AA$58:$AA$60),IF(B56=Bron!$B$11,SUM('Bouwkost VERB'!$AA$58:$AA$60),IF(B56=Bron!$B$12,SUM('Bouwkost IER'!$AA$57:$AA$59),IF(B56=Bron!$B$16,SUM('Bouwkost AK+VERB'!$AA$58:$AA$60),IF(OR(B56=Bron!$B$13,B56=Bron!$B$14),SUM('Bouwkost VOLT'!$AA$58:$AA$60),0))))))</f>
        <v>0</v>
      </c>
      <c r="C70" s="1080"/>
      <c r="D70" s="1082">
        <f>IF(OR(D56=Bron!$B$8,D56=Bron!$B$9,D56=Bron!$B$15),SUM('Bouwkost NB'!$AA$59:$AA$61),IF(D56=Bron!$B$10,SUM('Bouwkost UITB'!$AA$58:$AA$60),IF(D56=Bron!$B$11,SUM('Bouwkost VERB'!$AA$58:$AA$60),IF(D56=Bron!$B$12,SUM('Bouwkost IER'!$AA$57:$AA$59),IF(D56=Bron!$B$16,SUM('Bouwkost AK+VERB'!$AA$58:$AA$60),IF(OR(D56=Bron!$B$13,D56=Bron!$B$14),SUM('Bouwkost VOLT'!$AA$58:$AA$60),0))))))</f>
        <v>0</v>
      </c>
      <c r="E70" s="1080"/>
      <c r="F70" s="1082">
        <f>IF(OR(F56=Bron!$B$8,F56=Bron!$B$9,F56=Bron!$B$15),SUM('Bouwkost NB'!$AA$59:$AA$61),IF(F56=Bron!$B$10,SUM('Bouwkost UITB'!$AA$58:$AA$60),IF(F56=Bron!$B$11,SUM('Bouwkost VERB'!$AA$58:$AA$60),IF(F56=Bron!$B$12,SUM('Bouwkost IER'!$AA$57:$AA$59),IF(F56=Bron!$B$16,SUM('Bouwkost AK+VERB'!$AA$58:$AA$60),IF(OR(F56=Bron!$B$13,F56=Bron!$B$14),SUM('Bouwkost VOLT'!$AA$58:$AA$60),0))))))</f>
        <v>0</v>
      </c>
      <c r="G70" s="1080"/>
      <c r="H70" s="1082">
        <f>IF(OR(H56=Bron!$B$8,H56=Bron!$B$9,H56=Bron!$B$15),SUM('Bouwkost NB'!$AA$59:$AA$61),IF(H56=Bron!$B$10,SUM('Bouwkost UITB'!$AA$58:$AA$60),IF(H56=Bron!$B$11,SUM('Bouwkost VERB'!$AA$58:$AA$60),IF(H56=Bron!$B$12,SUM('Bouwkost IER'!$AA$57:$AA$59),IF(H56=Bron!$B$16,SUM('Bouwkost AK+VERB'!$AA$58:$AA$60),IF(OR(H56=Bron!$B$13,H56=Bron!$B$14),SUM('Bouwkost VOLT'!$AA$58:$AA$60),0))))))</f>
        <v>0</v>
      </c>
      <c r="I70" s="1080"/>
      <c r="J70" s="1083">
        <f>B70+D70+F70+H70</f>
        <v>0</v>
      </c>
      <c r="K70" s="1083"/>
    </row>
    <row r="71" spans="1:12" ht="15" hidden="1" thickTop="1" x14ac:dyDescent="0.3">
      <c r="A71" s="75" t="s">
        <v>132</v>
      </c>
      <c r="B71" s="417">
        <f>B69+B64+B66</f>
        <v>0</v>
      </c>
      <c r="C71" s="98"/>
      <c r="D71" s="417">
        <f>D69+D64+D66</f>
        <v>0</v>
      </c>
      <c r="E71" s="98"/>
      <c r="F71" s="417">
        <f>F69+F64+F66</f>
        <v>0</v>
      </c>
      <c r="G71" s="98"/>
      <c r="H71" s="417">
        <f>H69+H64+H66</f>
        <v>0</v>
      </c>
      <c r="I71" s="98"/>
      <c r="J71" s="98">
        <f>B71+D71+F71+H71</f>
        <v>0</v>
      </c>
      <c r="K71" s="98"/>
    </row>
    <row r="72" spans="1:12" hidden="1" x14ac:dyDescent="0.3">
      <c r="A72" s="19" t="s">
        <v>133</v>
      </c>
      <c r="B72" s="18"/>
      <c r="C72" s="18"/>
      <c r="D72" s="18"/>
      <c r="E72" s="18"/>
      <c r="F72" s="18"/>
      <c r="G72" s="18"/>
      <c r="H72" s="18"/>
      <c r="I72" s="18"/>
      <c r="J72" s="18"/>
      <c r="K72" s="18"/>
    </row>
    <row r="73" spans="1:12" hidden="1" outlineLevel="1" x14ac:dyDescent="0.3">
      <c r="A73" s="380" t="s">
        <v>147</v>
      </c>
      <c r="B73" s="808">
        <f>IF(OR(B56=Bron!$B$9),ROUND(('uitgebreide raming'!B59+'uitgebreide raming'!B63+'uitgebreide raming'!B68)*'Overzicht BTA'!$O$57*('Overzicht BTA'!$P$57/('Overzicht BTA'!$P$57+'Overzicht BTA'!$R$57))+('uitgebreide raming'!B59+'uitgebreide raming'!B63+'uitgebreide raming'!B68)*'Overzicht BTA'!$K$57*('Overzicht BTA'!$R$57/('Overzicht BTA'!$P$57+'Overzicht BTA'!$R$57)),2),IF(Bron!$B$37='uitgebreide raming'!B56,ROUND(('uitgebreide raming'!B59+'uitgebreide raming'!B63+'uitgebreide raming'!B68)*'Overzicht BTA'!$O$63*('Overzicht BTA'!$P$63/('Overzicht BTA'!$P$63+'Overzicht BTA'!$R$63))+('uitgebreide raming'!B59+'uitgebreide raming'!B63+'uitgebreide raming'!B68)*'Overzicht BTA'!$Q$63*('Overzicht BTA'!$R$63/('Overzicht BTA'!$P$63+'Overzicht BTA'!$R$63)),2),ROUND((B59+B63+B68)*C73,2)))</f>
        <v>0</v>
      </c>
      <c r="C73" s="35">
        <f>IF(ISNUMBER(MATCH(B56,'Overzicht BTA'!$N$57:$N$63,0)),VLOOKUP(B56,'Overzicht BTA'!$N$57:$O$63,2,FALSE),0.21)</f>
        <v>0.21</v>
      </c>
      <c r="D73" s="808">
        <f>IF(OR(D56=Bron!$B$9),ROUND(('uitgebreide raming'!D59+'uitgebreide raming'!D63+'uitgebreide raming'!D68)*'Overzicht BTA'!$O$57*('Overzicht BTA'!$P$57/('Overzicht BTA'!$P$57+'Overzicht BTA'!$R$57))+('uitgebreide raming'!D59+'uitgebreide raming'!D63+'uitgebreide raming'!D68)*'Overzicht BTA'!$K$57*('Overzicht BTA'!$R$57/('Overzicht BTA'!$P$57+'Overzicht BTA'!$R$57)),2),IF(Bron!$B$37='uitgebreide raming'!D56,ROUND(('uitgebreide raming'!D59+'uitgebreide raming'!D63+'uitgebreide raming'!D68)*'Overzicht BTA'!$O$63*('Overzicht BTA'!$P$63/('Overzicht BTA'!$P$63+'Overzicht BTA'!$R$63))+('uitgebreide raming'!D59+'uitgebreide raming'!D63+'uitgebreide raming'!D68)*'Overzicht BTA'!$Q$63*('Overzicht BTA'!$R$63/('Overzicht BTA'!$P$63+'Overzicht BTA'!$R$63)),2),ROUND((D59+D63+D68)*E73,2)))</f>
        <v>0</v>
      </c>
      <c r="E73" s="803">
        <f>IF(ISNUMBER(MATCH(D56,'Overzicht BTA'!$N$57:$N$63,0)),VLOOKUP(D56,'Overzicht BTA'!$N$57:$O$63,2,FALSE),0.21)</f>
        <v>0.21</v>
      </c>
      <c r="F73" s="808">
        <f>IF(OR(F56=Bron!$B$9),ROUND(('uitgebreide raming'!F59+'uitgebreide raming'!F63+'uitgebreide raming'!F68)*'Overzicht BTA'!$O$57*('Overzicht BTA'!$P$57/('Overzicht BTA'!$P$57+'Overzicht BTA'!$R$57))+('uitgebreide raming'!F59+'uitgebreide raming'!F63+'uitgebreide raming'!F68)*'Overzicht BTA'!$K$57*('Overzicht BTA'!$R$57/('Overzicht BTA'!$P$57+'Overzicht BTA'!$R$57)),2),IF(Bron!$B$37='uitgebreide raming'!F56,ROUND(('uitgebreide raming'!F59+'uitgebreide raming'!F63+'uitgebreide raming'!F68)*'Overzicht BTA'!$O$63*('Overzicht BTA'!$P$63/('Overzicht BTA'!$P$63+'Overzicht BTA'!$R$63))+('uitgebreide raming'!F59+'uitgebreide raming'!F63+'uitgebreide raming'!F68)*'Overzicht BTA'!$Q$63*('Overzicht BTA'!$R$63/('Overzicht BTA'!$P$63+'Overzicht BTA'!$R$63)),2),ROUND((F59+F63+F68)*G73,2)))</f>
        <v>0</v>
      </c>
      <c r="G73" s="803">
        <f>IF(ISNUMBER(MATCH(F56,'Overzicht BTA'!$N$57:$N$63,0)),VLOOKUP(F56,'Overzicht BTA'!$N$57:$O$63,2,FALSE),0.21)</f>
        <v>0.21</v>
      </c>
      <c r="H73" s="808">
        <f>IF(OR(H56=Bron!$B$9),ROUND(('uitgebreide raming'!H59+'uitgebreide raming'!H63+'uitgebreide raming'!H68)*'Overzicht BTA'!$O$57*('Overzicht BTA'!$P$57/('Overzicht BTA'!$P$57+'Overzicht BTA'!$R$57))+('uitgebreide raming'!H59+'uitgebreide raming'!H63+'uitgebreide raming'!H68)*'Overzicht BTA'!$K$57*('Overzicht BTA'!$R$57/('Overzicht BTA'!$P$57+'Overzicht BTA'!$R$57)),2),IF(Bron!$B$37='uitgebreide raming'!H56,ROUND(('uitgebreide raming'!H59+'uitgebreide raming'!H63+'uitgebreide raming'!H68)*'Overzicht BTA'!$O$63*('Overzicht BTA'!$P$63/('Overzicht BTA'!$P$63+'Overzicht BTA'!$R$63))+('uitgebreide raming'!H59+'uitgebreide raming'!H63+'uitgebreide raming'!H68)*'Overzicht BTA'!$Q$63*('Overzicht BTA'!$R$63/('Overzicht BTA'!$P$63+'Overzicht BTA'!$R$63)),2),ROUND((H59+H63+H68)*I73,2)))</f>
        <v>0</v>
      </c>
      <c r="I73" s="803">
        <f>IF(ISNUMBER(MATCH(H56,'Overzicht BTA'!$N$57:$N$63,0)),VLOOKUP(H56,'Overzicht BTA'!$N$57:$O$63,2,FALSE),0.21)</f>
        <v>0.21</v>
      </c>
      <c r="J73" s="301">
        <f t="shared" ref="J73" si="23">B73+D73+F73+H73</f>
        <v>0</v>
      </c>
      <c r="K73" s="18"/>
    </row>
    <row r="74" spans="1:12" hidden="1" outlineLevel="1" x14ac:dyDescent="0.3">
      <c r="A74" s="380" t="s">
        <v>135</v>
      </c>
      <c r="B74" s="301">
        <f>ROUND(B66*C74,2)</f>
        <v>0</v>
      </c>
      <c r="C74" s="35">
        <v>0.06</v>
      </c>
      <c r="D74" s="301">
        <f>ROUND(D66*E74,2)</f>
        <v>0</v>
      </c>
      <c r="E74" s="35">
        <v>0.06</v>
      </c>
      <c r="F74" s="301">
        <f>ROUND(F66*G74,2)</f>
        <v>0</v>
      </c>
      <c r="G74" s="35">
        <v>0.06</v>
      </c>
      <c r="H74" s="301">
        <f>ROUND(H66*I74,2)</f>
        <v>0</v>
      </c>
      <c r="I74" s="35">
        <v>0.06</v>
      </c>
      <c r="J74" s="301">
        <f>B74+D74+F74+H74</f>
        <v>0</v>
      </c>
      <c r="K74" s="18"/>
    </row>
    <row r="75" spans="1:12" hidden="1" outlineLevel="1" x14ac:dyDescent="0.3">
      <c r="A75" s="380" t="s">
        <v>136</v>
      </c>
      <c r="B75" s="301">
        <f>ROUND((B64+B67)*C75,2)</f>
        <v>0</v>
      </c>
      <c r="C75" s="35">
        <v>0.21</v>
      </c>
      <c r="D75" s="301">
        <f>ROUND((D64+D67)*E75,2)</f>
        <v>0</v>
      </c>
      <c r="E75" s="35">
        <v>0.21</v>
      </c>
      <c r="F75" s="301">
        <f>ROUND((F64+F67)*G75,2)</f>
        <v>0</v>
      </c>
      <c r="G75" s="35">
        <v>0.21</v>
      </c>
      <c r="H75" s="301">
        <f>ROUND((H64+H67)*I75,2)</f>
        <v>0</v>
      </c>
      <c r="I75" s="35">
        <v>0.21</v>
      </c>
      <c r="J75" s="301">
        <f>B75+D75+F75+H75</f>
        <v>0</v>
      </c>
      <c r="K75" s="18"/>
    </row>
    <row r="76" spans="1:12" hidden="1" outlineLevel="1" x14ac:dyDescent="0.3">
      <c r="A76" s="380" t="s">
        <v>137</v>
      </c>
      <c r="B76" s="417">
        <f>ROUND(IF(OR(B56=Bron!$B$8,B56=Bron!$B$9,B56=Bron!$B$15),'Bouwkost NB'!$AA$64,IF(B56=Bron!$B$10,'Bouwkost UITB'!$AA$63,IF(B56=Bron!$B$11,'Bouwkost VERB'!$AA$63,IF(B56=Bron!$B$12,'Bouwkost IER'!$AA$62,IF(B56=Bron!$B$16,'Bouwkost AK+VERB'!$AA$63,IF(OR(B56=Bron!$B$13,B56=Bron!$B$14),'Bouwkost VOLT'!$AA$63,0)))))),2)</f>
        <v>0</v>
      </c>
      <c r="C76" s="634">
        <f>IFERROR(B76/(B71-B66-B64),0)</f>
        <v>0</v>
      </c>
      <c r="D76" s="417">
        <f>ROUND(IF(OR(D56=Bron!$B$8,D56=Bron!$B$9,D56=Bron!$B$15),'Bouwkost NB'!$AA$64,IF(D56=Bron!$B$10,'Bouwkost UITB'!$AA$63,IF(D56=Bron!$B$11,'Bouwkost VERB'!$AA$63,IF(D56=Bron!$B$12,'Bouwkost IER'!$AA$62,IF(D56=Bron!$B$16,'Bouwkost AK+VERB'!$AA$63,IF(OR(D56=Bron!$B$13,D56=Bron!$B$14),'Bouwkost VOLT'!$AA$63,0)))))),2)</f>
        <v>0</v>
      </c>
      <c r="E76" s="634">
        <f>IFERROR(D76/(D71-D66-D64),0)</f>
        <v>0</v>
      </c>
      <c r="F76" s="417">
        <f>ROUND(IF(OR(F56=Bron!$B$8,F56=Bron!$B$9,F56=Bron!$B$15),'Bouwkost NB'!$AA$64,IF(F56=Bron!$B$10,'Bouwkost UITB'!$AA$63,IF(F56=Bron!$B$11,'Bouwkost VERB'!$AA$63,IF(F56=Bron!$B$12,'Bouwkost IER'!$AA$62,IF(F56=Bron!$B$16,'Bouwkost AK+VERB'!$AA$63,IF(OR(F56=Bron!$B$13,F56=Bron!$B$14),'Bouwkost VOLT'!$AA$63,0)))))),2)</f>
        <v>0</v>
      </c>
      <c r="G76" s="634">
        <f>IFERROR(F76/(F71-F66-F64),0)</f>
        <v>0</v>
      </c>
      <c r="H76" s="798">
        <f>ROUND(IF(OR(H56=Bron!$B$8,H56=Bron!$B$9,H56=Bron!$B$15),'Bouwkost NB'!$AA$64,IF(H56=Bron!$B$10,'Bouwkost UITB'!$AA$63,IF(H56=Bron!$B$11,'Bouwkost VERB'!$AA$63,IF(H56=Bron!$B$12,'Bouwkost IER'!$AA$62,IF(H56=Bron!$B$16,'Bouwkost AK+VERB'!$AA$63,IF(OR(H56=Bron!$B$13,H56=Bron!$B$14),'Bouwkost VOLT'!$AA$63,0)))))),2)</f>
        <v>0</v>
      </c>
      <c r="I76" s="634">
        <f>IFERROR(H76/(H71-H66-H64),0)</f>
        <v>0</v>
      </c>
      <c r="J76" s="301">
        <f>B76+D76+F76+H76</f>
        <v>0</v>
      </c>
      <c r="L76" s="52"/>
    </row>
    <row r="77" spans="1:12" hidden="1" outlineLevel="1" x14ac:dyDescent="0.3">
      <c r="A77" s="380" t="s">
        <v>138</v>
      </c>
      <c r="B77" s="301">
        <f>ROUND(B76*C77,2)</f>
        <v>0</v>
      </c>
      <c r="C77" s="35">
        <v>0.21</v>
      </c>
      <c r="D77" s="301">
        <f>ROUND(D76*E77,2)</f>
        <v>0</v>
      </c>
      <c r="E77" s="35">
        <v>0.21</v>
      </c>
      <c r="F77" s="301">
        <f>ROUND(F76*G77,2)</f>
        <v>0</v>
      </c>
      <c r="G77" s="35">
        <v>0.21</v>
      </c>
      <c r="H77" s="301">
        <f>ROUND(H76*I77,2)</f>
        <v>0</v>
      </c>
      <c r="I77" s="35">
        <v>0.21</v>
      </c>
      <c r="J77" s="301">
        <f>B77+D77+F77+H77</f>
        <v>0</v>
      </c>
    </row>
    <row r="78" spans="1:12" hidden="1" outlineLevel="1" x14ac:dyDescent="0.3">
      <c r="A78" s="383" t="s">
        <v>139</v>
      </c>
      <c r="B78" s="384">
        <f>SUM(B73:B77)</f>
        <v>0</v>
      </c>
      <c r="D78" s="384">
        <f>SUM(D73:D77)</f>
        <v>0</v>
      </c>
      <c r="F78" s="384">
        <f>SUM(F73:F77)</f>
        <v>0</v>
      </c>
      <c r="H78" s="384">
        <f>SUM(H73:H77)</f>
        <v>0</v>
      </c>
      <c r="J78" s="384">
        <f>B78+D78+F78+H78</f>
        <v>0</v>
      </c>
    </row>
    <row r="79" spans="1:12" hidden="1" outlineLevel="1" x14ac:dyDescent="0.3">
      <c r="A79" s="582" t="s">
        <v>140</v>
      </c>
      <c r="B79" s="382">
        <f>B58+B57</f>
        <v>0</v>
      </c>
      <c r="C79" s="382"/>
      <c r="D79" s="382">
        <f>D58+D57</f>
        <v>0</v>
      </c>
      <c r="E79" s="382"/>
      <c r="F79" s="382">
        <f>F58+F57</f>
        <v>0</v>
      </c>
      <c r="G79" s="382"/>
      <c r="H79" s="382">
        <f>H58+H57</f>
        <v>0</v>
      </c>
      <c r="I79" s="382"/>
      <c r="J79" s="382">
        <f>J58+J57</f>
        <v>0</v>
      </c>
    </row>
    <row r="80" spans="1:12" hidden="1" collapsed="1" x14ac:dyDescent="0.3">
      <c r="A80" s="381" t="s">
        <v>141</v>
      </c>
      <c r="B80" s="382">
        <f>B78+B71</f>
        <v>0</v>
      </c>
      <c r="C80" s="20"/>
      <c r="D80" s="801">
        <f>D78+D71</f>
        <v>0</v>
      </c>
      <c r="E80" s="20"/>
      <c r="F80" s="801">
        <f>F78+F71</f>
        <v>0</v>
      </c>
      <c r="G80" s="20"/>
      <c r="H80" s="801">
        <f>H78+H71</f>
        <v>0</v>
      </c>
      <c r="I80" s="20"/>
      <c r="J80" s="382">
        <f t="shared" ref="J80" si="24">B80+D80+F80+H80</f>
        <v>0</v>
      </c>
    </row>
    <row r="81" spans="1:2" hidden="1" x14ac:dyDescent="0.3"/>
    <row r="82" spans="1:2" x14ac:dyDescent="0.3">
      <c r="A82" s="1191" t="s">
        <v>142</v>
      </c>
      <c r="B82" s="1192"/>
    </row>
    <row r="83" spans="1:2" x14ac:dyDescent="0.3">
      <c r="A83" s="619" t="s">
        <v>137</v>
      </c>
      <c r="B83" s="599">
        <f>J76+J49+J22</f>
        <v>0</v>
      </c>
    </row>
    <row r="84" spans="1:2" x14ac:dyDescent="0.3">
      <c r="A84" s="619" t="s">
        <v>143</v>
      </c>
      <c r="B84" s="620">
        <f>J66+J39+J12</f>
        <v>0</v>
      </c>
    </row>
    <row r="85" spans="1:2" x14ac:dyDescent="0.3">
      <c r="A85" s="619" t="s">
        <v>144</v>
      </c>
      <c r="B85" s="599">
        <f>J74+J66+J47+J39+J20+J12</f>
        <v>0</v>
      </c>
    </row>
    <row r="86" spans="1:2" x14ac:dyDescent="0.3">
      <c r="A86" s="619" t="s">
        <v>145</v>
      </c>
      <c r="B86" s="599">
        <f>J69+J42+J15</f>
        <v>0</v>
      </c>
    </row>
    <row r="87" spans="1:2" x14ac:dyDescent="0.3">
      <c r="A87" s="621" t="s">
        <v>139</v>
      </c>
      <c r="B87" s="599">
        <f>J78+J51+J24</f>
        <v>0</v>
      </c>
    </row>
    <row r="88" spans="1:2" x14ac:dyDescent="0.3">
      <c r="A88" s="621" t="s">
        <v>140</v>
      </c>
      <c r="B88" s="796">
        <f>J79+J52+J25</f>
        <v>0</v>
      </c>
    </row>
    <row r="89" spans="1:2" x14ac:dyDescent="0.3">
      <c r="A89" s="619" t="s">
        <v>146</v>
      </c>
      <c r="B89" s="599">
        <f>J80+J53+J26</f>
        <v>0</v>
      </c>
    </row>
  </sheetData>
  <sheetProtection selectLockedCells="1"/>
  <protectedRanges>
    <protectedRange sqref="B15 B42 D42 F42 H42 B69 D69 F69 H69" name="raming_1"/>
    <protectedRange sqref="D15 H15 F15" name="raming_3"/>
    <protectedRange sqref="B3:B8 B10 D10 D3:D8 F3:F8 H3:H8 F10 H10" name="raming_4"/>
    <protectedRange sqref="B13:B14 D13:D14 F13:F14 H13:H14" name="raming_2"/>
    <protectedRange sqref="B22 F22 H22 D22" name="raming_5"/>
    <protectedRange sqref="B30:B35 B37 D30:D35 D37 F30:F35 F37 H30:H35 H37" name="raming_6"/>
    <protectedRange sqref="B40:B41 D40:D41 F40:F41 H40:H41" name="raming_7"/>
    <protectedRange sqref="B57:B62 B64 D57:D62 D64 F57:F62 F64 H57:H62 H64" name="raming_8"/>
    <protectedRange sqref="B67:B68 D67:D68 F67:F68 H67:H68" name="raming_9"/>
    <protectedRange sqref="B76 D76 F76 H76" name="raming_10"/>
    <protectedRange sqref="B49 D49 F49 H49" name="raming_11"/>
    <protectedRange sqref="B16 B70 B43 D70 F70 H70 D43 F43 H43 D16 F16 H16" name="raming"/>
  </protectedRanges>
  <mergeCells count="4">
    <mergeCell ref="B1:K1"/>
    <mergeCell ref="B28:K28"/>
    <mergeCell ref="B55:K55"/>
    <mergeCell ref="A82:B82"/>
  </mergeCells>
  <dataValidations disablePrompts="1" count="1">
    <dataValidation type="list" allowBlank="1" showInputMessage="1" showErrorMessage="1" sqref="D29 F56 D56 F29 H29 H56" xr:uid="{F78E1A61-6B7A-4F83-9C8D-E8BB5EEAEA1D}">
      <formula1>#REF!</formula1>
    </dataValidation>
  </dataValidations>
  <pageMargins left="0.7" right="0.7" top="0.75" bottom="0.75" header="0.3" footer="0.3"/>
  <pageSetup paperSize="9" scale="53" fitToWidth="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DD197-0692-4FFB-8AE2-B348A2D81A7C}">
  <sheetPr codeName="Blad13"/>
  <dimension ref="A1:X75"/>
  <sheetViews>
    <sheetView topLeftCell="A4" workbookViewId="0">
      <selection activeCell="A14" sqref="A14:J14"/>
    </sheetView>
  </sheetViews>
  <sheetFormatPr defaultRowHeight="14.4" x14ac:dyDescent="0.3"/>
  <cols>
    <col min="1" max="1" width="19.5546875" customWidth="1"/>
    <col min="2" max="2" width="13.44140625" customWidth="1"/>
    <col min="11" max="11" width="2.6640625" customWidth="1"/>
    <col min="12" max="12" width="19.5546875" hidden="1" customWidth="1"/>
    <col min="13" max="13" width="13.44140625" hidden="1" customWidth="1"/>
    <col min="14" max="21" width="8.88671875" hidden="1" customWidth="1"/>
    <col min="24" max="24" width="12.6640625" bestFit="1" customWidth="1"/>
    <col min="26" max="26" width="10" bestFit="1" customWidth="1"/>
  </cols>
  <sheetData>
    <row r="1" spans="1:24" x14ac:dyDescent="0.3">
      <c r="A1" s="11" t="s">
        <v>148</v>
      </c>
      <c r="B1" s="11"/>
      <c r="C1" s="11"/>
      <c r="D1" s="11"/>
      <c r="E1" s="11"/>
      <c r="F1" s="11"/>
      <c r="L1" s="11" t="s">
        <v>148</v>
      </c>
      <c r="M1" s="11"/>
      <c r="N1" s="11"/>
      <c r="O1" s="11"/>
      <c r="P1" s="11"/>
      <c r="Q1" s="11"/>
    </row>
    <row r="2" spans="1:24" ht="15.6" x14ac:dyDescent="0.3">
      <c r="A2" s="1193" t="s">
        <v>149</v>
      </c>
      <c r="B2" s="1193"/>
      <c r="C2" s="1193"/>
      <c r="D2" s="1193"/>
      <c r="E2" s="1193"/>
      <c r="F2" s="1193"/>
      <c r="G2" s="1193"/>
      <c r="H2" s="1193"/>
      <c r="I2" s="1193"/>
      <c r="J2" s="1193"/>
      <c r="K2" s="437"/>
      <c r="L2" s="1193" t="s">
        <v>91</v>
      </c>
      <c r="M2" s="1193"/>
      <c r="N2" s="1193"/>
      <c r="O2" s="1193"/>
      <c r="P2" s="1193"/>
      <c r="Q2" s="1193"/>
      <c r="R2" s="1193"/>
      <c r="S2" s="1193"/>
      <c r="T2" s="1193"/>
      <c r="U2" s="1193"/>
    </row>
    <row r="3" spans="1:24" ht="7.2" customHeight="1" x14ac:dyDescent="0.3">
      <c r="A3" s="106"/>
      <c r="B3" s="248"/>
      <c r="C3" s="11"/>
      <c r="D3" s="11"/>
      <c r="E3" s="11"/>
      <c r="F3" s="11"/>
      <c r="L3" s="106"/>
      <c r="M3" s="248"/>
      <c r="N3" s="11"/>
      <c r="O3" s="11"/>
      <c r="P3" s="11"/>
      <c r="Q3" s="11"/>
    </row>
    <row r="4" spans="1:24" x14ac:dyDescent="0.3">
      <c r="A4" s="11" t="s">
        <v>1453</v>
      </c>
      <c r="B4" s="453">
        <f>IF('uitgebreide raming'!B1=Bron!E23,0,'uitgebreide raming'!J9)+IF('uitgebreide raming'!B28=Bron!E23,0,'uitgebreide raming'!J36)+IF('uitgebreide raming'!B55=Bron!E23,0,'uitgebreide raming'!J63)</f>
        <v>0</v>
      </c>
      <c r="C4" t="s">
        <v>151</v>
      </c>
      <c r="L4" s="11" t="s">
        <v>150</v>
      </c>
      <c r="M4" s="17">
        <f>IF('uitgebreide raming_gewijzigd'!B1=Bron!E23,0,'uitgebreide raming_gewijzigd'!J9)+IF('uitgebreide raming_gewijzigd'!B28=Bron!E23,0,'uitgebreide raming_gewijzigd'!J36)+IF('uitgebreide raming_gewijzigd'!B55=Bron!E23,0,'uitgebreide raming_gewijzigd'!J63)</f>
        <v>0</v>
      </c>
      <c r="N4" t="s">
        <v>151</v>
      </c>
      <c r="X4" s="1052"/>
    </row>
    <row r="5" spans="1:24" x14ac:dyDescent="0.3">
      <c r="A5" s="11"/>
      <c r="B5" s="15"/>
      <c r="L5" s="11"/>
      <c r="M5" s="15"/>
    </row>
    <row r="6" spans="1:24" x14ac:dyDescent="0.3">
      <c r="A6" s="12" t="s">
        <v>152</v>
      </c>
      <c r="B6" s="454" t="e">
        <f ca="1">IF(B4&lt;=MROUND(VLOOKUP(YEAR(TODAY()),[1]Bouwindex_ABEX!T3:U223,2,FALSE)/VLOOKUP(2019,[1]!ABEX[#Data],2,FALSE)*500000,10),0,1.5%*MIN(MROUND(VLOOKUP(YEAR(TODAY()),[1]Bouwindex_ABEX!T3:U223,2,FALSE)/VLOOKUP(2019,[1]!ABEX[#Data],2,FALSE)*1000000,10),B4))</f>
        <v>#REF!</v>
      </c>
      <c r="C6" s="13" t="s">
        <v>153</v>
      </c>
      <c r="D6" t="str">
        <f ca="1">CONCATENATE("1,5% voor schijf vanaf ", TEXT(MROUND(VLOOKUP(YEAR(TODAY()),Bouwindex_ABEX!$T$3:$U$196,2,FALSE)/VLOOKUP(2019,ABEX[],2,FALSE)*500000,10),"#.##0")," of lager dan of gelijk aan ", TEXT(MROUND(VLOOKUP(YEAR(TODAY()),Bouwindex_ABEX!$T$3:$U$196,2,FALSE)/VLOOKUP(2019,ABEX[],2,FALSE)*1000000,10),"#.##0")," EUR")</f>
        <v>1,5% voor schijf vanaf 652.660 of lager dan of gelijk aan 1.305.320 EUR</v>
      </c>
      <c r="L6" s="12" t="s">
        <v>152</v>
      </c>
      <c r="M6" s="16" t="e">
        <f ca="1">B6</f>
        <v>#REF!</v>
      </c>
      <c r="N6" s="13" t="s">
        <v>153</v>
      </c>
      <c r="O6" s="1051" t="str">
        <f ca="1">D6</f>
        <v>1,5% voor schijf vanaf 652.660 of lager dan of gelijk aan 1.305.320 EUR</v>
      </c>
    </row>
    <row r="7" spans="1:24" x14ac:dyDescent="0.3">
      <c r="A7" s="12" t="s">
        <v>154</v>
      </c>
      <c r="B7" s="454" t="e">
        <f ca="1">1%*(MIN(MROUND(VLOOKUP(YEAR(TODAY()),[1]Bouwindex_ABEX!T3:U223,2,FALSE)/VLOOKUP(2019,[1]!ABEX[#Data],2,FALSE)*3000000,10)-MROUND(VLOOKUP(YEAR(TODAY()),[1]Bouwindex_ABEX!T3:U223,2,FALSE)/VLOOKUP(2019,[1]!ABEX[#Data],2,FALSE)*1000000,10),MAX(B4-MROUND(VLOOKUP(YEAR(TODAY()),[1]Bouwindex_ABEX!T3:U223,2,FALSE)/VLOOKUP(2019,[1]!ABEX[#Data],2,FALSE)*1000000,10),0)))</f>
        <v>#REF!</v>
      </c>
      <c r="C7" s="13" t="s">
        <v>155</v>
      </c>
      <c r="D7" t="str">
        <f ca="1">CONCATENATE("1% voor schijf &gt; ", TEXT(MROUND(VLOOKUP(YEAR(TODAY()),Bouwindex_ABEX!$T$3:$U$196,2,FALSE)/VLOOKUP(2019,ABEX[],2,FALSE)*1000000,10),"#.##0")," EUR en ",TEXT(MROUND(VLOOKUP(YEAR(TODAY()),Bouwindex_ABEX!$T$3:$U$196,2,FALSE)/VLOOKUP(2019,ABEX[],2,FALSE)*3000000,10),"#.##0"), " EUR")</f>
        <v>1% voor schijf &gt; 1.305.320 EUR en 3.915.950 EUR</v>
      </c>
      <c r="E7" s="11"/>
      <c r="F7" s="11"/>
      <c r="L7" s="12" t="s">
        <v>154</v>
      </c>
      <c r="M7" s="16" t="e">
        <f t="shared" ref="M7:M9" ca="1" si="0">B7</f>
        <v>#REF!</v>
      </c>
      <c r="N7" s="13" t="s">
        <v>155</v>
      </c>
      <c r="O7" s="1051" t="str">
        <f t="shared" ref="O7:O9" ca="1" si="1">D7</f>
        <v>1% voor schijf &gt; 1.305.320 EUR en 3.915.950 EUR</v>
      </c>
      <c r="P7" s="11"/>
      <c r="Q7" s="11"/>
    </row>
    <row r="8" spans="1:24" x14ac:dyDescent="0.3">
      <c r="A8" s="12" t="s">
        <v>156</v>
      </c>
      <c r="B8" s="454" t="e">
        <f ca="1">0.5%*(MIN(MROUND(VLOOKUP(YEAR(TODAY()),[1]Bouwindex_ABEX!T3:U223,2,FALSE)/VLOOKUP(2019,[1]!ABEX[#Data],2,FALSE)*100000000,10)-MROUND(VLOOKUP(YEAR(TODAY()),[1]Bouwindex_ABEX!T3:U223,2,FALSE)/VLOOKUP(2019,[1]!ABEX[#Data],2,FALSE)*3000000,10),MAX(B4-MROUND(VLOOKUP(YEAR(TODAY()),[1]Bouwindex_ABEX!T3:U223,2,FALSE)/VLOOKUP(2019,[1]!ABEX[#Data],2,FALSE)*3000000,10),0)))</f>
        <v>#REF!</v>
      </c>
      <c r="C8" s="13" t="s">
        <v>157</v>
      </c>
      <c r="D8" t="str">
        <f ca="1">CONCATENATE("0,5% voor schijf &gt; ", TEXT(MROUND(VLOOKUP(YEAR(TODAY()),Bouwindex_ABEX!$T$3:$U$196,2,FALSE)/VLOOKUP(2019,ABEX[],2,FALSE)*3000000,10),"#.##0")," EUR en ",TEXT(MROUND(VLOOKUP(YEAR(TODAY()),Bouwindex_ABEX!$T$3:$U$196,2,FALSE)/VLOOKUP(2019,ABEX[],2,FALSE)*100000000,10),"#.##0"), " EUR")</f>
        <v>0,5% voor schijf &gt; 3.915.950 EUR en 130.531.520 EUR</v>
      </c>
      <c r="E8" s="11"/>
      <c r="F8" s="11"/>
      <c r="L8" s="12" t="s">
        <v>156</v>
      </c>
      <c r="M8" s="16" t="e">
        <f t="shared" ca="1" si="0"/>
        <v>#REF!</v>
      </c>
      <c r="N8" s="13" t="s">
        <v>157</v>
      </c>
      <c r="O8" s="1051" t="str">
        <f t="shared" ca="1" si="1"/>
        <v>0,5% voor schijf &gt; 3.915.950 EUR en 130.531.520 EUR</v>
      </c>
      <c r="P8" s="11"/>
      <c r="Q8" s="11"/>
    </row>
    <row r="9" spans="1:24" x14ac:dyDescent="0.3">
      <c r="A9" s="12" t="s">
        <v>158</v>
      </c>
      <c r="B9" s="454" t="e">
        <f ca="1">0.25%*MAX(B4-MROUND(VLOOKUP(YEAR(TODAY()),[1]Bouwindex_ABEX!T3:U223,2,FALSE)/VLOOKUP(2019,[1]!ABEX[#Data],2,FALSE)*100000000,10),0)</f>
        <v>#REF!</v>
      </c>
      <c r="C9" s="13" t="s">
        <v>159</v>
      </c>
      <c r="D9" t="str">
        <f ca="1">CONCATENATE("0,25% voor schijf &gt; ", TEXT(MROUND(VLOOKUP(YEAR(TODAY()),Bouwindex_ABEX!$T$3:$U$196,2,FALSE)/VLOOKUP(2019,ABEX[],2,FALSE)*100000000,10),"#.##0"), " EUR")</f>
        <v>0,25% voor schijf &gt; 130.531.520 EUR</v>
      </c>
      <c r="E9" s="11"/>
      <c r="F9" s="11"/>
      <c r="L9" s="12" t="s">
        <v>158</v>
      </c>
      <c r="M9" s="16" t="e">
        <f t="shared" ca="1" si="0"/>
        <v>#REF!</v>
      </c>
      <c r="N9" s="13" t="s">
        <v>159</v>
      </c>
      <c r="O9" s="1051" t="str">
        <f t="shared" ca="1" si="1"/>
        <v>0,25% voor schijf &gt; 130.531.520 EUR</v>
      </c>
      <c r="P9" s="11"/>
      <c r="Q9" s="11"/>
    </row>
    <row r="10" spans="1:24" ht="15" thickBot="1" x14ac:dyDescent="0.35">
      <c r="A10" s="11"/>
      <c r="B10" s="11"/>
      <c r="C10" s="11"/>
      <c r="E10" s="11"/>
      <c r="F10" s="11"/>
      <c r="L10" s="11"/>
      <c r="M10" s="11"/>
      <c r="N10" s="11"/>
      <c r="P10" s="11"/>
      <c r="Q10" s="11"/>
    </row>
    <row r="11" spans="1:24" ht="15" thickBot="1" x14ac:dyDescent="0.35">
      <c r="A11" s="14" t="s">
        <v>160</v>
      </c>
      <c r="B11" s="795" t="e">
        <f ca="1">ROUND(B6+B7+B8+B9,2)</f>
        <v>#REF!</v>
      </c>
      <c r="C11" s="12" t="s">
        <v>161</v>
      </c>
      <c r="L11" s="14" t="s">
        <v>160</v>
      </c>
      <c r="M11" s="795" t="e">
        <f ca="1">ROUND(M6+M7+M8+M9,2)</f>
        <v>#REF!</v>
      </c>
      <c r="N11" s="12" t="s">
        <v>161</v>
      </c>
    </row>
    <row r="14" spans="1:24" ht="48.6" customHeight="1" x14ac:dyDescent="0.3">
      <c r="A14" s="1194" t="s">
        <v>1454</v>
      </c>
      <c r="B14" s="1194"/>
      <c r="C14" s="1194"/>
      <c r="D14" s="1194"/>
      <c r="E14" s="1194"/>
      <c r="F14" s="1194"/>
      <c r="G14" s="1194"/>
      <c r="H14" s="1194"/>
      <c r="I14" s="1194"/>
      <c r="J14" s="1194"/>
    </row>
    <row r="45" hidden="1" x14ac:dyDescent="0.3"/>
    <row r="46" hidden="1" x14ac:dyDescent="0.3"/>
    <row r="47" hidden="1" x14ac:dyDescent="0.3"/>
    <row r="48" hidden="1" x14ac:dyDescent="0.3"/>
    <row r="49" hidden="1" x14ac:dyDescent="0.3"/>
    <row r="50" hidden="1" x14ac:dyDescent="0.3"/>
    <row r="51" hidden="1" x14ac:dyDescent="0.3"/>
    <row r="52" hidden="1" x14ac:dyDescent="0.3"/>
    <row r="53" hidden="1" x14ac:dyDescent="0.3"/>
    <row r="54" hidden="1" x14ac:dyDescent="0.3"/>
    <row r="55" hidden="1" x14ac:dyDescent="0.3"/>
    <row r="56" hidden="1" x14ac:dyDescent="0.3"/>
    <row r="57" hidden="1" x14ac:dyDescent="0.3"/>
    <row r="58" hidden="1" x14ac:dyDescent="0.3"/>
    <row r="59" hidden="1" x14ac:dyDescent="0.3"/>
    <row r="60" hidden="1" x14ac:dyDescent="0.3"/>
    <row r="61" hidden="1" x14ac:dyDescent="0.3"/>
    <row r="62" hidden="1" x14ac:dyDescent="0.3"/>
    <row r="63" hidden="1" x14ac:dyDescent="0.3"/>
    <row r="64" hidden="1" x14ac:dyDescent="0.3"/>
    <row r="65" hidden="1" x14ac:dyDescent="0.3"/>
    <row r="66" hidden="1" x14ac:dyDescent="0.3"/>
    <row r="67" hidden="1" x14ac:dyDescent="0.3"/>
    <row r="68" hidden="1" x14ac:dyDescent="0.3"/>
    <row r="69" hidden="1" x14ac:dyDescent="0.3"/>
    <row r="70" hidden="1" x14ac:dyDescent="0.3"/>
    <row r="71" hidden="1" x14ac:dyDescent="0.3"/>
    <row r="72" hidden="1" x14ac:dyDescent="0.3"/>
    <row r="73" hidden="1" x14ac:dyDescent="0.3"/>
    <row r="74" hidden="1" x14ac:dyDescent="0.3"/>
    <row r="75" hidden="1" x14ac:dyDescent="0.3"/>
  </sheetData>
  <mergeCells count="3">
    <mergeCell ref="A2:J2"/>
    <mergeCell ref="L2:U2"/>
    <mergeCell ref="A14:J14"/>
  </mergeCells>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96B30-23FD-41B1-8B8E-AD9EFEBF7BD5}">
  <sheetPr codeName="Blad4"/>
  <dimension ref="A1:AP253"/>
  <sheetViews>
    <sheetView topLeftCell="A21" workbookViewId="0">
      <selection activeCell="D57" sqref="D57"/>
    </sheetView>
  </sheetViews>
  <sheetFormatPr defaultRowHeight="14.4" x14ac:dyDescent="0.3"/>
  <cols>
    <col min="1" max="1" width="5.109375" style="168" customWidth="1"/>
    <col min="2" max="2" width="10.44140625" bestFit="1" customWidth="1"/>
    <col min="3" max="3" width="77.33203125" customWidth="1"/>
    <col min="4" max="4" width="22.33203125" bestFit="1" customWidth="1"/>
    <col min="5" max="5" width="15.109375" bestFit="1" customWidth="1"/>
    <col min="6" max="6" width="9.44140625" bestFit="1" customWidth="1"/>
    <col min="7" max="7" width="9.88671875" bestFit="1" customWidth="1"/>
    <col min="8" max="8" width="18.33203125" customWidth="1"/>
    <col min="9" max="9" width="4.5546875" bestFit="1" customWidth="1"/>
    <col min="10" max="10" width="34.88671875" style="168" hidden="1" customWidth="1"/>
    <col min="11" max="11" width="20.33203125" style="168" hidden="1" customWidth="1"/>
    <col min="12" max="12" width="8.88671875" style="168" hidden="1" customWidth="1"/>
    <col min="13" max="16" width="8.88671875" style="168"/>
    <col min="17" max="17" width="94.44140625" style="168" customWidth="1"/>
    <col min="18" max="23" width="8.88671875" style="168"/>
  </cols>
  <sheetData>
    <row r="1" spans="1:23" s="168" customFormat="1" x14ac:dyDescent="0.3"/>
    <row r="2" spans="1:23" s="106" customFormat="1" x14ac:dyDescent="0.3">
      <c r="A2" s="170"/>
      <c r="B2" s="361" t="s">
        <v>162</v>
      </c>
      <c r="C2" s="361" t="s">
        <v>34</v>
      </c>
      <c r="D2" s="361" t="s">
        <v>163</v>
      </c>
      <c r="E2" s="361" t="s">
        <v>164</v>
      </c>
      <c r="F2" s="361" t="s">
        <v>165</v>
      </c>
      <c r="G2" s="361" t="s">
        <v>166</v>
      </c>
      <c r="H2" s="362" t="s">
        <v>167</v>
      </c>
      <c r="I2" s="170"/>
      <c r="J2" s="361" t="s">
        <v>168</v>
      </c>
      <c r="K2" s="552" t="s">
        <v>169</v>
      </c>
      <c r="L2" s="170"/>
      <c r="M2" s="170"/>
      <c r="N2" s="170"/>
      <c r="O2" s="170"/>
      <c r="P2" s="170"/>
      <c r="Q2" s="170"/>
      <c r="R2" s="170"/>
      <c r="S2" s="170"/>
      <c r="T2" s="170"/>
      <c r="U2" s="170"/>
      <c r="V2" s="170"/>
      <c r="W2" s="170"/>
    </row>
    <row r="3" spans="1:23" x14ac:dyDescent="0.3">
      <c r="B3" s="89" t="s">
        <v>170</v>
      </c>
      <c r="C3" s="89" t="s">
        <v>171</v>
      </c>
      <c r="D3" s="522">
        <v>0</v>
      </c>
      <c r="E3" s="89" t="s">
        <v>172</v>
      </c>
      <c r="F3" s="341" t="s">
        <v>172</v>
      </c>
      <c r="G3" s="89">
        <v>65</v>
      </c>
      <c r="H3" s="342">
        <f t="shared" ref="H3:H9" si="0">+G3*D3</f>
        <v>0</v>
      </c>
      <c r="I3" s="168"/>
      <c r="J3" s="522">
        <f>D3</f>
        <v>0</v>
      </c>
      <c r="K3" s="204">
        <f>G3*J3</f>
        <v>0</v>
      </c>
      <c r="W3"/>
    </row>
    <row r="4" spans="1:23" x14ac:dyDescent="0.3">
      <c r="B4" s="89" t="s">
        <v>170</v>
      </c>
      <c r="C4" s="89" t="s">
        <v>173</v>
      </c>
      <c r="D4" s="522">
        <v>0</v>
      </c>
      <c r="E4" s="89" t="s">
        <v>174</v>
      </c>
      <c r="F4" s="341" t="s">
        <v>172</v>
      </c>
      <c r="G4" s="89">
        <v>65</v>
      </c>
      <c r="H4" s="342">
        <f t="shared" si="0"/>
        <v>0</v>
      </c>
      <c r="I4" s="168"/>
      <c r="J4" s="522">
        <f t="shared" ref="J4:J9" si="1">D4</f>
        <v>0</v>
      </c>
      <c r="K4" s="204">
        <f>G4*J4</f>
        <v>0</v>
      </c>
      <c r="W4"/>
    </row>
    <row r="5" spans="1:23" x14ac:dyDescent="0.3">
      <c r="B5" s="89" t="s">
        <v>170</v>
      </c>
      <c r="C5" s="89" t="s">
        <v>175</v>
      </c>
      <c r="D5" s="522">
        <v>0</v>
      </c>
      <c r="E5" s="89" t="s">
        <v>172</v>
      </c>
      <c r="F5" s="341" t="s">
        <v>172</v>
      </c>
      <c r="G5" s="89">
        <v>65</v>
      </c>
      <c r="H5" s="342">
        <f t="shared" si="0"/>
        <v>0</v>
      </c>
      <c r="I5" s="168"/>
      <c r="J5" s="522">
        <f t="shared" si="1"/>
        <v>0</v>
      </c>
      <c r="K5" s="204">
        <f>G5*J5</f>
        <v>0</v>
      </c>
      <c r="W5"/>
    </row>
    <row r="6" spans="1:23" x14ac:dyDescent="0.3">
      <c r="B6" s="89" t="s">
        <v>170</v>
      </c>
      <c r="C6" s="89" t="s">
        <v>176</v>
      </c>
      <c r="D6" s="522">
        <v>0</v>
      </c>
      <c r="E6" s="89" t="s">
        <v>172</v>
      </c>
      <c r="F6" s="341" t="s">
        <v>172</v>
      </c>
      <c r="G6" s="89">
        <v>65</v>
      </c>
      <c r="H6" s="342">
        <f t="shared" si="0"/>
        <v>0</v>
      </c>
      <c r="I6" s="168"/>
      <c r="J6" s="522"/>
      <c r="K6" s="204"/>
      <c r="W6"/>
    </row>
    <row r="7" spans="1:23" x14ac:dyDescent="0.3">
      <c r="B7" s="89" t="s">
        <v>170</v>
      </c>
      <c r="C7" s="89" t="s">
        <v>177</v>
      </c>
      <c r="D7" s="522">
        <v>0</v>
      </c>
      <c r="E7" s="89" t="s">
        <v>172</v>
      </c>
      <c r="F7" s="341" t="s">
        <v>172</v>
      </c>
      <c r="G7" s="89">
        <v>65</v>
      </c>
      <c r="H7" s="342">
        <f t="shared" si="0"/>
        <v>0</v>
      </c>
      <c r="I7" s="168"/>
      <c r="J7" s="522"/>
      <c r="K7" s="204"/>
      <c r="W7"/>
    </row>
    <row r="8" spans="1:23" x14ac:dyDescent="0.3">
      <c r="B8" s="177" t="s">
        <v>170</v>
      </c>
      <c r="C8" s="177" t="s">
        <v>178</v>
      </c>
      <c r="D8" s="522">
        <v>0</v>
      </c>
      <c r="E8" s="89" t="s">
        <v>172</v>
      </c>
      <c r="F8" s="341" t="s">
        <v>172</v>
      </c>
      <c r="G8" s="89">
        <v>65</v>
      </c>
      <c r="H8" s="342">
        <f t="shared" si="0"/>
        <v>0</v>
      </c>
      <c r="I8" s="168"/>
      <c r="J8" s="522">
        <f t="shared" si="1"/>
        <v>0</v>
      </c>
      <c r="K8" s="204">
        <f>G8*J8</f>
        <v>0</v>
      </c>
      <c r="W8"/>
    </row>
    <row r="9" spans="1:23" ht="15" thickBot="1" x14ac:dyDescent="0.35">
      <c r="B9" s="181" t="s">
        <v>170</v>
      </c>
      <c r="C9" s="181" t="s">
        <v>179</v>
      </c>
      <c r="D9" s="711">
        <v>0</v>
      </c>
      <c r="E9" s="181" t="s">
        <v>172</v>
      </c>
      <c r="F9" s="702" t="s">
        <v>172</v>
      </c>
      <c r="G9" s="181">
        <v>45</v>
      </c>
      <c r="H9" s="344">
        <f t="shared" si="0"/>
        <v>0</v>
      </c>
      <c r="I9" s="168"/>
      <c r="J9" s="522">
        <f t="shared" si="1"/>
        <v>0</v>
      </c>
      <c r="K9" s="526">
        <f>G9*J9</f>
        <v>0</v>
      </c>
      <c r="W9"/>
    </row>
    <row r="10" spans="1:23" ht="15" thickTop="1" x14ac:dyDescent="0.3">
      <c r="B10" s="345"/>
      <c r="C10" s="352"/>
      <c r="D10" s="346"/>
      <c r="E10" s="1198" t="s">
        <v>180</v>
      </c>
      <c r="F10" s="1198"/>
      <c r="G10" s="1199"/>
      <c r="H10" s="347">
        <f>SUM(H3:H9)</f>
        <v>0</v>
      </c>
      <c r="I10" s="170" t="s">
        <v>181</v>
      </c>
      <c r="J10" s="717" t="s">
        <v>180</v>
      </c>
      <c r="K10" s="360">
        <f>SUM(K3:K9)</f>
        <v>0</v>
      </c>
      <c r="L10" s="170" t="s">
        <v>181</v>
      </c>
      <c r="W10"/>
    </row>
    <row r="11" spans="1:23" x14ac:dyDescent="0.3">
      <c r="B11" s="705" t="s">
        <v>170</v>
      </c>
      <c r="C11" s="705" t="s">
        <v>182</v>
      </c>
      <c r="D11" s="714">
        <v>0</v>
      </c>
      <c r="E11" s="705">
        <v>1</v>
      </c>
      <c r="F11" s="704">
        <v>0.16</v>
      </c>
      <c r="G11" s="705">
        <v>20</v>
      </c>
      <c r="H11" s="706">
        <f t="shared" ref="H11:H23" si="2">D11*E11*F11*G11</f>
        <v>0</v>
      </c>
      <c r="I11" s="168"/>
      <c r="J11" s="522">
        <f>D11</f>
        <v>0</v>
      </c>
      <c r="K11" s="204">
        <f t="shared" ref="K11:K23" si="3">G11*F11*E11*J11</f>
        <v>0</v>
      </c>
      <c r="W11"/>
    </row>
    <row r="12" spans="1:23" x14ac:dyDescent="0.3">
      <c r="B12" s="89" t="s">
        <v>170</v>
      </c>
      <c r="C12" s="89" t="s">
        <v>183</v>
      </c>
      <c r="D12" s="522">
        <v>0</v>
      </c>
      <c r="E12" s="89">
        <v>1</v>
      </c>
      <c r="F12" s="341">
        <v>0.16</v>
      </c>
      <c r="G12" s="89">
        <v>20</v>
      </c>
      <c r="H12" s="342">
        <f t="shared" si="2"/>
        <v>0</v>
      </c>
      <c r="I12" s="168"/>
      <c r="J12" s="522">
        <f t="shared" ref="J12:J15" si="4">D12</f>
        <v>0</v>
      </c>
      <c r="K12" s="204">
        <f t="shared" si="3"/>
        <v>0</v>
      </c>
      <c r="W12"/>
    </row>
    <row r="13" spans="1:23" x14ac:dyDescent="0.3">
      <c r="B13" s="89" t="s">
        <v>170</v>
      </c>
      <c r="C13" s="89" t="s">
        <v>184</v>
      </c>
      <c r="D13" s="522">
        <v>0</v>
      </c>
      <c r="E13" s="89">
        <v>2</v>
      </c>
      <c r="F13" s="341">
        <v>0.16</v>
      </c>
      <c r="G13" s="89">
        <v>20</v>
      </c>
      <c r="H13" s="342">
        <f t="shared" si="2"/>
        <v>0</v>
      </c>
      <c r="I13" s="168"/>
      <c r="J13" s="522">
        <f t="shared" si="4"/>
        <v>0</v>
      </c>
      <c r="K13" s="204">
        <f t="shared" si="3"/>
        <v>0</v>
      </c>
      <c r="W13"/>
    </row>
    <row r="14" spans="1:23" x14ac:dyDescent="0.3">
      <c r="B14" s="89" t="s">
        <v>170</v>
      </c>
      <c r="C14" s="89" t="s">
        <v>185</v>
      </c>
      <c r="D14" s="522">
        <v>0</v>
      </c>
      <c r="E14" s="89">
        <v>3</v>
      </c>
      <c r="F14" s="341">
        <v>0.16</v>
      </c>
      <c r="G14" s="89">
        <v>20</v>
      </c>
      <c r="H14" s="342">
        <f t="shared" si="2"/>
        <v>0</v>
      </c>
      <c r="I14" s="168"/>
      <c r="J14" s="522">
        <f t="shared" si="4"/>
        <v>0</v>
      </c>
      <c r="K14" s="204">
        <f t="shared" si="3"/>
        <v>0</v>
      </c>
      <c r="W14"/>
    </row>
    <row r="15" spans="1:23" x14ac:dyDescent="0.3">
      <c r="B15" s="89" t="s">
        <v>170</v>
      </c>
      <c r="C15" s="89" t="s">
        <v>186</v>
      </c>
      <c r="D15" s="522">
        <v>0</v>
      </c>
      <c r="E15" s="89">
        <v>3</v>
      </c>
      <c r="F15" s="341">
        <v>0.16</v>
      </c>
      <c r="G15" s="89">
        <v>20</v>
      </c>
      <c r="H15" s="342">
        <f t="shared" si="2"/>
        <v>0</v>
      </c>
      <c r="I15" s="168"/>
      <c r="J15" s="522">
        <f t="shared" si="4"/>
        <v>0</v>
      </c>
      <c r="K15" s="204">
        <f t="shared" si="3"/>
        <v>0</v>
      </c>
      <c r="W15"/>
    </row>
    <row r="16" spans="1:23" x14ac:dyDescent="0.3">
      <c r="B16" s="89" t="s">
        <v>170</v>
      </c>
      <c r="C16" s="89" t="s">
        <v>187</v>
      </c>
      <c r="D16" s="522">
        <v>0</v>
      </c>
      <c r="E16" s="89">
        <v>0.75</v>
      </c>
      <c r="F16" s="341">
        <v>0.16</v>
      </c>
      <c r="G16" s="89">
        <v>20</v>
      </c>
      <c r="H16" s="342">
        <f t="shared" si="2"/>
        <v>0</v>
      </c>
      <c r="I16" s="168"/>
      <c r="J16" s="522">
        <f>D16</f>
        <v>0</v>
      </c>
      <c r="K16" s="204">
        <f t="shared" si="3"/>
        <v>0</v>
      </c>
    </row>
    <row r="17" spans="2:23" x14ac:dyDescent="0.3">
      <c r="B17" s="89" t="s">
        <v>170</v>
      </c>
      <c r="C17" s="89" t="s">
        <v>188</v>
      </c>
      <c r="D17" s="522">
        <v>0</v>
      </c>
      <c r="E17" s="89">
        <v>1</v>
      </c>
      <c r="F17" s="341">
        <v>0.16</v>
      </c>
      <c r="G17" s="89">
        <v>20</v>
      </c>
      <c r="H17" s="342">
        <f t="shared" si="2"/>
        <v>0</v>
      </c>
      <c r="I17" s="168"/>
      <c r="J17" s="522">
        <f t="shared" ref="J17:J23" si="5">D17</f>
        <v>0</v>
      </c>
      <c r="K17" s="204">
        <f t="shared" si="3"/>
        <v>0</v>
      </c>
    </row>
    <row r="18" spans="2:23" x14ac:dyDescent="0.3">
      <c r="B18" s="89" t="s">
        <v>170</v>
      </c>
      <c r="C18" s="89" t="s">
        <v>189</v>
      </c>
      <c r="D18" s="522">
        <v>0</v>
      </c>
      <c r="E18" s="89">
        <v>2</v>
      </c>
      <c r="F18" s="341">
        <v>0.16</v>
      </c>
      <c r="G18" s="89">
        <v>20</v>
      </c>
      <c r="H18" s="342">
        <f t="shared" si="2"/>
        <v>0</v>
      </c>
      <c r="I18" s="168"/>
      <c r="J18" s="522">
        <f t="shared" si="5"/>
        <v>0</v>
      </c>
      <c r="K18" s="204">
        <f t="shared" si="3"/>
        <v>0</v>
      </c>
    </row>
    <row r="19" spans="2:23" x14ac:dyDescent="0.3">
      <c r="B19" s="89" t="s">
        <v>170</v>
      </c>
      <c r="C19" s="89" t="s">
        <v>190</v>
      </c>
      <c r="D19" s="522">
        <v>0</v>
      </c>
      <c r="E19" s="89">
        <v>5</v>
      </c>
      <c r="F19" s="351">
        <v>0.16</v>
      </c>
      <c r="G19" s="89">
        <v>20</v>
      </c>
      <c r="H19" s="342">
        <f t="shared" si="2"/>
        <v>0</v>
      </c>
      <c r="I19" s="168"/>
      <c r="J19" s="522">
        <f t="shared" si="5"/>
        <v>0</v>
      </c>
      <c r="K19" s="204">
        <f t="shared" si="3"/>
        <v>0</v>
      </c>
    </row>
    <row r="20" spans="2:23" s="168" customFormat="1" x14ac:dyDescent="0.3">
      <c r="B20" s="89" t="s">
        <v>170</v>
      </c>
      <c r="C20" s="352" t="s">
        <v>191</v>
      </c>
      <c r="D20" s="522">
        <v>0</v>
      </c>
      <c r="E20" s="89">
        <v>0.3</v>
      </c>
      <c r="F20" s="351">
        <v>0.16</v>
      </c>
      <c r="G20" s="89">
        <v>20</v>
      </c>
      <c r="H20" s="342">
        <f t="shared" si="2"/>
        <v>0</v>
      </c>
      <c r="J20" s="522">
        <f t="shared" si="5"/>
        <v>0</v>
      </c>
      <c r="K20" s="204">
        <f t="shared" si="3"/>
        <v>0</v>
      </c>
    </row>
    <row r="21" spans="2:23" s="168" customFormat="1" x14ac:dyDescent="0.3">
      <c r="B21" s="89" t="s">
        <v>170</v>
      </c>
      <c r="C21" s="89" t="s">
        <v>192</v>
      </c>
      <c r="D21" s="522">
        <v>0</v>
      </c>
      <c r="E21" s="89">
        <v>4.5</v>
      </c>
      <c r="F21" s="351">
        <v>0.16</v>
      </c>
      <c r="G21" s="89">
        <v>20</v>
      </c>
      <c r="H21" s="342">
        <f t="shared" si="2"/>
        <v>0</v>
      </c>
      <c r="J21" s="522">
        <f t="shared" si="5"/>
        <v>0</v>
      </c>
      <c r="K21" s="204">
        <f t="shared" si="3"/>
        <v>0</v>
      </c>
    </row>
    <row r="22" spans="2:23" s="168" customFormat="1" x14ac:dyDescent="0.3">
      <c r="B22" s="89" t="s">
        <v>170</v>
      </c>
      <c r="C22" s="352" t="s">
        <v>193</v>
      </c>
      <c r="D22" s="522">
        <v>0</v>
      </c>
      <c r="E22" s="181">
        <v>2</v>
      </c>
      <c r="F22" s="1048">
        <v>0.16</v>
      </c>
      <c r="G22" s="181">
        <v>20</v>
      </c>
      <c r="H22" s="574">
        <f t="shared" si="2"/>
        <v>0</v>
      </c>
      <c r="J22" s="522">
        <f t="shared" si="5"/>
        <v>0</v>
      </c>
      <c r="K22" s="1049">
        <f t="shared" si="3"/>
        <v>0</v>
      </c>
    </row>
    <row r="23" spans="2:23" s="168" customFormat="1" ht="15" thickBot="1" x14ac:dyDescent="0.35">
      <c r="B23" s="89" t="s">
        <v>170</v>
      </c>
      <c r="C23" s="352" t="s">
        <v>194</v>
      </c>
      <c r="D23" s="522">
        <v>0</v>
      </c>
      <c r="E23" s="176">
        <v>3.5</v>
      </c>
      <c r="F23" s="357">
        <v>0.16</v>
      </c>
      <c r="G23" s="176">
        <v>20</v>
      </c>
      <c r="H23" s="344">
        <f t="shared" si="2"/>
        <v>0</v>
      </c>
      <c r="J23" s="522">
        <f t="shared" si="5"/>
        <v>0</v>
      </c>
      <c r="K23" s="526">
        <f t="shared" si="3"/>
        <v>0</v>
      </c>
    </row>
    <row r="24" spans="2:23" s="168" customFormat="1" ht="15" thickTop="1" x14ac:dyDescent="0.3">
      <c r="B24" s="178"/>
      <c r="C24" s="352"/>
      <c r="D24" s="352"/>
      <c r="E24" s="1200" t="s">
        <v>180</v>
      </c>
      <c r="F24" s="1200"/>
      <c r="G24" s="1201"/>
      <c r="H24" s="347">
        <f>SUM(H11:H23)</f>
        <v>0</v>
      </c>
      <c r="I24" s="170" t="s">
        <v>181</v>
      </c>
      <c r="J24" s="717" t="s">
        <v>180</v>
      </c>
      <c r="K24" s="360">
        <f>SUM(K5:K17)</f>
        <v>0</v>
      </c>
    </row>
    <row r="25" spans="2:23" s="168" customFormat="1" x14ac:dyDescent="0.3">
      <c r="B25" s="89"/>
      <c r="C25" s="352"/>
      <c r="D25" s="708"/>
      <c r="E25" s="355"/>
      <c r="F25" s="1076"/>
      <c r="G25" s="355"/>
      <c r="H25" s="1077"/>
      <c r="J25" s="1078"/>
      <c r="K25" s="1075"/>
    </row>
    <row r="26" spans="2:23" x14ac:dyDescent="0.3">
      <c r="B26" s="89" t="s">
        <v>170</v>
      </c>
      <c r="C26" s="1202" t="s">
        <v>1418</v>
      </c>
      <c r="D26" s="1203"/>
      <c r="E26" s="1203"/>
      <c r="F26" s="1203"/>
      <c r="G26" s="1203"/>
      <c r="H26" s="1204"/>
      <c r="I26" s="170"/>
      <c r="J26" s="549"/>
      <c r="K26" s="360"/>
      <c r="L26" s="170"/>
      <c r="W26"/>
    </row>
    <row r="27" spans="2:23" x14ac:dyDescent="0.3">
      <c r="B27" s="89" t="s">
        <v>170</v>
      </c>
      <c r="C27" s="703" t="s">
        <v>1419</v>
      </c>
      <c r="D27" s="522">
        <v>0</v>
      </c>
      <c r="E27" s="703" t="s">
        <v>172</v>
      </c>
      <c r="F27" s="341" t="s">
        <v>172</v>
      </c>
      <c r="G27" s="89">
        <v>65</v>
      </c>
      <c r="H27" s="342">
        <f>+G27*D27</f>
        <v>0</v>
      </c>
      <c r="I27" s="170"/>
      <c r="J27" s="522">
        <f t="shared" ref="J27:J28" si="6">D27</f>
        <v>0</v>
      </c>
      <c r="K27" s="716">
        <f>J27*G27</f>
        <v>0</v>
      </c>
      <c r="L27" s="170"/>
      <c r="W27"/>
    </row>
    <row r="28" spans="2:23" x14ac:dyDescent="0.3">
      <c r="B28" s="89" t="s">
        <v>170</v>
      </c>
      <c r="C28" s="710" t="s">
        <v>1420</v>
      </c>
      <c r="D28" s="522">
        <v>0</v>
      </c>
      <c r="E28" s="89">
        <v>1.5</v>
      </c>
      <c r="F28" s="351">
        <v>0.16</v>
      </c>
      <c r="G28" s="89">
        <v>20</v>
      </c>
      <c r="H28" s="342">
        <f t="shared" ref="H28" si="7">D28*E28*F28*G28</f>
        <v>0</v>
      </c>
      <c r="I28" s="168"/>
      <c r="J28" s="522">
        <f t="shared" si="6"/>
        <v>0</v>
      </c>
      <c r="K28" s="204">
        <f t="shared" ref="K28" si="8">G28*F28*E28*J28</f>
        <v>0</v>
      </c>
    </row>
    <row r="29" spans="2:23" s="168" customFormat="1" x14ac:dyDescent="0.3">
      <c r="B29" s="178"/>
      <c r="C29" s="352"/>
      <c r="D29" s="352"/>
      <c r="E29" s="1200" t="s">
        <v>180</v>
      </c>
      <c r="F29" s="1200"/>
      <c r="G29" s="1201"/>
      <c r="H29" s="347">
        <f>SUM(H27:H28)</f>
        <v>0</v>
      </c>
      <c r="I29" s="170" t="s">
        <v>181</v>
      </c>
      <c r="J29" s="717" t="s">
        <v>180</v>
      </c>
      <c r="K29" s="360">
        <f>SUM(K11:K23)</f>
        <v>0</v>
      </c>
    </row>
    <row r="30" spans="2:23" x14ac:dyDescent="0.3">
      <c r="B30" s="89" t="s">
        <v>170</v>
      </c>
      <c r="C30" s="1202" t="s">
        <v>195</v>
      </c>
      <c r="D30" s="1203"/>
      <c r="E30" s="1203"/>
      <c r="F30" s="1203"/>
      <c r="G30" s="1203"/>
      <c r="H30" s="1204"/>
      <c r="I30" s="170"/>
      <c r="J30" s="549"/>
      <c r="K30" s="360"/>
      <c r="L30" s="170"/>
      <c r="W30"/>
    </row>
    <row r="31" spans="2:23" x14ac:dyDescent="0.3">
      <c r="B31" s="89" t="s">
        <v>170</v>
      </c>
      <c r="C31" s="703" t="s">
        <v>1408</v>
      </c>
      <c r="D31" s="522">
        <v>0</v>
      </c>
      <c r="E31" s="703" t="s">
        <v>172</v>
      </c>
      <c r="F31" s="341" t="s">
        <v>172</v>
      </c>
      <c r="G31" s="89">
        <v>65</v>
      </c>
      <c r="H31" s="342">
        <f>+G31*D31</f>
        <v>0</v>
      </c>
      <c r="I31" s="170"/>
      <c r="J31" s="522">
        <f t="shared" ref="J31:J33" si="9">D31</f>
        <v>0</v>
      </c>
      <c r="K31" s="716">
        <f>J31*G31</f>
        <v>0</v>
      </c>
      <c r="L31" s="170"/>
      <c r="W31"/>
    </row>
    <row r="32" spans="2:23" x14ac:dyDescent="0.3">
      <c r="B32" s="89" t="s">
        <v>170</v>
      </c>
      <c r="C32" s="703" t="s">
        <v>1407</v>
      </c>
      <c r="D32" s="522">
        <v>0</v>
      </c>
      <c r="E32" s="89">
        <v>5</v>
      </c>
      <c r="F32" s="351">
        <v>0.16</v>
      </c>
      <c r="G32" s="89">
        <v>20</v>
      </c>
      <c r="H32" s="342">
        <f t="shared" ref="H32:H33" si="10">D32*E32*F32*G32</f>
        <v>0</v>
      </c>
      <c r="I32" s="168"/>
      <c r="J32" s="522">
        <f t="shared" si="9"/>
        <v>0</v>
      </c>
      <c r="K32" s="204">
        <f t="shared" ref="K32:K33" si="11">G32*F32*E32*J32</f>
        <v>0</v>
      </c>
    </row>
    <row r="33" spans="2:23" ht="15" thickBot="1" x14ac:dyDescent="0.35">
      <c r="B33" s="181" t="s">
        <v>170</v>
      </c>
      <c r="C33" s="710" t="s">
        <v>1409</v>
      </c>
      <c r="D33" s="711">
        <v>0</v>
      </c>
      <c r="E33" s="181">
        <v>3</v>
      </c>
      <c r="F33" s="702">
        <v>0.16</v>
      </c>
      <c r="G33" s="181">
        <v>20</v>
      </c>
      <c r="H33" s="344">
        <f t="shared" si="10"/>
        <v>0</v>
      </c>
      <c r="I33" s="168"/>
      <c r="J33" s="522">
        <f t="shared" si="9"/>
        <v>0</v>
      </c>
      <c r="K33" s="526">
        <f t="shared" si="11"/>
        <v>0</v>
      </c>
      <c r="W33"/>
    </row>
    <row r="34" spans="2:23" ht="15" thickTop="1" x14ac:dyDescent="0.3">
      <c r="B34" s="178"/>
      <c r="C34" s="352"/>
      <c r="D34" s="708">
        <f>SUM(D31:D33)</f>
        <v>0</v>
      </c>
      <c r="E34" s="1198" t="s">
        <v>180</v>
      </c>
      <c r="F34" s="1198"/>
      <c r="G34" s="1199"/>
      <c r="H34" s="709">
        <f>SUM(H31:H33)</f>
        <v>0</v>
      </c>
      <c r="I34" s="170" t="s">
        <v>181</v>
      </c>
      <c r="J34" s="717" t="s">
        <v>180</v>
      </c>
      <c r="K34" s="360">
        <f>SUM(K31:K33)</f>
        <v>0</v>
      </c>
      <c r="L34" s="832">
        <f>SUM(J31:J33)</f>
        <v>0</v>
      </c>
      <c r="W34"/>
    </row>
    <row r="35" spans="2:23" x14ac:dyDescent="0.3">
      <c r="B35" s="712" t="s">
        <v>170</v>
      </c>
      <c r="C35" s="1205" t="s">
        <v>196</v>
      </c>
      <c r="D35" s="1206"/>
      <c r="E35" s="1206"/>
      <c r="F35" s="1206"/>
      <c r="G35" s="1206"/>
      <c r="H35" s="1204"/>
      <c r="I35" s="168"/>
      <c r="J35" s="522"/>
      <c r="K35" s="204"/>
      <c r="W35"/>
    </row>
    <row r="36" spans="2:23" x14ac:dyDescent="0.3">
      <c r="B36" s="89" t="s">
        <v>170</v>
      </c>
      <c r="C36" s="703" t="s">
        <v>1410</v>
      </c>
      <c r="D36" s="522">
        <v>0</v>
      </c>
      <c r="E36" s="703" t="s">
        <v>172</v>
      </c>
      <c r="F36" s="341" t="s">
        <v>172</v>
      </c>
      <c r="G36" s="89">
        <v>65</v>
      </c>
      <c r="H36" s="342">
        <f>+G36*D36</f>
        <v>0</v>
      </c>
      <c r="I36" s="168"/>
      <c r="J36" s="522">
        <f t="shared" ref="J36:J37" si="12">D36</f>
        <v>0</v>
      </c>
      <c r="K36" s="204">
        <f>J36*G36</f>
        <v>0</v>
      </c>
      <c r="W36"/>
    </row>
    <row r="37" spans="2:23" x14ac:dyDescent="0.3">
      <c r="B37" s="89" t="s">
        <v>170</v>
      </c>
      <c r="C37" s="703" t="s">
        <v>1411</v>
      </c>
      <c r="D37" s="522">
        <v>0</v>
      </c>
      <c r="E37" s="89">
        <v>5</v>
      </c>
      <c r="F37" s="351">
        <v>0.16</v>
      </c>
      <c r="G37" s="89">
        <v>20</v>
      </c>
      <c r="H37" s="342">
        <f t="shared" ref="H37" si="13">D37*E37*F37*G37</f>
        <v>0</v>
      </c>
      <c r="I37" s="168"/>
      <c r="J37" s="522">
        <f t="shared" si="12"/>
        <v>0</v>
      </c>
      <c r="K37" s="204">
        <f t="shared" ref="K37" si="14">G37*F37*E37*J37</f>
        <v>0</v>
      </c>
    </row>
    <row r="38" spans="2:23" ht="15" thickBot="1" x14ac:dyDescent="0.35">
      <c r="B38" s="89" t="s">
        <v>170</v>
      </c>
      <c r="C38" s="703" t="s">
        <v>1412</v>
      </c>
      <c r="D38" s="522">
        <v>0</v>
      </c>
      <c r="E38" s="89">
        <v>3</v>
      </c>
      <c r="F38" s="341">
        <v>0.16</v>
      </c>
      <c r="G38" s="89">
        <v>20</v>
      </c>
      <c r="H38" s="344">
        <f t="shared" ref="H38" si="15">D38*E38*F38*G38</f>
        <v>0</v>
      </c>
      <c r="I38" s="168"/>
      <c r="J38" s="522">
        <f>D38</f>
        <v>0</v>
      </c>
      <c r="K38" s="526">
        <f t="shared" ref="K38" si="16">G38*F38*E38*J38</f>
        <v>0</v>
      </c>
      <c r="W38"/>
    </row>
    <row r="39" spans="2:23" ht="15.6" thickTop="1" thickBot="1" x14ac:dyDescent="0.35">
      <c r="B39" s="178"/>
      <c r="C39" s="352"/>
      <c r="D39" s="708">
        <f>SUM(D36:D38)</f>
        <v>0</v>
      </c>
      <c r="E39" s="1198" t="s">
        <v>180</v>
      </c>
      <c r="F39" s="1198"/>
      <c r="G39" s="1199"/>
      <c r="H39" s="713">
        <f>SUM(H36:H38)</f>
        <v>0</v>
      </c>
      <c r="I39" s="168"/>
      <c r="J39" s="717" t="s">
        <v>180</v>
      </c>
      <c r="K39" s="715">
        <f>SUM(K36:K38)</f>
        <v>0</v>
      </c>
      <c r="L39" s="832">
        <f>SUM(J36:J38)</f>
        <v>0</v>
      </c>
      <c r="W39"/>
    </row>
    <row r="40" spans="2:23" ht="15" thickTop="1" x14ac:dyDescent="0.3">
      <c r="B40" s="707"/>
      <c r="C40" s="550"/>
      <c r="D40" s="550"/>
      <c r="E40" s="1200" t="s">
        <v>197</v>
      </c>
      <c r="F40" s="1200"/>
      <c r="G40" s="1201"/>
      <c r="H40" s="347">
        <f>H39+H34+H29+H10+H24</f>
        <v>0</v>
      </c>
      <c r="I40" s="170" t="s">
        <v>181</v>
      </c>
      <c r="J40" s="550"/>
      <c r="K40" s="360">
        <f>K39+K34+K29+K10</f>
        <v>0</v>
      </c>
      <c r="L40" s="170" t="s">
        <v>181</v>
      </c>
      <c r="W40"/>
    </row>
    <row r="41" spans="2:23" x14ac:dyDescent="0.3">
      <c r="D41" s="348"/>
      <c r="F41" s="349"/>
      <c r="H41" s="350"/>
      <c r="I41" s="168"/>
      <c r="J41" s="348"/>
      <c r="W41"/>
    </row>
    <row r="42" spans="2:23" s="168" customFormat="1" x14ac:dyDescent="0.3">
      <c r="B42" s="361" t="s">
        <v>162</v>
      </c>
      <c r="C42" s="361" t="s">
        <v>34</v>
      </c>
      <c r="D42" s="361" t="s">
        <v>198</v>
      </c>
      <c r="E42" s="361" t="s">
        <v>199</v>
      </c>
      <c r="F42" s="361" t="s">
        <v>200</v>
      </c>
      <c r="G42" s="361" t="s">
        <v>166</v>
      </c>
      <c r="H42" s="362" t="s">
        <v>167</v>
      </c>
      <c r="J42" s="361"/>
      <c r="K42" s="552" t="s">
        <v>201</v>
      </c>
    </row>
    <row r="43" spans="2:23" ht="15" thickBot="1" x14ac:dyDescent="0.35">
      <c r="B43" s="177" t="s">
        <v>170</v>
      </c>
      <c r="C43" s="354" t="s">
        <v>202</v>
      </c>
      <c r="D43" s="522">
        <v>0</v>
      </c>
      <c r="E43" s="176">
        <v>105</v>
      </c>
      <c r="F43" s="343">
        <f>ROUND(D43/E43,2)</f>
        <v>0</v>
      </c>
      <c r="G43" s="176">
        <v>20</v>
      </c>
      <c r="H43" s="344">
        <f>F43*G43</f>
        <v>0</v>
      </c>
      <c r="I43" s="168"/>
      <c r="J43" s="543">
        <f>D43</f>
        <v>0</v>
      </c>
      <c r="K43" s="204">
        <f>G43*F43*E43*J43</f>
        <v>0</v>
      </c>
    </row>
    <row r="44" spans="2:23" ht="15" thickTop="1" x14ac:dyDescent="0.3">
      <c r="B44" s="178"/>
      <c r="C44" s="352"/>
      <c r="D44" s="352"/>
      <c r="E44" s="1200" t="s">
        <v>197</v>
      </c>
      <c r="F44" s="1200"/>
      <c r="G44" s="1201"/>
      <c r="H44" s="347">
        <f>H43</f>
        <v>0</v>
      </c>
      <c r="I44" s="170" t="s">
        <v>181</v>
      </c>
      <c r="J44" s="717" t="s">
        <v>180</v>
      </c>
      <c r="K44" s="551">
        <f>K43</f>
        <v>0</v>
      </c>
      <c r="L44" s="170" t="s">
        <v>181</v>
      </c>
    </row>
    <row r="45" spans="2:23" x14ac:dyDescent="0.3">
      <c r="B45" s="340"/>
      <c r="C45" s="340"/>
      <c r="D45" s="349"/>
      <c r="F45" s="349"/>
      <c r="H45" s="350"/>
      <c r="I45" s="168"/>
      <c r="J45" s="349"/>
    </row>
    <row r="46" spans="2:23" x14ac:dyDescent="0.3">
      <c r="B46" s="361" t="s">
        <v>162</v>
      </c>
      <c r="C46" s="361" t="s">
        <v>34</v>
      </c>
      <c r="D46" s="361" t="s">
        <v>203</v>
      </c>
      <c r="E46" s="361" t="s">
        <v>204</v>
      </c>
      <c r="F46" s="361" t="s">
        <v>200</v>
      </c>
      <c r="G46" s="361" t="s">
        <v>166</v>
      </c>
      <c r="H46" s="362" t="s">
        <v>167</v>
      </c>
      <c r="I46" s="168"/>
      <c r="J46" s="361"/>
      <c r="K46" s="552" t="s">
        <v>201</v>
      </c>
    </row>
    <row r="47" spans="2:23" ht="15" thickBot="1" x14ac:dyDescent="0.35">
      <c r="B47" s="177" t="s">
        <v>170</v>
      </c>
      <c r="C47" s="354" t="s">
        <v>205</v>
      </c>
      <c r="D47" s="522">
        <v>0</v>
      </c>
      <c r="E47" s="176">
        <v>0.02</v>
      </c>
      <c r="F47" s="343">
        <f>ROUND(D47*E47,2)</f>
        <v>0</v>
      </c>
      <c r="G47" s="176">
        <v>65</v>
      </c>
      <c r="H47" s="344">
        <f>F47*G47</f>
        <v>0</v>
      </c>
      <c r="I47" s="168"/>
      <c r="J47" s="543">
        <f>D47</f>
        <v>0</v>
      </c>
      <c r="K47" s="526">
        <f>G47*F47*E47*J47</f>
        <v>0</v>
      </c>
    </row>
    <row r="48" spans="2:23" ht="15" thickTop="1" x14ac:dyDescent="0.3">
      <c r="B48" s="178"/>
      <c r="C48" s="352"/>
      <c r="D48" s="410">
        <f>SUM(D3:D47)</f>
        <v>0</v>
      </c>
      <c r="E48" s="1200" t="s">
        <v>197</v>
      </c>
      <c r="F48" s="1200"/>
      <c r="G48" s="1201"/>
      <c r="H48" s="347">
        <f>H47</f>
        <v>0</v>
      </c>
      <c r="I48" s="170" t="s">
        <v>181</v>
      </c>
      <c r="J48" s="717" t="s">
        <v>180</v>
      </c>
      <c r="K48" s="360">
        <f>K47</f>
        <v>0</v>
      </c>
      <c r="L48" s="170" t="s">
        <v>181</v>
      </c>
    </row>
    <row r="49" spans="1:42" x14ac:dyDescent="0.3">
      <c r="B49" s="168"/>
      <c r="C49" s="168"/>
      <c r="D49" s="168"/>
      <c r="E49" s="168"/>
      <c r="F49" s="168"/>
      <c r="G49" s="168"/>
      <c r="H49" s="168"/>
      <c r="I49" s="168"/>
    </row>
    <row r="50" spans="1:42" x14ac:dyDescent="0.3">
      <c r="B50" s="361" t="s">
        <v>162</v>
      </c>
      <c r="C50" s="361" t="s">
        <v>34</v>
      </c>
      <c r="D50" s="361" t="s">
        <v>206</v>
      </c>
      <c r="E50" s="361"/>
      <c r="F50" s="361" t="s">
        <v>200</v>
      </c>
      <c r="G50" s="361" t="s">
        <v>166</v>
      </c>
      <c r="H50" s="362" t="s">
        <v>167</v>
      </c>
      <c r="I50" s="168"/>
      <c r="J50" s="361"/>
      <c r="K50" s="552" t="s">
        <v>201</v>
      </c>
    </row>
    <row r="51" spans="1:42" ht="15" thickBot="1" x14ac:dyDescent="0.35">
      <c r="B51" s="177" t="s">
        <v>170</v>
      </c>
      <c r="C51" s="354" t="s">
        <v>207</v>
      </c>
      <c r="D51" s="522">
        <v>0</v>
      </c>
      <c r="E51" s="176"/>
      <c r="F51" s="343">
        <f>D51</f>
        <v>0</v>
      </c>
      <c r="G51" s="176">
        <f>IF(F51&lt;1,0,IF(F51&lt;3,150,IF(F51&lt;6,300,IF(F51&gt;5,450,0))))</f>
        <v>0</v>
      </c>
      <c r="H51" s="344">
        <f>F51*G51</f>
        <v>0</v>
      </c>
      <c r="I51" s="168"/>
      <c r="J51" s="543">
        <f>D51</f>
        <v>0</v>
      </c>
      <c r="K51" s="526">
        <f>G51*F51*E51*J51</f>
        <v>0</v>
      </c>
    </row>
    <row r="52" spans="1:42" ht="15" thickTop="1" x14ac:dyDescent="0.3">
      <c r="B52" s="178"/>
      <c r="C52" s="352"/>
      <c r="D52" s="410">
        <f>SUM(D8:D51)</f>
        <v>0</v>
      </c>
      <c r="E52" s="1200" t="s">
        <v>197</v>
      </c>
      <c r="F52" s="1200"/>
      <c r="G52" s="1201"/>
      <c r="H52" s="347">
        <f>H51</f>
        <v>0</v>
      </c>
      <c r="I52" s="170" t="s">
        <v>181</v>
      </c>
      <c r="J52" s="717" t="s">
        <v>180</v>
      </c>
      <c r="K52" s="360">
        <f>K51</f>
        <v>0</v>
      </c>
      <c r="L52" s="170" t="s">
        <v>181</v>
      </c>
    </row>
    <row r="53" spans="1:42" x14ac:dyDescent="0.3">
      <c r="B53" s="352"/>
      <c r="C53" s="352"/>
      <c r="D53" s="1047"/>
      <c r="E53" s="762"/>
      <c r="F53" s="762"/>
      <c r="G53" s="762"/>
      <c r="H53" s="684"/>
      <c r="I53" s="170"/>
      <c r="J53" s="349"/>
      <c r="K53" s="170"/>
      <c r="L53" s="170"/>
    </row>
    <row r="54" spans="1:42" ht="57.6" x14ac:dyDescent="0.3">
      <c r="B54" s="361" t="s">
        <v>162</v>
      </c>
      <c r="C54" s="361" t="s">
        <v>34</v>
      </c>
      <c r="D54" s="577" t="s">
        <v>225</v>
      </c>
      <c r="E54" s="577" t="s">
        <v>226</v>
      </c>
      <c r="F54" s="577" t="s">
        <v>227</v>
      </c>
      <c r="G54" s="764" t="s">
        <v>211</v>
      </c>
      <c r="H54" s="578" t="s">
        <v>110</v>
      </c>
      <c r="I54" s="1064"/>
      <c r="J54" s="577" t="s">
        <v>1404</v>
      </c>
      <c r="K54" s="577" t="s">
        <v>91</v>
      </c>
      <c r="L54" s="170"/>
    </row>
    <row r="55" spans="1:42" s="579" customFormat="1" x14ac:dyDescent="0.3">
      <c r="A55" s="576"/>
      <c r="B55" s="177" t="s">
        <v>170</v>
      </c>
      <c r="C55" s="354" t="s">
        <v>224</v>
      </c>
      <c r="L55" s="576"/>
      <c r="M55" s="576"/>
      <c r="N55" s="576"/>
      <c r="O55" s="576"/>
      <c r="P55" s="576"/>
      <c r="Q55" s="576"/>
      <c r="R55" s="576"/>
      <c r="S55" s="576"/>
      <c r="T55" s="576"/>
      <c r="U55" s="576"/>
      <c r="V55" s="576"/>
      <c r="W55" s="576"/>
      <c r="X55" s="576"/>
      <c r="Y55" s="576"/>
      <c r="Z55" s="576"/>
      <c r="AA55" s="576"/>
      <c r="AB55" s="576"/>
      <c r="AC55" s="576"/>
      <c r="AD55" s="576"/>
      <c r="AE55" s="576"/>
      <c r="AF55" s="576"/>
      <c r="AG55" s="576"/>
      <c r="AH55" s="576"/>
      <c r="AI55" s="576"/>
      <c r="AJ55" s="576"/>
      <c r="AK55" s="576"/>
      <c r="AL55" s="576"/>
      <c r="AM55" s="576"/>
      <c r="AN55" s="576"/>
      <c r="AO55" s="576"/>
      <c r="AP55" s="576"/>
    </row>
    <row r="56" spans="1:42" s="106" customFormat="1" x14ac:dyDescent="0.3">
      <c r="A56" s="170"/>
      <c r="B56" s="177" t="s">
        <v>170</v>
      </c>
      <c r="C56" s="1067" t="s">
        <v>1403</v>
      </c>
      <c r="D56" s="363"/>
      <c r="E56" s="363"/>
      <c r="F56" s="564"/>
      <c r="G56" s="172"/>
      <c r="H56" s="89"/>
      <c r="I56" s="528"/>
      <c r="J56" s="363"/>
      <c r="K56" s="571"/>
      <c r="L56" s="170"/>
      <c r="M56" s="170"/>
      <c r="N56" s="170"/>
      <c r="O56" s="170"/>
      <c r="P56" s="170"/>
      <c r="Q56" s="170"/>
      <c r="R56" s="170"/>
      <c r="S56" s="170"/>
      <c r="T56" s="170"/>
      <c r="U56" s="170"/>
      <c r="V56" s="170"/>
      <c r="W56" s="170"/>
      <c r="X56" s="170"/>
      <c r="Y56" s="170"/>
      <c r="Z56" s="170"/>
      <c r="AA56" s="170"/>
      <c r="AB56" s="170"/>
      <c r="AC56" s="170"/>
      <c r="AD56" s="170"/>
      <c r="AE56" s="170"/>
      <c r="AF56" s="170"/>
      <c r="AG56" s="170"/>
      <c r="AH56" s="170"/>
      <c r="AI56" s="170"/>
      <c r="AJ56" s="170"/>
      <c r="AK56" s="170"/>
      <c r="AL56" s="170"/>
      <c r="AM56" s="170"/>
      <c r="AN56" s="170"/>
      <c r="AO56" s="170"/>
      <c r="AP56" s="170"/>
    </row>
    <row r="57" spans="1:42" s="106" customFormat="1" x14ac:dyDescent="0.3">
      <c r="A57" s="170"/>
      <c r="B57" s="177" t="s">
        <v>170</v>
      </c>
      <c r="C57" s="515" t="s">
        <v>1400</v>
      </c>
      <c r="D57" s="363">
        <v>0</v>
      </c>
      <c r="E57" s="363"/>
      <c r="F57" s="564"/>
      <c r="G57" s="172">
        <v>50</v>
      </c>
      <c r="H57" s="342">
        <f>G57*D57</f>
        <v>0</v>
      </c>
      <c r="I57" s="528"/>
      <c r="J57" s="363">
        <v>0</v>
      </c>
      <c r="K57" s="573">
        <f>J57*G57</f>
        <v>0</v>
      </c>
      <c r="L57" s="170"/>
      <c r="M57" s="170"/>
      <c r="N57" s="170"/>
      <c r="O57" s="170"/>
      <c r="P57" s="170"/>
      <c r="Q57" s="170"/>
      <c r="R57" s="170"/>
      <c r="S57" s="170"/>
      <c r="T57" s="170"/>
      <c r="U57" s="170"/>
      <c r="V57" s="170"/>
      <c r="W57" s="170"/>
      <c r="X57" s="170"/>
      <c r="Y57" s="170"/>
      <c r="Z57" s="170"/>
      <c r="AA57" s="170"/>
      <c r="AB57" s="170"/>
      <c r="AC57" s="170"/>
      <c r="AD57" s="170"/>
      <c r="AE57" s="170"/>
      <c r="AF57" s="170"/>
      <c r="AG57" s="170"/>
      <c r="AH57" s="170"/>
      <c r="AI57" s="170"/>
      <c r="AJ57" s="170"/>
      <c r="AK57" s="170"/>
      <c r="AL57" s="170"/>
      <c r="AM57" s="170"/>
      <c r="AN57" s="170"/>
      <c r="AO57" s="170"/>
      <c r="AP57" s="170"/>
    </row>
    <row r="58" spans="1:42" s="106" customFormat="1" x14ac:dyDescent="0.3">
      <c r="A58" s="170"/>
      <c r="B58" s="177" t="s">
        <v>170</v>
      </c>
      <c r="C58" s="515" t="s">
        <v>229</v>
      </c>
      <c r="D58" s="363">
        <v>0</v>
      </c>
      <c r="E58" s="363"/>
      <c r="F58" s="564"/>
      <c r="G58" s="172">
        <v>50</v>
      </c>
      <c r="H58" s="342">
        <f>G58*D58</f>
        <v>0</v>
      </c>
      <c r="I58" s="528"/>
      <c r="J58" s="363">
        <v>0</v>
      </c>
      <c r="K58" s="573">
        <f t="shared" ref="K58:K59" si="17">J58*G58</f>
        <v>0</v>
      </c>
      <c r="L58" s="170"/>
      <c r="M58" s="170"/>
      <c r="N58" s="170"/>
      <c r="O58" s="170"/>
      <c r="P58" s="170"/>
      <c r="Q58" s="170"/>
      <c r="R58" s="170"/>
      <c r="S58" s="170"/>
      <c r="T58" s="170"/>
      <c r="U58" s="170"/>
      <c r="V58" s="170"/>
      <c r="W58" s="170"/>
      <c r="X58" s="170"/>
      <c r="Y58" s="170"/>
      <c r="Z58" s="170"/>
      <c r="AA58" s="170"/>
      <c r="AB58" s="170"/>
      <c r="AC58" s="170"/>
      <c r="AD58" s="170"/>
      <c r="AE58" s="170"/>
      <c r="AF58" s="170"/>
      <c r="AG58" s="170"/>
      <c r="AH58" s="170"/>
      <c r="AI58" s="170"/>
      <c r="AJ58" s="170"/>
      <c r="AK58" s="170"/>
      <c r="AL58" s="170"/>
      <c r="AM58" s="170"/>
      <c r="AN58" s="170"/>
      <c r="AO58" s="170"/>
      <c r="AP58" s="170"/>
    </row>
    <row r="59" spans="1:42" s="106" customFormat="1" x14ac:dyDescent="0.3">
      <c r="A59" s="170"/>
      <c r="B59" s="177" t="s">
        <v>170</v>
      </c>
      <c r="C59" s="1067" t="s">
        <v>230</v>
      </c>
      <c r="D59" s="363">
        <v>0</v>
      </c>
      <c r="E59" s="363"/>
      <c r="F59" s="564"/>
      <c r="G59" s="172">
        <v>30</v>
      </c>
      <c r="H59" s="342">
        <f>G59*D59</f>
        <v>0</v>
      </c>
      <c r="I59" s="528"/>
      <c r="J59" s="363">
        <v>0</v>
      </c>
      <c r="K59" s="573">
        <f t="shared" si="17"/>
        <v>0</v>
      </c>
      <c r="L59" s="170"/>
      <c r="M59" s="170"/>
      <c r="N59" s="170"/>
      <c r="O59" s="170"/>
      <c r="P59" s="170"/>
      <c r="Q59" s="170"/>
      <c r="R59" s="170"/>
      <c r="S59" s="170"/>
      <c r="T59" s="170"/>
      <c r="U59" s="170"/>
      <c r="V59" s="170"/>
      <c r="W59" s="170"/>
      <c r="X59" s="170"/>
      <c r="Y59" s="170"/>
      <c r="Z59" s="170"/>
      <c r="AA59" s="170"/>
      <c r="AB59" s="170"/>
      <c r="AC59" s="170"/>
      <c r="AD59" s="170"/>
      <c r="AE59" s="170"/>
      <c r="AF59" s="170"/>
      <c r="AG59" s="170"/>
      <c r="AH59" s="170"/>
      <c r="AI59" s="170"/>
      <c r="AJ59" s="170"/>
      <c r="AK59" s="170"/>
      <c r="AL59" s="170"/>
      <c r="AM59" s="170"/>
      <c r="AN59" s="170"/>
      <c r="AO59" s="170"/>
      <c r="AP59" s="170"/>
    </row>
    <row r="60" spans="1:42" s="106" customFormat="1" x14ac:dyDescent="0.3">
      <c r="A60" s="170"/>
      <c r="B60" s="177" t="s">
        <v>170</v>
      </c>
      <c r="C60" s="1067" t="s">
        <v>231</v>
      </c>
      <c r="D60" s="363"/>
      <c r="E60" s="363"/>
      <c r="F60" s="564"/>
      <c r="G60" s="172"/>
      <c r="H60" s="342"/>
      <c r="I60" s="528"/>
      <c r="J60" s="363"/>
      <c r="K60" s="575"/>
      <c r="L60" s="170"/>
      <c r="M60" s="170"/>
      <c r="N60" s="170"/>
      <c r="O60" s="170"/>
      <c r="P60" s="170"/>
      <c r="Q60" s="170"/>
      <c r="R60" s="170"/>
      <c r="S60" s="170"/>
      <c r="T60" s="170"/>
      <c r="U60" s="170"/>
      <c r="V60" s="170"/>
      <c r="W60" s="170"/>
      <c r="X60" s="170"/>
      <c r="Y60" s="170"/>
      <c r="Z60" s="170"/>
      <c r="AA60" s="170"/>
      <c r="AB60" s="170"/>
      <c r="AC60" s="170"/>
      <c r="AD60" s="170"/>
      <c r="AE60" s="170"/>
      <c r="AF60" s="170"/>
      <c r="AG60" s="170"/>
      <c r="AH60" s="170"/>
      <c r="AI60" s="170"/>
      <c r="AJ60" s="170"/>
      <c r="AK60" s="170"/>
      <c r="AL60" s="170"/>
      <c r="AM60" s="170"/>
      <c r="AN60" s="170"/>
      <c r="AO60" s="170"/>
      <c r="AP60" s="170"/>
    </row>
    <row r="61" spans="1:42" s="106" customFormat="1" x14ac:dyDescent="0.3">
      <c r="A61" s="170"/>
      <c r="B61" s="177" t="s">
        <v>170</v>
      </c>
      <c r="C61" s="515" t="s">
        <v>232</v>
      </c>
      <c r="D61" s="363">
        <v>0</v>
      </c>
      <c r="E61" s="564">
        <v>18</v>
      </c>
      <c r="F61" s="564">
        <v>0.76</v>
      </c>
      <c r="G61" s="172">
        <v>20</v>
      </c>
      <c r="H61" s="342">
        <f>(D61/E61)*F61*G61</f>
        <v>0</v>
      </c>
      <c r="I61" s="528"/>
      <c r="J61" s="363">
        <v>0</v>
      </c>
      <c r="K61" s="573">
        <f>(D61/E61)*G61*F61</f>
        <v>0</v>
      </c>
      <c r="L61" s="170"/>
      <c r="M61" s="170"/>
      <c r="N61" s="170"/>
      <c r="O61" s="170"/>
      <c r="P61" s="170"/>
      <c r="Q61" s="170"/>
      <c r="R61" s="170"/>
      <c r="S61" s="170"/>
      <c r="T61" s="170"/>
      <c r="U61" s="170"/>
      <c r="V61" s="170"/>
      <c r="W61" s="170"/>
      <c r="X61" s="170"/>
      <c r="Y61" s="170"/>
      <c r="Z61" s="170"/>
      <c r="AA61" s="170"/>
      <c r="AB61" s="170"/>
      <c r="AC61" s="170"/>
      <c r="AD61" s="170"/>
      <c r="AE61" s="170"/>
      <c r="AF61" s="170"/>
      <c r="AG61" s="170"/>
      <c r="AH61" s="170"/>
      <c r="AI61" s="170"/>
      <c r="AJ61" s="170"/>
      <c r="AK61" s="170"/>
      <c r="AL61" s="170"/>
      <c r="AM61" s="170"/>
      <c r="AN61" s="170"/>
      <c r="AO61" s="170"/>
      <c r="AP61" s="170"/>
    </row>
    <row r="62" spans="1:42" s="106" customFormat="1" x14ac:dyDescent="0.3">
      <c r="A62" s="170"/>
      <c r="B62" s="177" t="s">
        <v>170</v>
      </c>
      <c r="C62" s="515" t="s">
        <v>233</v>
      </c>
      <c r="D62" s="363">
        <v>0</v>
      </c>
      <c r="E62" s="564">
        <v>9</v>
      </c>
      <c r="F62" s="564">
        <v>1.49</v>
      </c>
      <c r="G62" s="172">
        <v>20</v>
      </c>
      <c r="H62" s="342">
        <f>(D62/E62)*F62*G62</f>
        <v>0</v>
      </c>
      <c r="I62" s="528"/>
      <c r="J62" s="363">
        <v>0</v>
      </c>
      <c r="K62" s="573">
        <f t="shared" ref="K62:K64" si="18">(D62/E62)*G62*F62</f>
        <v>0</v>
      </c>
      <c r="L62" s="170"/>
      <c r="M62" s="170"/>
      <c r="N62" s="170"/>
      <c r="O62" s="170"/>
      <c r="P62" s="170"/>
      <c r="Q62" s="170"/>
      <c r="R62" s="170"/>
      <c r="S62" s="170"/>
      <c r="T62" s="170"/>
      <c r="U62" s="170"/>
      <c r="V62" s="170"/>
      <c r="W62" s="170"/>
      <c r="X62" s="170"/>
      <c r="Y62" s="170"/>
      <c r="Z62" s="170"/>
      <c r="AA62" s="170"/>
      <c r="AB62" s="170"/>
      <c r="AC62" s="170"/>
      <c r="AD62" s="170"/>
      <c r="AE62" s="170"/>
      <c r="AF62" s="170"/>
      <c r="AG62" s="170"/>
      <c r="AH62" s="170"/>
      <c r="AI62" s="170"/>
      <c r="AJ62" s="170"/>
      <c r="AK62" s="170"/>
      <c r="AL62" s="170"/>
      <c r="AM62" s="170"/>
      <c r="AN62" s="170"/>
      <c r="AO62" s="170"/>
      <c r="AP62" s="170"/>
    </row>
    <row r="63" spans="1:42" s="106" customFormat="1" x14ac:dyDescent="0.3">
      <c r="A63" s="170"/>
      <c r="B63" s="177" t="s">
        <v>170</v>
      </c>
      <c r="C63" s="515" t="s">
        <v>234</v>
      </c>
      <c r="D63" s="363">
        <v>0</v>
      </c>
      <c r="E63" s="564">
        <v>6</v>
      </c>
      <c r="F63" s="564">
        <v>0.76300000000000001</v>
      </c>
      <c r="G63" s="172">
        <v>20</v>
      </c>
      <c r="H63" s="342">
        <f>(D63/E63)*F63*G63</f>
        <v>0</v>
      </c>
      <c r="I63" s="528"/>
      <c r="J63" s="363">
        <v>0</v>
      </c>
      <c r="K63" s="573">
        <f t="shared" si="18"/>
        <v>0</v>
      </c>
      <c r="L63" s="170"/>
      <c r="M63" s="170"/>
      <c r="N63" s="170"/>
      <c r="O63" s="170"/>
      <c r="P63" s="170"/>
      <c r="Q63" s="170"/>
      <c r="R63" s="170"/>
      <c r="S63" s="170"/>
      <c r="T63" s="170"/>
      <c r="U63" s="170"/>
      <c r="V63" s="170"/>
      <c r="W63" s="170"/>
      <c r="X63" s="170"/>
      <c r="Y63" s="170"/>
      <c r="Z63" s="170"/>
      <c r="AA63" s="170"/>
      <c r="AB63" s="170"/>
      <c r="AC63" s="170"/>
      <c r="AD63" s="170"/>
      <c r="AE63" s="170"/>
      <c r="AF63" s="170"/>
      <c r="AG63" s="170"/>
      <c r="AH63" s="170"/>
      <c r="AI63" s="170"/>
      <c r="AJ63" s="170"/>
      <c r="AK63" s="170"/>
      <c r="AL63" s="170"/>
      <c r="AM63" s="170"/>
      <c r="AN63" s="170"/>
      <c r="AO63" s="170"/>
      <c r="AP63" s="170"/>
    </row>
    <row r="64" spans="1:42" s="106" customFormat="1" x14ac:dyDescent="0.3">
      <c r="A64" s="170"/>
      <c r="B64" s="177" t="s">
        <v>170</v>
      </c>
      <c r="C64" s="515" t="s">
        <v>235</v>
      </c>
      <c r="D64" s="363">
        <v>0</v>
      </c>
      <c r="E64" s="564">
        <v>6</v>
      </c>
      <c r="F64" s="564">
        <v>1.48</v>
      </c>
      <c r="G64" s="172">
        <v>20</v>
      </c>
      <c r="H64" s="342">
        <f>(D64/E64)*F64*G64</f>
        <v>0</v>
      </c>
      <c r="I64" s="528"/>
      <c r="J64" s="363">
        <v>0</v>
      </c>
      <c r="K64" s="573">
        <f t="shared" si="18"/>
        <v>0</v>
      </c>
      <c r="L64" s="170"/>
      <c r="M64" s="170"/>
      <c r="N64" s="170"/>
      <c r="O64" s="170"/>
      <c r="P64" s="170"/>
      <c r="Q64" s="170"/>
      <c r="R64" s="170"/>
      <c r="S64" s="170"/>
      <c r="T64" s="170"/>
      <c r="U64" s="170"/>
      <c r="V64" s="170"/>
      <c r="W64" s="170"/>
      <c r="X64" s="170"/>
      <c r="Y64" s="170"/>
      <c r="Z64" s="170"/>
      <c r="AA64" s="170"/>
      <c r="AB64" s="170"/>
      <c r="AC64" s="170"/>
      <c r="AD64" s="170"/>
      <c r="AE64" s="170"/>
      <c r="AF64" s="170"/>
      <c r="AG64" s="170"/>
      <c r="AH64" s="170"/>
      <c r="AI64" s="170"/>
      <c r="AJ64" s="170"/>
      <c r="AK64" s="170"/>
      <c r="AL64" s="170"/>
      <c r="AM64" s="170"/>
      <c r="AN64" s="170"/>
      <c r="AO64" s="170"/>
      <c r="AP64" s="170"/>
    </row>
    <row r="65" spans="1:42" s="106" customFormat="1" x14ac:dyDescent="0.3">
      <c r="A65" s="170"/>
      <c r="B65" s="177" t="s">
        <v>170</v>
      </c>
      <c r="C65" s="1067" t="s">
        <v>1393</v>
      </c>
      <c r="D65" s="363"/>
      <c r="E65" s="564"/>
      <c r="F65" s="564"/>
      <c r="G65" s="172"/>
      <c r="H65" s="342"/>
      <c r="I65" s="528"/>
      <c r="J65" s="363"/>
      <c r="K65" s="573"/>
      <c r="L65" s="170"/>
      <c r="M65" s="170"/>
      <c r="N65" s="170"/>
      <c r="O65" s="170"/>
      <c r="P65" s="170"/>
      <c r="Q65" s="170"/>
      <c r="R65" s="170"/>
      <c r="S65" s="170"/>
      <c r="T65" s="170"/>
      <c r="U65" s="170"/>
      <c r="V65" s="170"/>
      <c r="W65" s="170"/>
      <c r="X65" s="170"/>
      <c r="Y65" s="170"/>
      <c r="Z65" s="170"/>
      <c r="AA65" s="170"/>
      <c r="AB65" s="170"/>
      <c r="AC65" s="170"/>
      <c r="AD65" s="170"/>
      <c r="AE65" s="170"/>
      <c r="AF65" s="170"/>
      <c r="AG65" s="170"/>
      <c r="AH65" s="170"/>
      <c r="AI65" s="170"/>
      <c r="AJ65" s="170"/>
      <c r="AK65" s="170"/>
      <c r="AL65" s="170"/>
      <c r="AM65" s="170"/>
      <c r="AN65" s="170"/>
      <c r="AO65" s="170"/>
      <c r="AP65" s="170"/>
    </row>
    <row r="66" spans="1:42" s="106" customFormat="1" x14ac:dyDescent="0.3">
      <c r="A66" s="170"/>
      <c r="B66" s="177" t="s">
        <v>170</v>
      </c>
      <c r="C66" s="515" t="s">
        <v>1399</v>
      </c>
      <c r="D66" s="522">
        <v>0</v>
      </c>
      <c r="E66" s="564">
        <v>2</v>
      </c>
      <c r="F66" s="341">
        <v>0.16</v>
      </c>
      <c r="G66" s="172">
        <v>20</v>
      </c>
      <c r="H66" s="342"/>
      <c r="I66" s="528"/>
      <c r="J66" s="522">
        <v>0</v>
      </c>
      <c r="K66" s="573">
        <f>G66*F66*E66*D66</f>
        <v>0</v>
      </c>
      <c r="L66" s="170"/>
      <c r="M66" s="170"/>
      <c r="N66" s="170"/>
      <c r="O66" s="170"/>
      <c r="P66" s="170"/>
      <c r="Q66" s="170"/>
      <c r="R66" s="170"/>
      <c r="S66" s="170"/>
      <c r="T66" s="170"/>
      <c r="U66" s="170"/>
      <c r="V66" s="170"/>
      <c r="W66" s="170"/>
      <c r="X66" s="170"/>
      <c r="Y66" s="170"/>
      <c r="Z66" s="170"/>
      <c r="AA66" s="170"/>
      <c r="AB66" s="170"/>
      <c r="AC66" s="170"/>
      <c r="AD66" s="170"/>
      <c r="AE66" s="170"/>
      <c r="AF66" s="170"/>
      <c r="AG66" s="170"/>
      <c r="AH66" s="170"/>
      <c r="AI66" s="170"/>
      <c r="AJ66" s="170"/>
      <c r="AK66" s="170"/>
      <c r="AL66" s="170"/>
      <c r="AM66" s="170"/>
      <c r="AN66" s="170"/>
      <c r="AO66" s="170"/>
      <c r="AP66" s="170"/>
    </row>
    <row r="67" spans="1:42" s="106" customFormat="1" x14ac:dyDescent="0.3">
      <c r="A67" s="170"/>
      <c r="B67" s="177" t="s">
        <v>170</v>
      </c>
      <c r="C67" s="1067" t="s">
        <v>236</v>
      </c>
      <c r="D67" s="363"/>
      <c r="E67" s="564"/>
      <c r="F67" s="564"/>
      <c r="G67" s="172"/>
      <c r="H67" s="342"/>
      <c r="I67" s="528"/>
      <c r="J67" s="363"/>
      <c r="K67" s="575"/>
      <c r="L67" s="170"/>
      <c r="M67" s="170"/>
      <c r="N67" s="170"/>
      <c r="O67" s="170"/>
      <c r="P67" s="170"/>
      <c r="Q67" s="170"/>
      <c r="R67" s="170"/>
      <c r="S67" s="170"/>
      <c r="T67" s="170"/>
      <c r="U67" s="170"/>
      <c r="V67" s="170"/>
      <c r="W67" s="170"/>
      <c r="X67" s="170"/>
      <c r="Y67" s="170"/>
      <c r="Z67" s="170"/>
      <c r="AA67" s="170"/>
      <c r="AB67" s="170"/>
      <c r="AC67" s="170"/>
      <c r="AD67" s="170"/>
      <c r="AE67" s="170"/>
      <c r="AF67" s="170"/>
      <c r="AG67" s="170"/>
      <c r="AH67" s="170"/>
      <c r="AI67" s="170"/>
      <c r="AJ67" s="170"/>
      <c r="AK67" s="170"/>
      <c r="AL67" s="170"/>
      <c r="AM67" s="170"/>
      <c r="AN67" s="170"/>
      <c r="AO67" s="170"/>
      <c r="AP67" s="170"/>
    </row>
    <row r="68" spans="1:42" x14ac:dyDescent="0.3">
      <c r="B68" s="177" t="s">
        <v>170</v>
      </c>
      <c r="C68" s="565" t="s">
        <v>237</v>
      </c>
      <c r="D68" s="566">
        <v>0</v>
      </c>
      <c r="E68" s="567">
        <v>16</v>
      </c>
      <c r="F68" s="567">
        <v>3.97</v>
      </c>
      <c r="G68" s="568">
        <v>30</v>
      </c>
      <c r="H68" s="574">
        <f>(D68/E68)*F68*G68</f>
        <v>0</v>
      </c>
      <c r="I68" s="1065"/>
      <c r="J68" s="566">
        <v>0</v>
      </c>
      <c r="K68" s="525">
        <f>(J68/E68)*G68*F68</f>
        <v>0</v>
      </c>
      <c r="X68" s="168"/>
      <c r="Y68" s="168"/>
      <c r="Z68" s="168"/>
      <c r="AA68" s="168"/>
      <c r="AB68" s="168"/>
      <c r="AC68" s="168"/>
      <c r="AD68" s="168"/>
      <c r="AE68" s="168"/>
      <c r="AF68" s="168"/>
      <c r="AG68" s="168"/>
      <c r="AH68" s="168"/>
      <c r="AI68" s="168"/>
      <c r="AJ68" s="168"/>
      <c r="AK68" s="168"/>
      <c r="AL68" s="168"/>
      <c r="AM68" s="168"/>
      <c r="AN68" s="168"/>
      <c r="AO68" s="168"/>
      <c r="AP68" s="168"/>
    </row>
    <row r="69" spans="1:42" x14ac:dyDescent="0.3">
      <c r="B69" s="177" t="s">
        <v>170</v>
      </c>
      <c r="C69" s="1068" t="s">
        <v>238</v>
      </c>
      <c r="D69" s="566"/>
      <c r="E69" s="567"/>
      <c r="F69" s="567"/>
      <c r="G69" s="568"/>
      <c r="H69" s="574"/>
      <c r="I69" s="1065"/>
      <c r="J69" s="566"/>
      <c r="K69" s="525"/>
      <c r="X69" s="168"/>
      <c r="Y69" s="168"/>
      <c r="Z69" s="168"/>
      <c r="AA69" s="168"/>
      <c r="AB69" s="168"/>
      <c r="AC69" s="168"/>
      <c r="AD69" s="168"/>
      <c r="AE69" s="168"/>
      <c r="AF69" s="168"/>
      <c r="AG69" s="168"/>
      <c r="AH69" s="168"/>
      <c r="AI69" s="168"/>
      <c r="AJ69" s="168"/>
      <c r="AK69" s="168"/>
      <c r="AL69" s="168"/>
      <c r="AM69" s="168"/>
      <c r="AN69" s="168"/>
      <c r="AO69" s="168"/>
      <c r="AP69" s="168"/>
    </row>
    <row r="70" spans="1:42" x14ac:dyDescent="0.3">
      <c r="B70" s="177" t="s">
        <v>170</v>
      </c>
      <c r="C70" s="565" t="s">
        <v>239</v>
      </c>
      <c r="D70" s="566">
        <v>0</v>
      </c>
      <c r="E70" s="567">
        <v>3</v>
      </c>
      <c r="F70" s="567">
        <v>0.36499999999999999</v>
      </c>
      <c r="G70" s="568">
        <v>15</v>
      </c>
      <c r="H70" s="574">
        <f>(D70/E70)*F70*G70</f>
        <v>0</v>
      </c>
      <c r="I70" s="1065"/>
      <c r="J70" s="566">
        <v>0</v>
      </c>
      <c r="K70" s="525">
        <f>(J70/E70)*G70*F70</f>
        <v>0</v>
      </c>
      <c r="X70" s="168"/>
      <c r="Y70" s="168"/>
      <c r="Z70" s="168"/>
      <c r="AA70" s="168"/>
      <c r="AB70" s="168"/>
      <c r="AC70" s="168"/>
      <c r="AD70" s="168"/>
      <c r="AE70" s="168"/>
      <c r="AF70" s="168"/>
      <c r="AG70" s="168"/>
      <c r="AH70" s="168"/>
      <c r="AI70" s="168"/>
      <c r="AJ70" s="168"/>
      <c r="AK70" s="168"/>
      <c r="AL70" s="168"/>
      <c r="AM70" s="168"/>
      <c r="AN70" s="168"/>
      <c r="AO70" s="168"/>
      <c r="AP70" s="168"/>
    </row>
    <row r="71" spans="1:42" x14ac:dyDescent="0.3">
      <c r="B71" s="177" t="s">
        <v>170</v>
      </c>
      <c r="C71" s="565" t="s">
        <v>240</v>
      </c>
      <c r="D71" s="566">
        <v>0</v>
      </c>
      <c r="E71" s="567">
        <v>6</v>
      </c>
      <c r="F71" s="567">
        <v>0.78749999999999998</v>
      </c>
      <c r="G71" s="568">
        <v>15</v>
      </c>
      <c r="H71" s="574">
        <f>(D71/E71)*F71*G71</f>
        <v>0</v>
      </c>
      <c r="I71" s="1065"/>
      <c r="J71" s="566">
        <v>0</v>
      </c>
      <c r="K71" s="525">
        <f t="shared" ref="K71:K72" si="19">(J71/E71)*G71*F71</f>
        <v>0</v>
      </c>
      <c r="X71" s="168"/>
      <c r="Y71" s="168"/>
      <c r="Z71" s="168"/>
      <c r="AA71" s="168"/>
      <c r="AB71" s="168"/>
      <c r="AC71" s="168"/>
      <c r="AD71" s="168"/>
      <c r="AE71" s="168"/>
      <c r="AF71" s="168"/>
      <c r="AG71" s="168"/>
      <c r="AH71" s="168"/>
      <c r="AI71" s="168"/>
      <c r="AJ71" s="168"/>
      <c r="AK71" s="168"/>
      <c r="AL71" s="168"/>
      <c r="AM71" s="168"/>
      <c r="AN71" s="168"/>
      <c r="AO71" s="168"/>
      <c r="AP71" s="168"/>
    </row>
    <row r="72" spans="1:42" ht="15" thickBot="1" x14ac:dyDescent="0.35">
      <c r="B72" s="177" t="s">
        <v>170</v>
      </c>
      <c r="C72" s="569" t="s">
        <v>241</v>
      </c>
      <c r="D72" s="364">
        <v>0</v>
      </c>
      <c r="E72" s="570">
        <v>2</v>
      </c>
      <c r="F72" s="570">
        <v>1.66</v>
      </c>
      <c r="G72" s="175">
        <v>15</v>
      </c>
      <c r="H72" s="344">
        <f>(D72/E72)*F72*G72</f>
        <v>0</v>
      </c>
      <c r="I72" s="1065"/>
      <c r="J72" s="364">
        <v>0</v>
      </c>
      <c r="K72" s="1070">
        <f t="shared" si="19"/>
        <v>0</v>
      </c>
      <c r="X72" s="168"/>
      <c r="Y72" s="168"/>
      <c r="Z72" s="168"/>
      <c r="AA72" s="168"/>
      <c r="AB72" s="168"/>
      <c r="AC72" s="168"/>
      <c r="AD72" s="168"/>
      <c r="AE72" s="168"/>
      <c r="AF72" s="168"/>
      <c r="AG72" s="168"/>
      <c r="AH72" s="168"/>
      <c r="AI72" s="168"/>
      <c r="AJ72" s="168"/>
      <c r="AK72" s="168"/>
      <c r="AL72" s="168"/>
      <c r="AM72" s="168"/>
      <c r="AN72" s="168"/>
      <c r="AO72" s="168"/>
      <c r="AP72" s="168"/>
    </row>
    <row r="73" spans="1:42" s="168" customFormat="1" ht="15" thickTop="1" x14ac:dyDescent="0.3">
      <c r="C73" s="762" t="s">
        <v>223</v>
      </c>
      <c r="D73" s="385">
        <f>SUM(D56:D72)</f>
        <v>0</v>
      </c>
      <c r="E73" s="385"/>
      <c r="G73" s="762" t="s">
        <v>197</v>
      </c>
      <c r="H73" s="418">
        <f>ROUND(SUM(H56:H72),2)</f>
        <v>0</v>
      </c>
      <c r="I73" s="170" t="s">
        <v>181</v>
      </c>
      <c r="J73" s="717" t="s">
        <v>180</v>
      </c>
      <c r="K73" s="1071">
        <f>ROUND(SUM(K56:K72),2)</f>
        <v>0</v>
      </c>
      <c r="L73" s="170" t="s">
        <v>181</v>
      </c>
    </row>
    <row r="74" spans="1:42" s="168" customFormat="1" x14ac:dyDescent="0.3"/>
    <row r="75" spans="1:42" s="168" customFormat="1" ht="28.8" x14ac:dyDescent="0.3">
      <c r="B75" s="361" t="s">
        <v>162</v>
      </c>
      <c r="C75" s="361" t="s">
        <v>34</v>
      </c>
      <c r="D75" s="1058" t="s">
        <v>206</v>
      </c>
      <c r="E75" s="1059"/>
      <c r="F75" s="1060"/>
      <c r="G75" s="1066" t="s">
        <v>211</v>
      </c>
      <c r="H75" s="578" t="s">
        <v>110</v>
      </c>
      <c r="J75" s="1058" t="s">
        <v>206</v>
      </c>
      <c r="K75" s="577" t="s">
        <v>91</v>
      </c>
    </row>
    <row r="76" spans="1:42" s="168" customFormat="1" ht="17.399999999999999" customHeight="1" x14ac:dyDescent="0.3">
      <c r="C76" s="354" t="s">
        <v>242</v>
      </c>
      <c r="L76" s="576"/>
    </row>
    <row r="77" spans="1:42" s="168" customFormat="1" ht="15" thickBot="1" x14ac:dyDescent="0.35">
      <c r="C77" s="969" t="s">
        <v>243</v>
      </c>
      <c r="D77" s="1061">
        <v>0</v>
      </c>
      <c r="E77" s="1062"/>
      <c r="F77" s="1063"/>
      <c r="G77" s="175">
        <v>50</v>
      </c>
      <c r="H77" s="344">
        <f>G77*D77</f>
        <v>0</v>
      </c>
      <c r="J77" s="1061">
        <v>0</v>
      </c>
      <c r="K77" s="1072">
        <f>J77*G77</f>
        <v>0</v>
      </c>
      <c r="L77" s="170"/>
    </row>
    <row r="78" spans="1:42" s="168" customFormat="1" ht="15" thickTop="1" x14ac:dyDescent="0.3">
      <c r="C78" s="762" t="s">
        <v>223</v>
      </c>
      <c r="D78" s="970">
        <f>SUM(D77:D77)</f>
        <v>0</v>
      </c>
      <c r="E78" s="385"/>
      <c r="G78" s="170" t="s">
        <v>197</v>
      </c>
      <c r="H78" s="418">
        <f>ROUND(SUM(H77:H77),2)</f>
        <v>0</v>
      </c>
      <c r="J78" s="717" t="s">
        <v>180</v>
      </c>
      <c r="K78" s="1071">
        <f>ROUND(SUM(K77:K77),2)</f>
        <v>0</v>
      </c>
      <c r="L78" s="170" t="s">
        <v>181</v>
      </c>
    </row>
    <row r="79" spans="1:42" s="168" customFormat="1" x14ac:dyDescent="0.3"/>
    <row r="80" spans="1:42" ht="15" thickBot="1" x14ac:dyDescent="0.35">
      <c r="B80" s="178"/>
      <c r="C80" s="352"/>
      <c r="D80" s="355"/>
      <c r="E80" s="1195" t="s">
        <v>110</v>
      </c>
      <c r="F80" s="1195"/>
      <c r="G80" s="1196"/>
      <c r="H80" s="356">
        <f>ROUND(H48+H44+H40+H52+H73+H78,2)</f>
        <v>0</v>
      </c>
      <c r="I80" s="170" t="s">
        <v>181</v>
      </c>
      <c r="J80" s="1073" t="s">
        <v>110</v>
      </c>
      <c r="K80" s="1069">
        <f>ROUND(K48+K44+K40+K78+K73+K52,2)</f>
        <v>0</v>
      </c>
      <c r="L80" s="170" t="s">
        <v>181</v>
      </c>
    </row>
    <row r="81" spans="2:12" ht="15" thickTop="1" x14ac:dyDescent="0.3">
      <c r="D81" s="1197" t="s">
        <v>208</v>
      </c>
      <c r="E81" s="1198"/>
      <c r="F81" s="1198"/>
      <c r="G81" s="1199"/>
      <c r="H81" s="353">
        <f>ROUND(H80-H39-H34,2)</f>
        <v>0</v>
      </c>
      <c r="I81" s="528" t="s">
        <v>181</v>
      </c>
      <c r="J81" s="1074" t="s">
        <v>208</v>
      </c>
      <c r="K81" s="360">
        <f>ROUND(K80-K34-K39,2)</f>
        <v>0</v>
      </c>
      <c r="L81" s="170" t="s">
        <v>181</v>
      </c>
    </row>
    <row r="82" spans="2:12" x14ac:dyDescent="0.3">
      <c r="B82" s="168"/>
      <c r="C82" s="168"/>
      <c r="D82" s="168"/>
      <c r="E82" s="168"/>
      <c r="F82" s="168"/>
      <c r="G82" s="168"/>
      <c r="H82" s="168"/>
      <c r="I82" s="168"/>
    </row>
    <row r="83" spans="2:12" x14ac:dyDescent="0.3">
      <c r="B83" s="168"/>
      <c r="C83" s="168"/>
      <c r="D83" s="168"/>
      <c r="E83" s="168"/>
      <c r="F83" s="168"/>
      <c r="G83" s="168"/>
      <c r="H83" s="168"/>
      <c r="I83" s="168"/>
    </row>
    <row r="84" spans="2:12" x14ac:dyDescent="0.3">
      <c r="B84" s="168"/>
      <c r="C84" s="168"/>
      <c r="D84" s="168"/>
      <c r="E84" s="168"/>
      <c r="F84" s="168"/>
      <c r="G84" s="168"/>
      <c r="H84" s="168"/>
      <c r="I84" s="168"/>
    </row>
    <row r="85" spans="2:12" x14ac:dyDescent="0.3">
      <c r="B85" s="168"/>
      <c r="C85" s="168"/>
      <c r="D85" s="168"/>
      <c r="E85" s="168"/>
      <c r="F85" s="168"/>
      <c r="G85" s="168"/>
      <c r="H85" s="168"/>
      <c r="I85" s="168"/>
    </row>
    <row r="86" spans="2:12" x14ac:dyDescent="0.3">
      <c r="B86" s="168"/>
      <c r="C86" s="168"/>
      <c r="D86" s="168"/>
      <c r="E86" s="168"/>
      <c r="F86" s="168"/>
      <c r="G86" s="168"/>
      <c r="H86" s="168"/>
      <c r="I86" s="168"/>
    </row>
    <row r="87" spans="2:12" x14ac:dyDescent="0.3">
      <c r="B87" s="168"/>
      <c r="C87" s="168"/>
      <c r="D87" s="168"/>
      <c r="E87" s="168"/>
      <c r="F87" s="168"/>
      <c r="G87" s="168"/>
      <c r="H87" s="168"/>
      <c r="I87" s="168"/>
    </row>
    <row r="88" spans="2:12" x14ac:dyDescent="0.3">
      <c r="B88" s="168"/>
      <c r="C88" s="168"/>
      <c r="D88" s="168"/>
      <c r="E88" s="168"/>
      <c r="F88" s="168"/>
      <c r="G88" s="168"/>
      <c r="H88" s="168"/>
      <c r="I88" s="168"/>
    </row>
    <row r="89" spans="2:12" x14ac:dyDescent="0.3">
      <c r="B89" s="168"/>
      <c r="C89" s="168"/>
      <c r="D89" s="168"/>
      <c r="E89" s="168"/>
      <c r="F89" s="168"/>
      <c r="G89" s="168"/>
      <c r="H89" s="168"/>
      <c r="I89" s="168"/>
    </row>
    <row r="90" spans="2:12" x14ac:dyDescent="0.3">
      <c r="B90" s="168"/>
      <c r="C90" s="168"/>
      <c r="D90" s="168"/>
      <c r="E90" s="168"/>
      <c r="F90" s="168"/>
      <c r="G90" s="168"/>
      <c r="H90" s="168"/>
      <c r="I90" s="168"/>
    </row>
    <row r="91" spans="2:12" x14ac:dyDescent="0.3">
      <c r="B91" s="168"/>
      <c r="C91" s="168"/>
      <c r="D91" s="168"/>
      <c r="E91" s="168"/>
      <c r="F91" s="168"/>
      <c r="G91" s="168"/>
      <c r="H91" s="168"/>
      <c r="I91" s="168"/>
    </row>
    <row r="92" spans="2:12" x14ac:dyDescent="0.3">
      <c r="B92" s="168"/>
      <c r="C92" s="168"/>
      <c r="D92" s="168"/>
      <c r="E92" s="168"/>
      <c r="F92" s="168"/>
      <c r="G92" s="168"/>
      <c r="H92" s="168"/>
      <c r="I92" s="168"/>
    </row>
    <row r="93" spans="2:12" x14ac:dyDescent="0.3">
      <c r="B93" s="168"/>
      <c r="C93" s="168"/>
      <c r="D93" s="168"/>
      <c r="E93" s="168"/>
      <c r="F93" s="168"/>
      <c r="G93" s="168"/>
      <c r="H93" s="168"/>
      <c r="I93" s="168"/>
    </row>
    <row r="94" spans="2:12" x14ac:dyDescent="0.3">
      <c r="B94" s="168"/>
      <c r="C94" s="168"/>
      <c r="D94" s="168"/>
      <c r="E94" s="168"/>
      <c r="F94" s="168"/>
      <c r="G94" s="168"/>
      <c r="H94" s="168"/>
      <c r="I94" s="168"/>
    </row>
    <row r="95" spans="2:12" x14ac:dyDescent="0.3">
      <c r="B95" s="168"/>
      <c r="C95" s="168"/>
      <c r="D95" s="168"/>
      <c r="E95" s="168"/>
      <c r="F95" s="168"/>
      <c r="G95" s="168"/>
      <c r="H95" s="168"/>
      <c r="I95" s="168"/>
    </row>
    <row r="96" spans="2:12" x14ac:dyDescent="0.3">
      <c r="B96" s="168"/>
      <c r="C96" s="168"/>
      <c r="D96" s="168"/>
      <c r="E96" s="168"/>
      <c r="F96" s="168"/>
      <c r="G96" s="168"/>
      <c r="H96" s="168"/>
      <c r="I96" s="168"/>
    </row>
    <row r="97" spans="2:9" x14ac:dyDescent="0.3">
      <c r="B97" s="168"/>
      <c r="C97" s="168"/>
      <c r="D97" s="168"/>
      <c r="E97" s="168"/>
      <c r="F97" s="168"/>
      <c r="G97" s="168"/>
      <c r="H97" s="168"/>
      <c r="I97" s="168"/>
    </row>
    <row r="98" spans="2:9" x14ac:dyDescent="0.3">
      <c r="B98" s="168"/>
      <c r="C98" s="168"/>
      <c r="D98" s="168"/>
      <c r="E98" s="168"/>
      <c r="F98" s="168"/>
      <c r="G98" s="168"/>
      <c r="H98" s="168"/>
      <c r="I98" s="168"/>
    </row>
    <row r="99" spans="2:9" x14ac:dyDescent="0.3">
      <c r="B99" s="168"/>
      <c r="C99" s="168"/>
      <c r="D99" s="168"/>
      <c r="E99" s="168"/>
      <c r="F99" s="168"/>
      <c r="G99" s="168"/>
      <c r="H99" s="168"/>
      <c r="I99" s="168"/>
    </row>
    <row r="100" spans="2:9" x14ac:dyDescent="0.3">
      <c r="B100" s="168"/>
      <c r="C100" s="168"/>
      <c r="D100" s="168"/>
      <c r="E100" s="168"/>
      <c r="F100" s="168"/>
      <c r="G100" s="168"/>
      <c r="H100" s="168"/>
      <c r="I100" s="168"/>
    </row>
    <row r="101" spans="2:9" x14ac:dyDescent="0.3">
      <c r="B101" s="168"/>
      <c r="C101" s="168"/>
      <c r="D101" s="168"/>
      <c r="E101" s="168"/>
      <c r="F101" s="168"/>
      <c r="G101" s="168"/>
      <c r="H101" s="168"/>
      <c r="I101" s="168"/>
    </row>
    <row r="102" spans="2:9" x14ac:dyDescent="0.3">
      <c r="B102" s="168"/>
      <c r="C102" s="168"/>
      <c r="D102" s="168"/>
      <c r="E102" s="168"/>
      <c r="F102" s="168"/>
      <c r="G102" s="168"/>
      <c r="H102" s="168"/>
      <c r="I102" s="168"/>
    </row>
    <row r="103" spans="2:9" x14ac:dyDescent="0.3">
      <c r="B103" s="168"/>
      <c r="C103" s="168"/>
      <c r="D103" s="168"/>
      <c r="E103" s="168"/>
      <c r="F103" s="168"/>
      <c r="G103" s="168"/>
      <c r="H103" s="168"/>
      <c r="I103" s="168"/>
    </row>
    <row r="104" spans="2:9" x14ac:dyDescent="0.3">
      <c r="B104" s="168"/>
      <c r="C104" s="168"/>
      <c r="D104" s="168"/>
      <c r="E104" s="168"/>
      <c r="F104" s="168"/>
      <c r="G104" s="168"/>
      <c r="H104" s="168"/>
      <c r="I104" s="168"/>
    </row>
    <row r="105" spans="2:9" x14ac:dyDescent="0.3">
      <c r="B105" s="168"/>
      <c r="C105" s="168"/>
      <c r="D105" s="168"/>
      <c r="E105" s="168"/>
      <c r="F105" s="168"/>
      <c r="G105" s="168"/>
      <c r="H105" s="168"/>
      <c r="I105" s="168"/>
    </row>
    <row r="106" spans="2:9" x14ac:dyDescent="0.3">
      <c r="B106" s="168"/>
      <c r="C106" s="168"/>
      <c r="D106" s="168"/>
      <c r="E106" s="168"/>
      <c r="F106" s="168"/>
      <c r="G106" s="168"/>
      <c r="H106" s="168"/>
      <c r="I106" s="168"/>
    </row>
    <row r="107" spans="2:9" x14ac:dyDescent="0.3">
      <c r="B107" s="168"/>
      <c r="C107" s="168"/>
      <c r="D107" s="168"/>
      <c r="E107" s="168"/>
      <c r="F107" s="168"/>
      <c r="G107" s="168"/>
      <c r="H107" s="168"/>
      <c r="I107" s="168"/>
    </row>
    <row r="108" spans="2:9" x14ac:dyDescent="0.3">
      <c r="B108" s="168"/>
      <c r="C108" s="168"/>
      <c r="D108" s="168"/>
      <c r="E108" s="168"/>
      <c r="F108" s="168"/>
      <c r="G108" s="168"/>
      <c r="H108" s="168"/>
      <c r="I108" s="168"/>
    </row>
    <row r="109" spans="2:9" x14ac:dyDescent="0.3">
      <c r="B109" s="168"/>
      <c r="C109" s="168"/>
      <c r="D109" s="168"/>
      <c r="E109" s="168"/>
      <c r="F109" s="168"/>
      <c r="G109" s="168"/>
      <c r="H109" s="168"/>
      <c r="I109" s="168"/>
    </row>
    <row r="110" spans="2:9" x14ac:dyDescent="0.3">
      <c r="B110" s="168"/>
      <c r="C110" s="168"/>
      <c r="D110" s="168"/>
      <c r="E110" s="168"/>
      <c r="F110" s="168"/>
      <c r="G110" s="168"/>
      <c r="H110" s="168"/>
      <c r="I110" s="168"/>
    </row>
    <row r="111" spans="2:9" x14ac:dyDescent="0.3">
      <c r="B111" s="168"/>
      <c r="C111" s="168"/>
      <c r="D111" s="168"/>
      <c r="E111" s="168"/>
      <c r="F111" s="168"/>
      <c r="G111" s="168"/>
      <c r="H111" s="168"/>
      <c r="I111" s="168"/>
    </row>
    <row r="112" spans="2:9" x14ac:dyDescent="0.3">
      <c r="B112" s="168"/>
      <c r="C112" s="168"/>
      <c r="D112" s="168"/>
      <c r="E112" s="168"/>
      <c r="F112" s="168"/>
      <c r="G112" s="168"/>
      <c r="H112" s="168"/>
      <c r="I112" s="168"/>
    </row>
    <row r="113" spans="2:9" x14ac:dyDescent="0.3">
      <c r="B113" s="168"/>
      <c r="C113" s="168"/>
      <c r="D113" s="168"/>
      <c r="E113" s="168"/>
      <c r="F113" s="168"/>
      <c r="G113" s="168"/>
      <c r="H113" s="168"/>
      <c r="I113" s="168"/>
    </row>
    <row r="114" spans="2:9" x14ac:dyDescent="0.3">
      <c r="B114" s="168"/>
      <c r="C114" s="168"/>
      <c r="D114" s="168"/>
      <c r="E114" s="168"/>
      <c r="F114" s="168"/>
      <c r="G114" s="168"/>
      <c r="H114" s="168"/>
      <c r="I114" s="168"/>
    </row>
    <row r="115" spans="2:9" x14ac:dyDescent="0.3">
      <c r="B115" s="168"/>
      <c r="C115" s="168"/>
      <c r="D115" s="168"/>
      <c r="E115" s="168"/>
      <c r="F115" s="168"/>
      <c r="G115" s="168"/>
      <c r="H115" s="168"/>
      <c r="I115" s="168"/>
    </row>
    <row r="116" spans="2:9" x14ac:dyDescent="0.3">
      <c r="B116" s="168"/>
      <c r="C116" s="168"/>
      <c r="D116" s="168"/>
      <c r="E116" s="168"/>
      <c r="F116" s="168"/>
      <c r="G116" s="168"/>
      <c r="H116" s="168"/>
      <c r="I116" s="168"/>
    </row>
    <row r="117" spans="2:9" x14ac:dyDescent="0.3">
      <c r="B117" s="168"/>
      <c r="C117" s="168"/>
      <c r="D117" s="168"/>
      <c r="E117" s="168"/>
      <c r="F117" s="168"/>
      <c r="G117" s="168"/>
      <c r="H117" s="168"/>
      <c r="I117" s="168"/>
    </row>
    <row r="118" spans="2:9" x14ac:dyDescent="0.3">
      <c r="B118" s="168"/>
      <c r="C118" s="168"/>
      <c r="D118" s="168"/>
      <c r="E118" s="168"/>
      <c r="F118" s="168"/>
      <c r="G118" s="168"/>
      <c r="H118" s="168"/>
      <c r="I118" s="168"/>
    </row>
    <row r="119" spans="2:9" x14ac:dyDescent="0.3">
      <c r="B119" s="168"/>
      <c r="C119" s="168"/>
      <c r="D119" s="168"/>
      <c r="E119" s="168"/>
      <c r="F119" s="168"/>
      <c r="G119" s="168"/>
      <c r="H119" s="168"/>
      <c r="I119" s="168"/>
    </row>
    <row r="120" spans="2:9" x14ac:dyDescent="0.3">
      <c r="B120" s="168"/>
      <c r="C120" s="168"/>
      <c r="D120" s="168"/>
      <c r="E120" s="168"/>
      <c r="F120" s="168"/>
      <c r="G120" s="168"/>
      <c r="H120" s="168"/>
      <c r="I120" s="168"/>
    </row>
    <row r="121" spans="2:9" x14ac:dyDescent="0.3">
      <c r="B121" s="168"/>
      <c r="C121" s="168"/>
      <c r="D121" s="168"/>
      <c r="E121" s="168"/>
      <c r="F121" s="168"/>
      <c r="G121" s="168"/>
      <c r="H121" s="168"/>
      <c r="I121" s="168"/>
    </row>
    <row r="122" spans="2:9" x14ac:dyDescent="0.3">
      <c r="B122" s="168"/>
      <c r="C122" s="168"/>
      <c r="D122" s="168"/>
      <c r="E122" s="168"/>
      <c r="F122" s="168"/>
      <c r="G122" s="168"/>
      <c r="H122" s="168"/>
      <c r="I122" s="168"/>
    </row>
    <row r="123" spans="2:9" x14ac:dyDescent="0.3">
      <c r="B123" s="168"/>
      <c r="C123" s="168"/>
      <c r="D123" s="168"/>
      <c r="E123" s="168"/>
      <c r="F123" s="168"/>
      <c r="G123" s="168"/>
      <c r="H123" s="168"/>
      <c r="I123" s="168"/>
    </row>
    <row r="124" spans="2:9" x14ac:dyDescent="0.3">
      <c r="B124" s="168"/>
      <c r="C124" s="168"/>
      <c r="D124" s="168"/>
      <c r="E124" s="168"/>
      <c r="F124" s="168"/>
      <c r="G124" s="168"/>
      <c r="H124" s="168"/>
      <c r="I124" s="168"/>
    </row>
    <row r="125" spans="2:9" x14ac:dyDescent="0.3">
      <c r="B125" s="168"/>
      <c r="C125" s="168"/>
      <c r="D125" s="168"/>
      <c r="E125" s="168"/>
      <c r="F125" s="168"/>
      <c r="G125" s="168"/>
      <c r="H125" s="168"/>
      <c r="I125" s="168"/>
    </row>
    <row r="126" spans="2:9" x14ac:dyDescent="0.3">
      <c r="B126" s="168"/>
      <c r="C126" s="168"/>
      <c r="D126" s="168"/>
      <c r="E126" s="168"/>
      <c r="F126" s="168"/>
      <c r="G126" s="168"/>
      <c r="H126" s="168"/>
      <c r="I126" s="168"/>
    </row>
    <row r="127" spans="2:9" x14ac:dyDescent="0.3">
      <c r="B127" s="168"/>
      <c r="C127" s="168"/>
      <c r="D127" s="168"/>
      <c r="E127" s="168"/>
      <c r="F127" s="168"/>
      <c r="G127" s="168"/>
      <c r="H127" s="168"/>
      <c r="I127" s="168"/>
    </row>
    <row r="128" spans="2:9" x14ac:dyDescent="0.3">
      <c r="B128" s="168"/>
      <c r="C128" s="168"/>
      <c r="D128" s="168"/>
      <c r="E128" s="168"/>
      <c r="F128" s="168"/>
      <c r="G128" s="168"/>
      <c r="H128" s="168"/>
      <c r="I128" s="168"/>
    </row>
    <row r="129" spans="2:9" x14ac:dyDescent="0.3">
      <c r="B129" s="168"/>
      <c r="C129" s="168"/>
      <c r="D129" s="168"/>
      <c r="E129" s="168"/>
      <c r="F129" s="168"/>
      <c r="G129" s="168"/>
      <c r="H129" s="168"/>
      <c r="I129" s="168"/>
    </row>
    <row r="130" spans="2:9" x14ac:dyDescent="0.3">
      <c r="B130" s="168"/>
      <c r="C130" s="168"/>
      <c r="D130" s="168"/>
      <c r="E130" s="168"/>
      <c r="F130" s="168"/>
      <c r="G130" s="168"/>
      <c r="H130" s="168"/>
      <c r="I130" s="168"/>
    </row>
    <row r="131" spans="2:9" x14ac:dyDescent="0.3">
      <c r="B131" s="168"/>
      <c r="C131" s="168"/>
      <c r="D131" s="168"/>
      <c r="E131" s="168"/>
      <c r="F131" s="168"/>
      <c r="G131" s="168"/>
      <c r="H131" s="168"/>
      <c r="I131" s="168"/>
    </row>
    <row r="132" spans="2:9" x14ac:dyDescent="0.3">
      <c r="B132" s="168"/>
      <c r="C132" s="168"/>
      <c r="D132" s="168"/>
      <c r="E132" s="168"/>
      <c r="F132" s="168"/>
      <c r="G132" s="168"/>
      <c r="H132" s="168"/>
      <c r="I132" s="168"/>
    </row>
    <row r="133" spans="2:9" x14ac:dyDescent="0.3">
      <c r="B133" s="168"/>
      <c r="C133" s="168"/>
      <c r="D133" s="168"/>
      <c r="E133" s="168"/>
      <c r="F133" s="168"/>
      <c r="G133" s="168"/>
      <c r="H133" s="168"/>
      <c r="I133" s="168"/>
    </row>
    <row r="134" spans="2:9" x14ac:dyDescent="0.3">
      <c r="B134" s="168"/>
      <c r="C134" s="168"/>
      <c r="D134" s="168"/>
      <c r="E134" s="168"/>
      <c r="F134" s="168"/>
      <c r="G134" s="168"/>
      <c r="H134" s="168"/>
      <c r="I134" s="168"/>
    </row>
    <row r="135" spans="2:9" x14ac:dyDescent="0.3">
      <c r="B135" s="168"/>
      <c r="C135" s="168"/>
      <c r="D135" s="168"/>
      <c r="E135" s="168"/>
      <c r="F135" s="168"/>
      <c r="G135" s="168"/>
      <c r="H135" s="168"/>
      <c r="I135" s="168"/>
    </row>
    <row r="136" spans="2:9" x14ac:dyDescent="0.3">
      <c r="B136" s="168"/>
      <c r="C136" s="168"/>
      <c r="D136" s="168"/>
      <c r="E136" s="168"/>
      <c r="F136" s="168"/>
      <c r="G136" s="168"/>
      <c r="H136" s="168"/>
      <c r="I136" s="168"/>
    </row>
    <row r="137" spans="2:9" x14ac:dyDescent="0.3">
      <c r="B137" s="168"/>
      <c r="C137" s="168"/>
      <c r="D137" s="168"/>
      <c r="E137" s="168"/>
      <c r="F137" s="168"/>
      <c r="G137" s="168"/>
      <c r="H137" s="168"/>
      <c r="I137" s="168"/>
    </row>
    <row r="138" spans="2:9" x14ac:dyDescent="0.3">
      <c r="B138" s="168"/>
      <c r="C138" s="168"/>
      <c r="D138" s="168"/>
      <c r="E138" s="168"/>
      <c r="F138" s="168"/>
      <c r="G138" s="168"/>
      <c r="H138" s="168"/>
      <c r="I138" s="168"/>
    </row>
    <row r="139" spans="2:9" x14ac:dyDescent="0.3">
      <c r="B139" s="168"/>
      <c r="C139" s="168"/>
      <c r="D139" s="168"/>
      <c r="E139" s="168"/>
      <c r="F139" s="168"/>
      <c r="G139" s="168"/>
      <c r="H139" s="168"/>
      <c r="I139" s="168"/>
    </row>
    <row r="140" spans="2:9" x14ac:dyDescent="0.3">
      <c r="B140" s="168"/>
      <c r="C140" s="168"/>
      <c r="D140" s="168"/>
      <c r="E140" s="168"/>
      <c r="F140" s="168"/>
      <c r="G140" s="168"/>
      <c r="H140" s="168"/>
      <c r="I140" s="168"/>
    </row>
    <row r="141" spans="2:9" x14ac:dyDescent="0.3">
      <c r="B141" s="168"/>
      <c r="C141" s="168"/>
      <c r="D141" s="168"/>
      <c r="E141" s="168"/>
      <c r="F141" s="168"/>
      <c r="G141" s="168"/>
      <c r="H141" s="168"/>
      <c r="I141" s="168"/>
    </row>
    <row r="142" spans="2:9" x14ac:dyDescent="0.3">
      <c r="B142" s="168"/>
      <c r="C142" s="168"/>
      <c r="D142" s="168"/>
      <c r="E142" s="168"/>
      <c r="F142" s="168"/>
      <c r="G142" s="168"/>
      <c r="H142" s="168"/>
      <c r="I142" s="168"/>
    </row>
    <row r="143" spans="2:9" x14ac:dyDescent="0.3">
      <c r="B143" s="168"/>
      <c r="C143" s="168"/>
      <c r="D143" s="168"/>
      <c r="E143" s="168"/>
      <c r="F143" s="168"/>
      <c r="G143" s="168"/>
      <c r="H143" s="168"/>
      <c r="I143" s="168"/>
    </row>
    <row r="144" spans="2:9" x14ac:dyDescent="0.3">
      <c r="B144" s="168"/>
      <c r="C144" s="168"/>
      <c r="D144" s="168"/>
      <c r="E144" s="168"/>
      <c r="F144" s="168"/>
      <c r="G144" s="168"/>
      <c r="H144" s="168"/>
      <c r="I144" s="168"/>
    </row>
    <row r="145" spans="2:9" x14ac:dyDescent="0.3">
      <c r="B145" s="168"/>
      <c r="C145" s="168"/>
      <c r="D145" s="168"/>
      <c r="E145" s="168"/>
      <c r="F145" s="168"/>
      <c r="G145" s="168"/>
      <c r="H145" s="168"/>
      <c r="I145" s="168"/>
    </row>
    <row r="146" spans="2:9" x14ac:dyDescent="0.3">
      <c r="B146" s="168"/>
      <c r="C146" s="168"/>
      <c r="D146" s="168"/>
      <c r="E146" s="168"/>
      <c r="F146" s="168"/>
      <c r="G146" s="168"/>
      <c r="H146" s="168"/>
      <c r="I146" s="168"/>
    </row>
    <row r="147" spans="2:9" x14ac:dyDescent="0.3">
      <c r="B147" s="168"/>
      <c r="C147" s="168"/>
      <c r="D147" s="168"/>
      <c r="E147" s="168"/>
      <c r="F147" s="168"/>
      <c r="G147" s="168"/>
      <c r="H147" s="168"/>
      <c r="I147" s="168"/>
    </row>
    <row r="148" spans="2:9" x14ac:dyDescent="0.3">
      <c r="B148" s="168"/>
      <c r="C148" s="168"/>
      <c r="D148" s="168"/>
      <c r="E148" s="168"/>
      <c r="F148" s="168"/>
      <c r="G148" s="168"/>
      <c r="H148" s="168"/>
      <c r="I148" s="168"/>
    </row>
    <row r="149" spans="2:9" x14ac:dyDescent="0.3">
      <c r="B149" s="168"/>
      <c r="C149" s="168"/>
      <c r="D149" s="168"/>
      <c r="E149" s="168"/>
      <c r="F149" s="168"/>
      <c r="G149" s="168"/>
      <c r="H149" s="168"/>
      <c r="I149" s="168"/>
    </row>
    <row r="150" spans="2:9" x14ac:dyDescent="0.3">
      <c r="B150" s="168"/>
      <c r="C150" s="168"/>
      <c r="D150" s="168"/>
      <c r="E150" s="168"/>
      <c r="F150" s="168"/>
      <c r="G150" s="168"/>
      <c r="H150" s="168"/>
      <c r="I150" s="168"/>
    </row>
    <row r="151" spans="2:9" x14ac:dyDescent="0.3">
      <c r="B151" s="168"/>
      <c r="C151" s="168"/>
      <c r="D151" s="168"/>
      <c r="E151" s="168"/>
      <c r="F151" s="168"/>
      <c r="G151" s="168"/>
      <c r="H151" s="168"/>
      <c r="I151" s="168"/>
    </row>
    <row r="152" spans="2:9" x14ac:dyDescent="0.3">
      <c r="B152" s="168"/>
      <c r="C152" s="168"/>
      <c r="D152" s="168"/>
      <c r="E152" s="168"/>
      <c r="F152" s="168"/>
      <c r="G152" s="168"/>
      <c r="H152" s="168"/>
      <c r="I152" s="168"/>
    </row>
    <row r="153" spans="2:9" x14ac:dyDescent="0.3">
      <c r="B153" s="168"/>
      <c r="C153" s="168"/>
      <c r="D153" s="168"/>
      <c r="E153" s="168"/>
      <c r="F153" s="168"/>
      <c r="G153" s="168"/>
      <c r="H153" s="168"/>
      <c r="I153" s="168"/>
    </row>
    <row r="154" spans="2:9" x14ac:dyDescent="0.3">
      <c r="B154" s="168"/>
      <c r="C154" s="168"/>
      <c r="D154" s="168"/>
      <c r="E154" s="168"/>
      <c r="F154" s="168"/>
      <c r="G154" s="168"/>
      <c r="H154" s="168"/>
      <c r="I154" s="168"/>
    </row>
    <row r="155" spans="2:9" x14ac:dyDescent="0.3">
      <c r="B155" s="168"/>
      <c r="C155" s="168"/>
      <c r="D155" s="168"/>
      <c r="E155" s="168"/>
      <c r="F155" s="168"/>
      <c r="G155" s="168"/>
      <c r="H155" s="168"/>
      <c r="I155" s="168"/>
    </row>
    <row r="156" spans="2:9" x14ac:dyDescent="0.3">
      <c r="B156" s="168"/>
      <c r="C156" s="168"/>
      <c r="D156" s="168"/>
      <c r="E156" s="168"/>
      <c r="F156" s="168"/>
      <c r="G156" s="168"/>
      <c r="H156" s="168"/>
      <c r="I156" s="168"/>
    </row>
    <row r="157" spans="2:9" x14ac:dyDescent="0.3">
      <c r="B157" s="168"/>
      <c r="C157" s="168"/>
      <c r="D157" s="168"/>
      <c r="E157" s="168"/>
      <c r="F157" s="168"/>
      <c r="G157" s="168"/>
      <c r="H157" s="168"/>
      <c r="I157" s="168"/>
    </row>
    <row r="158" spans="2:9" x14ac:dyDescent="0.3">
      <c r="B158" s="168"/>
      <c r="C158" s="168"/>
      <c r="D158" s="168"/>
      <c r="E158" s="168"/>
      <c r="F158" s="168"/>
      <c r="G158" s="168"/>
      <c r="H158" s="168"/>
      <c r="I158" s="168"/>
    </row>
    <row r="159" spans="2:9" x14ac:dyDescent="0.3">
      <c r="B159" s="168"/>
      <c r="C159" s="168"/>
      <c r="D159" s="168"/>
      <c r="E159" s="168"/>
      <c r="F159" s="168"/>
      <c r="G159" s="168"/>
      <c r="H159" s="168"/>
      <c r="I159" s="168"/>
    </row>
    <row r="160" spans="2:9" x14ac:dyDescent="0.3">
      <c r="B160" s="168"/>
      <c r="C160" s="168"/>
      <c r="D160" s="168"/>
      <c r="E160" s="168"/>
      <c r="F160" s="168"/>
      <c r="G160" s="168"/>
      <c r="H160" s="168"/>
      <c r="I160" s="168"/>
    </row>
    <row r="161" spans="2:9" x14ac:dyDescent="0.3">
      <c r="B161" s="168"/>
      <c r="C161" s="168"/>
      <c r="D161" s="168"/>
      <c r="E161" s="168"/>
      <c r="F161" s="168"/>
      <c r="G161" s="168"/>
      <c r="H161" s="168"/>
      <c r="I161" s="168"/>
    </row>
    <row r="162" spans="2:9" x14ac:dyDescent="0.3">
      <c r="B162" s="168"/>
      <c r="C162" s="168"/>
      <c r="D162" s="168"/>
      <c r="E162" s="168"/>
      <c r="F162" s="168"/>
      <c r="G162" s="168"/>
      <c r="H162" s="168"/>
      <c r="I162" s="168"/>
    </row>
    <row r="163" spans="2:9" x14ac:dyDescent="0.3">
      <c r="B163" s="168"/>
      <c r="C163" s="168"/>
      <c r="D163" s="168"/>
      <c r="E163" s="168"/>
      <c r="F163" s="168"/>
      <c r="G163" s="168"/>
      <c r="H163" s="168"/>
      <c r="I163" s="168"/>
    </row>
    <row r="164" spans="2:9" x14ac:dyDescent="0.3">
      <c r="B164" s="168"/>
      <c r="C164" s="168"/>
      <c r="D164" s="168"/>
      <c r="E164" s="168"/>
      <c r="F164" s="168"/>
      <c r="G164" s="168"/>
      <c r="H164" s="168"/>
      <c r="I164" s="168"/>
    </row>
    <row r="165" spans="2:9" x14ac:dyDescent="0.3">
      <c r="B165" s="168"/>
      <c r="C165" s="168"/>
      <c r="D165" s="168"/>
      <c r="E165" s="168"/>
      <c r="F165" s="168"/>
      <c r="G165" s="168"/>
      <c r="H165" s="168"/>
      <c r="I165" s="168"/>
    </row>
    <row r="166" spans="2:9" x14ac:dyDescent="0.3">
      <c r="B166" s="168"/>
      <c r="C166" s="168"/>
      <c r="D166" s="168"/>
      <c r="E166" s="168"/>
      <c r="F166" s="168"/>
      <c r="G166" s="168"/>
      <c r="H166" s="168"/>
      <c r="I166" s="168"/>
    </row>
    <row r="167" spans="2:9" x14ac:dyDescent="0.3">
      <c r="B167" s="168"/>
      <c r="C167" s="168"/>
      <c r="D167" s="168"/>
      <c r="E167" s="168"/>
      <c r="F167" s="168"/>
      <c r="G167" s="168"/>
      <c r="H167" s="168"/>
      <c r="I167" s="168"/>
    </row>
    <row r="168" spans="2:9" x14ac:dyDescent="0.3">
      <c r="B168" s="168"/>
      <c r="C168" s="168"/>
      <c r="D168" s="168"/>
      <c r="E168" s="168"/>
      <c r="F168" s="168"/>
      <c r="G168" s="168"/>
      <c r="H168" s="168"/>
      <c r="I168" s="168"/>
    </row>
    <row r="169" spans="2:9" x14ac:dyDescent="0.3">
      <c r="B169" s="168"/>
      <c r="C169" s="168"/>
      <c r="D169" s="168"/>
      <c r="E169" s="168"/>
      <c r="F169" s="168"/>
      <c r="G169" s="168"/>
      <c r="H169" s="168"/>
      <c r="I169" s="168"/>
    </row>
    <row r="170" spans="2:9" x14ac:dyDescent="0.3">
      <c r="B170" s="168"/>
      <c r="C170" s="168"/>
      <c r="D170" s="168"/>
      <c r="E170" s="168"/>
      <c r="F170" s="168"/>
      <c r="G170" s="168"/>
      <c r="H170" s="168"/>
      <c r="I170" s="168"/>
    </row>
    <row r="171" spans="2:9" x14ac:dyDescent="0.3">
      <c r="B171" s="168"/>
      <c r="C171" s="168"/>
      <c r="D171" s="168"/>
      <c r="E171" s="168"/>
      <c r="F171" s="168"/>
      <c r="G171" s="168"/>
      <c r="H171" s="168"/>
      <c r="I171" s="168"/>
    </row>
    <row r="172" spans="2:9" x14ac:dyDescent="0.3">
      <c r="B172" s="168"/>
      <c r="C172" s="168"/>
      <c r="D172" s="168"/>
      <c r="E172" s="168"/>
      <c r="F172" s="168"/>
      <c r="G172" s="168"/>
      <c r="H172" s="168"/>
      <c r="I172" s="168"/>
    </row>
    <row r="173" spans="2:9" x14ac:dyDescent="0.3">
      <c r="B173" s="168"/>
      <c r="C173" s="168"/>
      <c r="D173" s="168"/>
      <c r="E173" s="168"/>
      <c r="F173" s="168"/>
      <c r="G173" s="168"/>
      <c r="H173" s="168"/>
      <c r="I173" s="168"/>
    </row>
    <row r="174" spans="2:9" x14ac:dyDescent="0.3">
      <c r="B174" s="168"/>
      <c r="C174" s="168"/>
      <c r="D174" s="168"/>
      <c r="E174" s="168"/>
      <c r="F174" s="168"/>
      <c r="G174" s="168"/>
      <c r="H174" s="168"/>
      <c r="I174" s="168"/>
    </row>
    <row r="175" spans="2:9" x14ac:dyDescent="0.3">
      <c r="B175" s="168"/>
      <c r="C175" s="168"/>
      <c r="D175" s="168"/>
      <c r="E175" s="168"/>
      <c r="F175" s="168"/>
      <c r="G175" s="168"/>
      <c r="H175" s="168"/>
      <c r="I175" s="168"/>
    </row>
    <row r="176" spans="2:9" x14ac:dyDescent="0.3">
      <c r="B176" s="168"/>
      <c r="C176" s="168"/>
      <c r="D176" s="168"/>
      <c r="E176" s="168"/>
      <c r="F176" s="168"/>
      <c r="G176" s="168"/>
      <c r="H176" s="168"/>
      <c r="I176" s="168"/>
    </row>
    <row r="177" spans="2:9" x14ac:dyDescent="0.3">
      <c r="B177" s="168"/>
      <c r="C177" s="168"/>
      <c r="D177" s="168"/>
      <c r="E177" s="168"/>
      <c r="F177" s="168"/>
      <c r="G177" s="168"/>
      <c r="H177" s="168"/>
      <c r="I177" s="168"/>
    </row>
    <row r="178" spans="2:9" x14ac:dyDescent="0.3">
      <c r="B178" s="168"/>
      <c r="C178" s="168"/>
      <c r="D178" s="168"/>
      <c r="E178" s="168"/>
      <c r="F178" s="168"/>
      <c r="G178" s="168"/>
      <c r="H178" s="168"/>
      <c r="I178" s="168"/>
    </row>
    <row r="179" spans="2:9" x14ac:dyDescent="0.3">
      <c r="B179" s="168"/>
      <c r="C179" s="168"/>
      <c r="D179" s="168"/>
      <c r="E179" s="168"/>
      <c r="F179" s="168"/>
      <c r="G179" s="168"/>
      <c r="H179" s="168"/>
      <c r="I179" s="168"/>
    </row>
    <row r="180" spans="2:9" x14ac:dyDescent="0.3">
      <c r="B180" s="168"/>
      <c r="C180" s="168"/>
      <c r="D180" s="168"/>
      <c r="E180" s="168"/>
      <c r="F180" s="168"/>
      <c r="G180" s="168"/>
      <c r="H180" s="168"/>
      <c r="I180" s="168"/>
    </row>
    <row r="181" spans="2:9" x14ac:dyDescent="0.3">
      <c r="B181" s="168"/>
      <c r="C181" s="168"/>
      <c r="D181" s="168"/>
      <c r="E181" s="168"/>
      <c r="F181" s="168"/>
      <c r="G181" s="168"/>
      <c r="H181" s="168"/>
      <c r="I181" s="168"/>
    </row>
    <row r="182" spans="2:9" x14ac:dyDescent="0.3">
      <c r="B182" s="168"/>
      <c r="C182" s="168"/>
      <c r="D182" s="168"/>
      <c r="E182" s="168"/>
      <c r="F182" s="168"/>
      <c r="G182" s="168"/>
      <c r="H182" s="168"/>
      <c r="I182" s="168"/>
    </row>
    <row r="183" spans="2:9" x14ac:dyDescent="0.3">
      <c r="B183" s="168"/>
      <c r="C183" s="168"/>
      <c r="D183" s="168"/>
      <c r="E183" s="168"/>
      <c r="F183" s="168"/>
      <c r="G183" s="168"/>
      <c r="H183" s="168"/>
      <c r="I183" s="168"/>
    </row>
    <row r="184" spans="2:9" x14ac:dyDescent="0.3">
      <c r="B184" s="168"/>
      <c r="C184" s="168"/>
      <c r="D184" s="168"/>
      <c r="E184" s="168"/>
      <c r="F184" s="168"/>
      <c r="G184" s="168"/>
      <c r="H184" s="168"/>
      <c r="I184" s="168"/>
    </row>
    <row r="185" spans="2:9" x14ac:dyDescent="0.3">
      <c r="B185" s="168"/>
      <c r="C185" s="168"/>
      <c r="D185" s="168"/>
      <c r="E185" s="168"/>
      <c r="F185" s="168"/>
      <c r="G185" s="168"/>
      <c r="H185" s="168"/>
      <c r="I185" s="168"/>
    </row>
    <row r="186" spans="2:9" x14ac:dyDescent="0.3">
      <c r="B186" s="168"/>
      <c r="C186" s="168"/>
      <c r="D186" s="168"/>
      <c r="E186" s="168"/>
      <c r="F186" s="168"/>
      <c r="G186" s="168"/>
      <c r="H186" s="168"/>
      <c r="I186" s="168"/>
    </row>
    <row r="187" spans="2:9" x14ac:dyDescent="0.3">
      <c r="B187" s="168"/>
      <c r="C187" s="168"/>
      <c r="D187" s="168"/>
      <c r="E187" s="168"/>
      <c r="F187" s="168"/>
      <c r="G187" s="168"/>
      <c r="H187" s="168"/>
      <c r="I187" s="168"/>
    </row>
    <row r="188" spans="2:9" x14ac:dyDescent="0.3">
      <c r="B188" s="168"/>
      <c r="C188" s="168"/>
      <c r="D188" s="168"/>
      <c r="E188" s="168"/>
      <c r="F188" s="168"/>
      <c r="G188" s="168"/>
      <c r="H188" s="168"/>
      <c r="I188" s="168"/>
    </row>
    <row r="189" spans="2:9" x14ac:dyDescent="0.3">
      <c r="B189" s="168"/>
      <c r="C189" s="168"/>
      <c r="D189" s="168"/>
      <c r="E189" s="168"/>
      <c r="F189" s="168"/>
      <c r="G189" s="168"/>
      <c r="H189" s="168"/>
      <c r="I189" s="168"/>
    </row>
    <row r="190" spans="2:9" x14ac:dyDescent="0.3">
      <c r="B190" s="168"/>
      <c r="C190" s="168"/>
      <c r="D190" s="168"/>
      <c r="E190" s="168"/>
      <c r="F190" s="168"/>
      <c r="G190" s="168"/>
      <c r="H190" s="168"/>
      <c r="I190" s="168"/>
    </row>
    <row r="191" spans="2:9" x14ac:dyDescent="0.3">
      <c r="B191" s="168"/>
      <c r="C191" s="168"/>
      <c r="D191" s="168"/>
      <c r="E191" s="168"/>
      <c r="F191" s="168"/>
      <c r="G191" s="168"/>
      <c r="H191" s="168"/>
      <c r="I191" s="168"/>
    </row>
    <row r="192" spans="2:9" x14ac:dyDescent="0.3">
      <c r="B192" s="168"/>
      <c r="C192" s="168"/>
      <c r="D192" s="168"/>
      <c r="E192" s="168"/>
      <c r="F192" s="168"/>
      <c r="G192" s="168"/>
      <c r="H192" s="168"/>
      <c r="I192" s="168"/>
    </row>
    <row r="193" spans="2:9" x14ac:dyDescent="0.3">
      <c r="B193" s="168"/>
      <c r="C193" s="168"/>
      <c r="D193" s="168"/>
      <c r="E193" s="168"/>
      <c r="F193" s="168"/>
      <c r="G193" s="168"/>
      <c r="H193" s="168"/>
      <c r="I193" s="168"/>
    </row>
    <row r="194" spans="2:9" x14ac:dyDescent="0.3">
      <c r="B194" s="168"/>
      <c r="C194" s="168"/>
      <c r="D194" s="168"/>
      <c r="E194" s="168"/>
      <c r="F194" s="168"/>
      <c r="G194" s="168"/>
      <c r="H194" s="168"/>
      <c r="I194" s="168"/>
    </row>
    <row r="195" spans="2:9" x14ac:dyDescent="0.3">
      <c r="B195" s="168"/>
      <c r="C195" s="168"/>
      <c r="D195" s="168"/>
      <c r="E195" s="168"/>
      <c r="F195" s="168"/>
      <c r="G195" s="168"/>
      <c r="H195" s="168"/>
      <c r="I195" s="168"/>
    </row>
    <row r="196" spans="2:9" x14ac:dyDescent="0.3">
      <c r="B196" s="168"/>
      <c r="C196" s="168"/>
      <c r="D196" s="168"/>
      <c r="E196" s="168"/>
      <c r="F196" s="168"/>
      <c r="G196" s="168"/>
      <c r="H196" s="168"/>
      <c r="I196" s="168"/>
    </row>
    <row r="197" spans="2:9" x14ac:dyDescent="0.3">
      <c r="B197" s="168"/>
      <c r="C197" s="168"/>
      <c r="D197" s="168"/>
      <c r="E197" s="168"/>
      <c r="F197" s="168"/>
      <c r="G197" s="168"/>
      <c r="H197" s="168"/>
      <c r="I197" s="168"/>
    </row>
    <row r="198" spans="2:9" x14ac:dyDescent="0.3">
      <c r="B198" s="168"/>
      <c r="C198" s="168"/>
      <c r="D198" s="168"/>
      <c r="E198" s="168"/>
      <c r="F198" s="168"/>
      <c r="G198" s="168"/>
      <c r="H198" s="168"/>
      <c r="I198" s="168"/>
    </row>
    <row r="199" spans="2:9" x14ac:dyDescent="0.3">
      <c r="B199" s="168"/>
      <c r="C199" s="168"/>
      <c r="D199" s="168"/>
      <c r="E199" s="168"/>
      <c r="F199" s="168"/>
      <c r="G199" s="168"/>
      <c r="H199" s="168"/>
      <c r="I199" s="168"/>
    </row>
    <row r="200" spans="2:9" x14ac:dyDescent="0.3">
      <c r="B200" s="168"/>
      <c r="C200" s="168"/>
      <c r="D200" s="168"/>
      <c r="E200" s="168"/>
      <c r="F200" s="168"/>
      <c r="G200" s="168"/>
      <c r="H200" s="168"/>
      <c r="I200" s="168"/>
    </row>
    <row r="201" spans="2:9" x14ac:dyDescent="0.3">
      <c r="B201" s="168"/>
      <c r="C201" s="168"/>
      <c r="D201" s="168"/>
      <c r="E201" s="168"/>
      <c r="F201" s="168"/>
      <c r="G201" s="168"/>
      <c r="H201" s="168"/>
      <c r="I201" s="168"/>
    </row>
    <row r="202" spans="2:9" x14ac:dyDescent="0.3">
      <c r="B202" s="168"/>
      <c r="C202" s="168"/>
      <c r="D202" s="168"/>
      <c r="E202" s="168"/>
      <c r="F202" s="168"/>
      <c r="G202" s="168"/>
      <c r="H202" s="168"/>
      <c r="I202" s="168"/>
    </row>
    <row r="203" spans="2:9" x14ac:dyDescent="0.3">
      <c r="B203" s="168"/>
      <c r="C203" s="168"/>
      <c r="D203" s="168"/>
      <c r="E203" s="168"/>
      <c r="F203" s="168"/>
      <c r="G203" s="168"/>
      <c r="H203" s="168"/>
      <c r="I203" s="168"/>
    </row>
    <row r="204" spans="2:9" x14ac:dyDescent="0.3">
      <c r="B204" s="168"/>
      <c r="C204" s="168"/>
      <c r="D204" s="168"/>
      <c r="E204" s="168"/>
      <c r="F204" s="168"/>
      <c r="G204" s="168"/>
      <c r="H204" s="168"/>
      <c r="I204" s="168"/>
    </row>
    <row r="205" spans="2:9" x14ac:dyDescent="0.3">
      <c r="B205" s="168"/>
      <c r="C205" s="168"/>
      <c r="D205" s="168"/>
      <c r="E205" s="168"/>
      <c r="F205" s="168"/>
      <c r="G205" s="168"/>
      <c r="H205" s="168"/>
      <c r="I205" s="168"/>
    </row>
    <row r="206" spans="2:9" x14ac:dyDescent="0.3">
      <c r="B206" s="168"/>
      <c r="C206" s="168"/>
      <c r="D206" s="168"/>
      <c r="E206" s="168"/>
      <c r="F206" s="168"/>
      <c r="G206" s="168"/>
      <c r="H206" s="168"/>
      <c r="I206" s="168"/>
    </row>
    <row r="207" spans="2:9" x14ac:dyDescent="0.3">
      <c r="B207" s="168"/>
      <c r="C207" s="168"/>
      <c r="D207" s="168"/>
      <c r="E207" s="168"/>
      <c r="F207" s="168"/>
      <c r="G207" s="168"/>
      <c r="H207" s="168"/>
      <c r="I207" s="168"/>
    </row>
    <row r="208" spans="2:9" x14ac:dyDescent="0.3">
      <c r="B208" s="168"/>
      <c r="C208" s="168"/>
      <c r="D208" s="168"/>
      <c r="E208" s="168"/>
      <c r="F208" s="168"/>
      <c r="G208" s="168"/>
      <c r="H208" s="168"/>
      <c r="I208" s="168"/>
    </row>
    <row r="209" spans="2:9" x14ac:dyDescent="0.3">
      <c r="B209" s="168"/>
      <c r="C209" s="168"/>
      <c r="D209" s="168"/>
      <c r="E209" s="168"/>
      <c r="F209" s="168"/>
      <c r="G209" s="168"/>
      <c r="H209" s="168"/>
      <c r="I209" s="168"/>
    </row>
    <row r="210" spans="2:9" x14ac:dyDescent="0.3">
      <c r="B210" s="168"/>
      <c r="C210" s="168"/>
      <c r="D210" s="168"/>
      <c r="E210" s="168"/>
      <c r="F210" s="168"/>
      <c r="G210" s="168"/>
      <c r="H210" s="168"/>
      <c r="I210" s="168"/>
    </row>
    <row r="211" spans="2:9" x14ac:dyDescent="0.3">
      <c r="B211" s="168"/>
      <c r="C211" s="168"/>
      <c r="D211" s="168"/>
      <c r="E211" s="168"/>
      <c r="F211" s="168"/>
      <c r="G211" s="168"/>
      <c r="H211" s="168"/>
      <c r="I211" s="168"/>
    </row>
    <row r="212" spans="2:9" x14ac:dyDescent="0.3">
      <c r="B212" s="168"/>
      <c r="C212" s="168"/>
      <c r="D212" s="168"/>
      <c r="E212" s="168"/>
      <c r="F212" s="168"/>
      <c r="G212" s="168"/>
      <c r="H212" s="168"/>
      <c r="I212" s="168"/>
    </row>
    <row r="213" spans="2:9" x14ac:dyDescent="0.3">
      <c r="B213" s="168"/>
      <c r="C213" s="168"/>
      <c r="D213" s="168"/>
      <c r="E213" s="168"/>
      <c r="F213" s="168"/>
      <c r="G213" s="168"/>
      <c r="H213" s="168"/>
      <c r="I213" s="168"/>
    </row>
    <row r="214" spans="2:9" x14ac:dyDescent="0.3">
      <c r="B214" s="168"/>
      <c r="C214" s="168"/>
      <c r="D214" s="168"/>
      <c r="E214" s="168"/>
      <c r="F214" s="168"/>
      <c r="G214" s="168"/>
      <c r="H214" s="168"/>
      <c r="I214" s="168"/>
    </row>
    <row r="215" spans="2:9" x14ac:dyDescent="0.3">
      <c r="B215" s="168"/>
      <c r="C215" s="168"/>
      <c r="D215" s="168"/>
      <c r="E215" s="168"/>
      <c r="F215" s="168"/>
      <c r="G215" s="168"/>
      <c r="H215" s="168"/>
      <c r="I215" s="168"/>
    </row>
    <row r="216" spans="2:9" x14ac:dyDescent="0.3">
      <c r="B216" s="168"/>
      <c r="C216" s="168"/>
      <c r="D216" s="168"/>
      <c r="E216" s="168"/>
      <c r="F216" s="168"/>
      <c r="G216" s="168"/>
      <c r="H216" s="168"/>
      <c r="I216" s="168"/>
    </row>
    <row r="217" spans="2:9" x14ac:dyDescent="0.3">
      <c r="B217" s="168"/>
      <c r="C217" s="168"/>
      <c r="D217" s="168"/>
      <c r="E217" s="168"/>
      <c r="F217" s="168"/>
      <c r="G217" s="168"/>
      <c r="H217" s="168"/>
      <c r="I217" s="168"/>
    </row>
    <row r="218" spans="2:9" x14ac:dyDescent="0.3">
      <c r="B218" s="168"/>
      <c r="C218" s="168"/>
      <c r="D218" s="168"/>
      <c r="E218" s="168"/>
      <c r="F218" s="168"/>
      <c r="G218" s="168"/>
      <c r="H218" s="168"/>
      <c r="I218" s="168"/>
    </row>
    <row r="219" spans="2:9" x14ac:dyDescent="0.3">
      <c r="B219" s="168"/>
      <c r="C219" s="168"/>
      <c r="D219" s="168"/>
      <c r="E219" s="168"/>
      <c r="F219" s="168"/>
      <c r="G219" s="168"/>
      <c r="H219" s="168"/>
      <c r="I219" s="168"/>
    </row>
    <row r="220" spans="2:9" x14ac:dyDescent="0.3">
      <c r="B220" s="168"/>
      <c r="C220" s="168"/>
      <c r="D220" s="168"/>
      <c r="E220" s="168"/>
      <c r="F220" s="168"/>
      <c r="G220" s="168"/>
      <c r="H220" s="168"/>
      <c r="I220" s="168"/>
    </row>
    <row r="221" spans="2:9" x14ac:dyDescent="0.3">
      <c r="B221" s="168"/>
      <c r="C221" s="168"/>
      <c r="D221" s="168"/>
      <c r="E221" s="168"/>
      <c r="F221" s="168"/>
      <c r="G221" s="168"/>
      <c r="H221" s="168"/>
      <c r="I221" s="168"/>
    </row>
    <row r="222" spans="2:9" x14ac:dyDescent="0.3">
      <c r="B222" s="168"/>
      <c r="C222" s="168"/>
      <c r="D222" s="168"/>
      <c r="E222" s="168"/>
      <c r="F222" s="168"/>
      <c r="G222" s="168"/>
      <c r="H222" s="168"/>
      <c r="I222" s="168"/>
    </row>
    <row r="223" spans="2:9" x14ac:dyDescent="0.3">
      <c r="B223" s="168"/>
      <c r="C223" s="168"/>
      <c r="D223" s="168"/>
      <c r="E223" s="168"/>
      <c r="F223" s="168"/>
      <c r="G223" s="168"/>
      <c r="H223" s="168"/>
      <c r="I223" s="168"/>
    </row>
    <row r="224" spans="2:9" x14ac:dyDescent="0.3">
      <c r="B224" s="168"/>
      <c r="C224" s="168"/>
      <c r="D224" s="168"/>
      <c r="E224" s="168"/>
      <c r="F224" s="168"/>
      <c r="G224" s="168"/>
      <c r="H224" s="168"/>
      <c r="I224" s="168"/>
    </row>
    <row r="225" spans="2:9" x14ac:dyDescent="0.3">
      <c r="B225" s="168"/>
      <c r="C225" s="168"/>
      <c r="D225" s="168"/>
      <c r="E225" s="168"/>
      <c r="F225" s="168"/>
      <c r="G225" s="168"/>
      <c r="H225" s="168"/>
      <c r="I225" s="168"/>
    </row>
    <row r="226" spans="2:9" x14ac:dyDescent="0.3">
      <c r="B226" s="168"/>
      <c r="C226" s="168"/>
      <c r="D226" s="168"/>
      <c r="E226" s="168"/>
      <c r="F226" s="168"/>
      <c r="G226" s="168"/>
      <c r="H226" s="168"/>
      <c r="I226" s="168"/>
    </row>
    <row r="227" spans="2:9" x14ac:dyDescent="0.3">
      <c r="B227" s="168"/>
      <c r="C227" s="168"/>
      <c r="D227" s="168"/>
      <c r="E227" s="168"/>
      <c r="F227" s="168"/>
      <c r="G227" s="168"/>
      <c r="H227" s="168"/>
      <c r="I227" s="168"/>
    </row>
    <row r="228" spans="2:9" x14ac:dyDescent="0.3">
      <c r="B228" s="168"/>
      <c r="C228" s="168"/>
      <c r="D228" s="168"/>
      <c r="E228" s="168"/>
      <c r="F228" s="168"/>
      <c r="G228" s="168"/>
      <c r="H228" s="168"/>
      <c r="I228" s="168"/>
    </row>
    <row r="229" spans="2:9" x14ac:dyDescent="0.3">
      <c r="B229" s="168"/>
      <c r="C229" s="168"/>
      <c r="D229" s="168"/>
      <c r="E229" s="168"/>
      <c r="F229" s="168"/>
      <c r="G229" s="168"/>
      <c r="H229" s="168"/>
      <c r="I229" s="168"/>
    </row>
    <row r="230" spans="2:9" x14ac:dyDescent="0.3">
      <c r="B230" s="168"/>
      <c r="C230" s="168"/>
      <c r="D230" s="168"/>
      <c r="E230" s="168"/>
      <c r="F230" s="168"/>
      <c r="G230" s="168"/>
      <c r="H230" s="168"/>
      <c r="I230" s="168"/>
    </row>
    <row r="231" spans="2:9" x14ac:dyDescent="0.3">
      <c r="B231" s="168"/>
      <c r="C231" s="168"/>
      <c r="D231" s="168"/>
      <c r="E231" s="168"/>
      <c r="F231" s="168"/>
      <c r="G231" s="168"/>
      <c r="H231" s="168"/>
      <c r="I231" s="168"/>
    </row>
    <row r="232" spans="2:9" x14ac:dyDescent="0.3">
      <c r="B232" s="168"/>
      <c r="C232" s="168"/>
      <c r="D232" s="168"/>
      <c r="E232" s="168"/>
      <c r="F232" s="168"/>
      <c r="G232" s="168"/>
      <c r="H232" s="168"/>
      <c r="I232" s="168"/>
    </row>
    <row r="233" spans="2:9" x14ac:dyDescent="0.3">
      <c r="B233" s="168"/>
      <c r="C233" s="168"/>
      <c r="D233" s="168"/>
      <c r="E233" s="168"/>
      <c r="F233" s="168"/>
      <c r="G233" s="168"/>
      <c r="H233" s="168"/>
      <c r="I233" s="168"/>
    </row>
    <row r="234" spans="2:9" x14ac:dyDescent="0.3">
      <c r="B234" s="168"/>
      <c r="C234" s="168"/>
      <c r="D234" s="168"/>
      <c r="E234" s="168"/>
      <c r="F234" s="168"/>
      <c r="G234" s="168"/>
      <c r="H234" s="168"/>
      <c r="I234" s="168"/>
    </row>
    <row r="235" spans="2:9" x14ac:dyDescent="0.3">
      <c r="B235" s="168"/>
      <c r="C235" s="168"/>
      <c r="D235" s="168"/>
      <c r="E235" s="168"/>
      <c r="F235" s="168"/>
      <c r="G235" s="168"/>
      <c r="H235" s="168"/>
      <c r="I235" s="168"/>
    </row>
    <row r="236" spans="2:9" x14ac:dyDescent="0.3">
      <c r="B236" s="168"/>
      <c r="C236" s="168"/>
      <c r="D236" s="168"/>
      <c r="E236" s="168"/>
      <c r="F236" s="168"/>
      <c r="G236" s="168"/>
      <c r="H236" s="168"/>
      <c r="I236" s="168"/>
    </row>
    <row r="237" spans="2:9" x14ac:dyDescent="0.3">
      <c r="B237" s="168"/>
      <c r="C237" s="168"/>
      <c r="D237" s="168"/>
      <c r="E237" s="168"/>
      <c r="F237" s="168"/>
      <c r="G237" s="168"/>
      <c r="H237" s="168"/>
      <c r="I237" s="168"/>
    </row>
    <row r="238" spans="2:9" x14ac:dyDescent="0.3">
      <c r="B238" s="168"/>
      <c r="C238" s="168"/>
      <c r="D238" s="168"/>
      <c r="E238" s="168"/>
      <c r="F238" s="168"/>
      <c r="G238" s="168"/>
      <c r="H238" s="168"/>
      <c r="I238" s="168"/>
    </row>
    <row r="239" spans="2:9" x14ac:dyDescent="0.3">
      <c r="B239" s="168"/>
      <c r="C239" s="168"/>
      <c r="D239" s="168"/>
      <c r="E239" s="168"/>
      <c r="F239" s="168"/>
      <c r="G239" s="168"/>
      <c r="H239" s="168"/>
      <c r="I239" s="168"/>
    </row>
    <row r="240" spans="2:9" x14ac:dyDescent="0.3">
      <c r="B240" s="168"/>
      <c r="C240" s="168"/>
      <c r="D240" s="168"/>
      <c r="E240" s="168"/>
      <c r="F240" s="168"/>
      <c r="G240" s="168"/>
      <c r="H240" s="168"/>
      <c r="I240" s="168"/>
    </row>
    <row r="241" spans="2:9" x14ac:dyDescent="0.3">
      <c r="B241" s="168"/>
      <c r="C241" s="168"/>
      <c r="D241" s="168"/>
      <c r="E241" s="168"/>
      <c r="F241" s="168"/>
      <c r="G241" s="168"/>
      <c r="H241" s="168"/>
      <c r="I241" s="168"/>
    </row>
    <row r="242" spans="2:9" x14ac:dyDescent="0.3">
      <c r="B242" s="168"/>
      <c r="C242" s="168"/>
      <c r="D242" s="168"/>
      <c r="E242" s="168"/>
      <c r="F242" s="168"/>
      <c r="G242" s="168"/>
      <c r="H242" s="168"/>
      <c r="I242" s="168"/>
    </row>
    <row r="243" spans="2:9" x14ac:dyDescent="0.3">
      <c r="B243" s="168"/>
      <c r="C243" s="168"/>
      <c r="D243" s="168"/>
      <c r="E243" s="168"/>
      <c r="F243" s="168"/>
      <c r="G243" s="168"/>
      <c r="H243" s="168"/>
      <c r="I243" s="168"/>
    </row>
    <row r="244" spans="2:9" x14ac:dyDescent="0.3">
      <c r="B244" s="168"/>
      <c r="C244" s="168"/>
      <c r="D244" s="168"/>
      <c r="E244" s="168"/>
      <c r="F244" s="168"/>
      <c r="G244" s="168"/>
      <c r="H244" s="168"/>
      <c r="I244" s="168"/>
    </row>
    <row r="245" spans="2:9" x14ac:dyDescent="0.3">
      <c r="B245" s="168"/>
      <c r="C245" s="168"/>
      <c r="D245" s="168"/>
      <c r="E245" s="168"/>
      <c r="F245" s="168"/>
      <c r="G245" s="168"/>
      <c r="H245" s="168"/>
      <c r="I245" s="168"/>
    </row>
    <row r="246" spans="2:9" x14ac:dyDescent="0.3">
      <c r="B246" s="168"/>
      <c r="C246" s="168"/>
      <c r="D246" s="168"/>
      <c r="E246" s="168"/>
      <c r="F246" s="168"/>
      <c r="G246" s="168"/>
      <c r="H246" s="168"/>
      <c r="I246" s="168"/>
    </row>
    <row r="247" spans="2:9" x14ac:dyDescent="0.3">
      <c r="B247" s="168"/>
      <c r="C247" s="168"/>
      <c r="D247" s="168"/>
      <c r="E247" s="168"/>
      <c r="F247" s="168"/>
      <c r="G247" s="168"/>
      <c r="H247" s="168"/>
      <c r="I247" s="168"/>
    </row>
    <row r="248" spans="2:9" x14ac:dyDescent="0.3">
      <c r="B248" s="168"/>
      <c r="C248" s="168"/>
      <c r="D248" s="168"/>
      <c r="E248" s="168"/>
      <c r="F248" s="168"/>
      <c r="G248" s="168"/>
      <c r="H248" s="168"/>
      <c r="I248" s="168"/>
    </row>
    <row r="249" spans="2:9" x14ac:dyDescent="0.3">
      <c r="B249" s="168"/>
      <c r="C249" s="168"/>
      <c r="D249" s="168"/>
      <c r="E249" s="168"/>
      <c r="F249" s="168"/>
      <c r="G249" s="168"/>
      <c r="H249" s="168"/>
      <c r="I249" s="168"/>
    </row>
    <row r="250" spans="2:9" x14ac:dyDescent="0.3">
      <c r="B250" s="168"/>
      <c r="C250" s="168"/>
      <c r="D250" s="168"/>
      <c r="E250" s="168"/>
      <c r="F250" s="168"/>
      <c r="G250" s="168"/>
      <c r="H250" s="168"/>
      <c r="I250" s="168"/>
    </row>
    <row r="251" spans="2:9" x14ac:dyDescent="0.3">
      <c r="B251" s="168"/>
      <c r="C251" s="168"/>
      <c r="D251" s="168"/>
      <c r="E251" s="168"/>
      <c r="F251" s="168"/>
      <c r="G251" s="168"/>
      <c r="H251" s="168"/>
      <c r="I251" s="168"/>
    </row>
    <row r="252" spans="2:9" x14ac:dyDescent="0.3">
      <c r="B252" s="168"/>
      <c r="C252" s="168"/>
      <c r="D252" s="168"/>
      <c r="E252" s="168"/>
      <c r="F252" s="168"/>
      <c r="G252" s="168"/>
      <c r="H252" s="168"/>
      <c r="I252" s="168"/>
    </row>
    <row r="253" spans="2:9" x14ac:dyDescent="0.3">
      <c r="B253" s="168"/>
      <c r="C253" s="168"/>
      <c r="D253" s="168"/>
      <c r="E253" s="168"/>
      <c r="F253" s="168"/>
      <c r="G253" s="168"/>
      <c r="H253" s="168"/>
      <c r="I253" s="168"/>
    </row>
  </sheetData>
  <mergeCells count="14">
    <mergeCell ref="E80:G80"/>
    <mergeCell ref="D81:G81"/>
    <mergeCell ref="E10:G10"/>
    <mergeCell ref="E40:G40"/>
    <mergeCell ref="E29:G29"/>
    <mergeCell ref="E44:G44"/>
    <mergeCell ref="E48:G48"/>
    <mergeCell ref="E39:G39"/>
    <mergeCell ref="E34:G34"/>
    <mergeCell ref="C30:H30"/>
    <mergeCell ref="C35:H35"/>
    <mergeCell ref="E52:G52"/>
    <mergeCell ref="C26:H26"/>
    <mergeCell ref="E24:G24"/>
  </mergeCells>
  <pageMargins left="0.7" right="0.7" top="0.75" bottom="0.75" header="0.3" footer="0.3"/>
  <pageSetup paperSize="9" orientation="portrait" horizontalDpi="1200" verticalDpi="1200"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4FF9A-5DAE-4CDC-91A6-9969E4CA1660}">
  <sheetPr codeName="Blad12"/>
  <dimension ref="A2:AA62"/>
  <sheetViews>
    <sheetView zoomScaleNormal="100" workbookViewId="0">
      <selection activeCell="K9" sqref="K9"/>
    </sheetView>
  </sheetViews>
  <sheetFormatPr defaultRowHeight="14.4" x14ac:dyDescent="0.3"/>
  <cols>
    <col min="1" max="1" width="5.88671875" style="168" customWidth="1"/>
    <col min="2" max="2" width="52.109375" bestFit="1" customWidth="1"/>
    <col min="3" max="3" width="25.5546875" bestFit="1" customWidth="1"/>
    <col min="4" max="4" width="23.33203125" customWidth="1"/>
    <col min="5" max="5" width="11.33203125" customWidth="1"/>
    <col min="7" max="7" width="9.33203125" customWidth="1"/>
    <col min="9" max="9" width="3.44140625" style="168" hidden="1" customWidth="1"/>
    <col min="10" max="10" width="27.6640625" hidden="1" customWidth="1"/>
    <col min="11" max="11" width="13.6640625" style="168" hidden="1" customWidth="1"/>
    <col min="12" max="12" width="8.88671875" style="168" customWidth="1"/>
    <col min="13" max="27" width="8.88671875" style="168"/>
  </cols>
  <sheetData>
    <row r="2" spans="1:27" s="106" customFormat="1" ht="16.95" customHeight="1" x14ac:dyDescent="0.3">
      <c r="A2" s="170"/>
      <c r="B2" s="365" t="s">
        <v>209</v>
      </c>
      <c r="C2" s="1208" t="s">
        <v>210</v>
      </c>
      <c r="D2" s="1209"/>
      <c r="E2" s="1207" t="s">
        <v>211</v>
      </c>
      <c r="F2" s="1207"/>
      <c r="G2" s="764" t="s">
        <v>212</v>
      </c>
      <c r="H2" s="361" t="s">
        <v>110</v>
      </c>
      <c r="I2" s="170"/>
      <c r="J2" s="365" t="s">
        <v>213</v>
      </c>
      <c r="K2" s="552" t="s">
        <v>201</v>
      </c>
      <c r="L2" s="170"/>
      <c r="M2" s="170"/>
      <c r="N2" s="170"/>
      <c r="O2" s="170"/>
      <c r="P2" s="170"/>
      <c r="Q2" s="170"/>
      <c r="R2" s="170"/>
      <c r="S2" s="170"/>
      <c r="T2" s="170"/>
      <c r="U2" s="170"/>
      <c r="V2" s="170"/>
      <c r="W2" s="170"/>
      <c r="X2" s="170"/>
      <c r="Y2" s="170"/>
      <c r="Z2" s="170"/>
      <c r="AA2" s="170"/>
    </row>
    <row r="3" spans="1:27" x14ac:dyDescent="0.3">
      <c r="B3" s="204" t="s">
        <v>214</v>
      </c>
      <c r="C3" s="1210">
        <v>0</v>
      </c>
      <c r="D3" s="1211"/>
      <c r="E3" s="172">
        <f>VLOOKUP('Capaciteiten &amp; forfaits'!$B$64,'Capaciteiten &amp; forfaits'!$B:$C,2,FALSE)</f>
        <v>50</v>
      </c>
      <c r="F3" s="172" t="s">
        <v>215</v>
      </c>
      <c r="G3" s="172">
        <v>2.68</v>
      </c>
      <c r="H3" s="89">
        <f>G3*E3*C3</f>
        <v>0</v>
      </c>
      <c r="J3" s="363">
        <f>C3</f>
        <v>0</v>
      </c>
      <c r="K3" s="89">
        <f>G3*E3*J3</f>
        <v>0</v>
      </c>
    </row>
    <row r="4" spans="1:27" x14ac:dyDescent="0.3">
      <c r="B4" s="204" t="s">
        <v>216</v>
      </c>
      <c r="C4" s="1210"/>
      <c r="D4" s="1211"/>
      <c r="E4" s="568"/>
      <c r="F4" s="568"/>
      <c r="G4" s="568"/>
      <c r="H4" s="181"/>
      <c r="J4" s="566"/>
      <c r="K4" s="181"/>
    </row>
    <row r="5" spans="1:27" x14ac:dyDescent="0.3">
      <c r="B5" s="565" t="s">
        <v>217</v>
      </c>
      <c r="C5" s="1210">
        <v>0</v>
      </c>
      <c r="D5" s="1211"/>
      <c r="E5" s="568">
        <v>37</v>
      </c>
      <c r="F5" s="568" t="s">
        <v>218</v>
      </c>
      <c r="G5" s="856" t="s">
        <v>219</v>
      </c>
      <c r="H5" s="181">
        <f>E5*C5</f>
        <v>0</v>
      </c>
      <c r="J5" s="566">
        <f>C5</f>
        <v>0</v>
      </c>
      <c r="K5" s="181">
        <f>J5*E5</f>
        <v>0</v>
      </c>
    </row>
    <row r="6" spans="1:27" x14ac:dyDescent="0.3">
      <c r="B6" s="565" t="s">
        <v>220</v>
      </c>
      <c r="C6" s="1210">
        <v>0</v>
      </c>
      <c r="D6" s="1211"/>
      <c r="E6" s="568">
        <f>E5+7.5</f>
        <v>44.5</v>
      </c>
      <c r="F6" s="568" t="s">
        <v>218</v>
      </c>
      <c r="G6" s="856" t="s">
        <v>219</v>
      </c>
      <c r="H6" s="181">
        <f t="shared" ref="H6" si="0">E6*C6</f>
        <v>0</v>
      </c>
      <c r="J6" s="566">
        <f>C6</f>
        <v>0</v>
      </c>
      <c r="K6" s="181">
        <f t="shared" ref="K6:K7" si="1">J6*E6</f>
        <v>0</v>
      </c>
    </row>
    <row r="7" spans="1:27" ht="15" thickBot="1" x14ac:dyDescent="0.35">
      <c r="B7" s="855" t="s">
        <v>221</v>
      </c>
      <c r="C7" s="857">
        <v>0</v>
      </c>
      <c r="D7" s="858">
        <v>0</v>
      </c>
      <c r="E7" s="175">
        <f>IF(E6+(C7-2)*18&lt;E6,E6,E6+(C7-2)*18)</f>
        <v>44.5</v>
      </c>
      <c r="F7" s="175" t="s">
        <v>222</v>
      </c>
      <c r="G7" s="419" t="str">
        <f>"/"</f>
        <v>/</v>
      </c>
      <c r="H7" s="176">
        <f>E7*D7</f>
        <v>0</v>
      </c>
      <c r="J7" s="364">
        <f>C7</f>
        <v>0</v>
      </c>
      <c r="K7" s="176">
        <f t="shared" si="1"/>
        <v>0</v>
      </c>
    </row>
    <row r="8" spans="1:27" s="168" customFormat="1" ht="15" thickTop="1" x14ac:dyDescent="0.3">
      <c r="B8" s="762" t="s">
        <v>223</v>
      </c>
      <c r="C8" s="1212">
        <f>C3+C5+C6+D7</f>
        <v>0</v>
      </c>
      <c r="D8" s="1212"/>
      <c r="E8" s="1134" t="s">
        <v>197</v>
      </c>
      <c r="F8" s="1134"/>
      <c r="G8" s="762"/>
      <c r="H8" s="170">
        <f>ROUND(SUM(H3:H7),2)</f>
        <v>0</v>
      </c>
      <c r="I8" s="170" t="s">
        <v>181</v>
      </c>
      <c r="J8" s="418">
        <f>SUM(J3:J7)</f>
        <v>0</v>
      </c>
      <c r="K8" s="170">
        <f>ROUND(K7+K3+K5+K6,2)</f>
        <v>0</v>
      </c>
      <c r="L8" s="170" t="s">
        <v>181</v>
      </c>
    </row>
    <row r="9" spans="1:27" s="168" customFormat="1" x14ac:dyDescent="0.3"/>
    <row r="10" spans="1:27" s="168" customFormat="1" x14ac:dyDescent="0.3"/>
    <row r="11" spans="1:27" s="168" customFormat="1" x14ac:dyDescent="0.3"/>
    <row r="12" spans="1:27" s="168" customFormat="1" x14ac:dyDescent="0.3"/>
    <row r="13" spans="1:27" s="168" customFormat="1" x14ac:dyDescent="0.3"/>
    <row r="14" spans="1:27" s="168" customFormat="1" x14ac:dyDescent="0.3"/>
    <row r="15" spans="1:27" s="168" customFormat="1" x14ac:dyDescent="0.3"/>
    <row r="16" spans="1:27" s="168" customFormat="1" x14ac:dyDescent="0.3"/>
    <row r="17" s="168" customFormat="1" x14ac:dyDescent="0.3"/>
    <row r="18" s="168" customFormat="1" x14ac:dyDescent="0.3"/>
    <row r="19" s="168" customFormat="1" x14ac:dyDescent="0.3"/>
    <row r="20" s="168" customFormat="1" x14ac:dyDescent="0.3"/>
    <row r="21" s="168" customFormat="1" x14ac:dyDescent="0.3"/>
    <row r="22" s="168" customFormat="1" x14ac:dyDescent="0.3"/>
    <row r="23" s="168" customFormat="1" x14ac:dyDescent="0.3"/>
    <row r="24" s="168" customFormat="1" x14ac:dyDescent="0.3"/>
    <row r="25" s="168" customFormat="1" x14ac:dyDescent="0.3"/>
    <row r="26" s="168" customFormat="1" x14ac:dyDescent="0.3"/>
    <row r="27" s="168" customFormat="1" x14ac:dyDescent="0.3"/>
    <row r="28" s="168" customFormat="1" x14ac:dyDescent="0.3"/>
    <row r="29" s="168" customFormat="1" x14ac:dyDescent="0.3"/>
    <row r="30" s="168" customFormat="1" x14ac:dyDescent="0.3"/>
    <row r="31" s="168" customFormat="1" x14ac:dyDescent="0.3"/>
    <row r="32" s="168" customFormat="1" x14ac:dyDescent="0.3"/>
    <row r="33" s="168" customFormat="1" x14ac:dyDescent="0.3"/>
    <row r="34" s="168" customFormat="1" x14ac:dyDescent="0.3"/>
    <row r="35" s="168" customFormat="1" x14ac:dyDescent="0.3"/>
    <row r="36" s="168" customFormat="1" x14ac:dyDescent="0.3"/>
    <row r="37" s="168" customFormat="1" x14ac:dyDescent="0.3"/>
    <row r="38" s="168" customFormat="1" x14ac:dyDescent="0.3"/>
    <row r="39" s="168" customFormat="1" x14ac:dyDescent="0.3"/>
    <row r="40" s="168" customFormat="1" x14ac:dyDescent="0.3"/>
    <row r="41" s="168" customFormat="1" x14ac:dyDescent="0.3"/>
    <row r="42" s="168" customFormat="1" x14ac:dyDescent="0.3"/>
    <row r="43" s="168" customFormat="1" x14ac:dyDescent="0.3"/>
    <row r="44" s="168" customFormat="1" x14ac:dyDescent="0.3"/>
    <row r="45" s="168" customFormat="1" x14ac:dyDescent="0.3"/>
    <row r="46" s="168" customFormat="1" x14ac:dyDescent="0.3"/>
    <row r="47" s="168" customFormat="1" x14ac:dyDescent="0.3"/>
    <row r="48" s="168" customFormat="1" x14ac:dyDescent="0.3"/>
    <row r="49" s="168" customFormat="1" x14ac:dyDescent="0.3"/>
    <row r="50" s="168" customFormat="1" x14ac:dyDescent="0.3"/>
    <row r="51" s="168" customFormat="1" x14ac:dyDescent="0.3"/>
    <row r="52" s="168" customFormat="1" x14ac:dyDescent="0.3"/>
    <row r="53" s="168" customFormat="1" x14ac:dyDescent="0.3"/>
    <row r="54" s="168" customFormat="1" x14ac:dyDescent="0.3"/>
    <row r="55" s="168" customFormat="1" x14ac:dyDescent="0.3"/>
    <row r="56" s="168" customFormat="1" x14ac:dyDescent="0.3"/>
    <row r="57" s="168" customFormat="1" x14ac:dyDescent="0.3"/>
    <row r="58" s="168" customFormat="1" x14ac:dyDescent="0.3"/>
    <row r="59" s="168" customFormat="1" x14ac:dyDescent="0.3"/>
    <row r="60" s="168" customFormat="1" x14ac:dyDescent="0.3"/>
    <row r="61" s="168" customFormat="1" x14ac:dyDescent="0.3"/>
    <row r="62" s="168" customFormat="1" x14ac:dyDescent="0.3"/>
  </sheetData>
  <mergeCells count="8">
    <mergeCell ref="E2:F2"/>
    <mergeCell ref="E8:F8"/>
    <mergeCell ref="C2:D2"/>
    <mergeCell ref="C3:D3"/>
    <mergeCell ref="C4:D4"/>
    <mergeCell ref="C5:D5"/>
    <mergeCell ref="C6:D6"/>
    <mergeCell ref="C8:D8"/>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08069-FDF9-48F1-826C-3A499A6586DC}">
  <sheetPr codeName="Blad40"/>
  <dimension ref="A1:AP44"/>
  <sheetViews>
    <sheetView zoomScaleNormal="100" workbookViewId="0">
      <selection activeCell="C3" sqref="C3"/>
    </sheetView>
  </sheetViews>
  <sheetFormatPr defaultRowHeight="14.4" x14ac:dyDescent="0.3"/>
  <cols>
    <col min="1" max="1" width="5.88671875" style="168" customWidth="1"/>
    <col min="2" max="2" width="74.33203125" customWidth="1"/>
    <col min="3" max="3" width="24.33203125" bestFit="1" customWidth="1"/>
    <col min="4" max="4" width="22.33203125" customWidth="1"/>
    <col min="5" max="5" width="12.88671875" bestFit="1" customWidth="1"/>
    <col min="7" max="7" width="17.21875" customWidth="1"/>
    <col min="8" max="8" width="8.88671875" hidden="1" customWidth="1"/>
    <col min="9" max="9" width="3.44140625" style="168" hidden="1" customWidth="1"/>
    <col min="10" max="10" width="20" style="168" hidden="1" customWidth="1"/>
    <col min="11" max="11" width="25.88671875" style="168" customWidth="1"/>
    <col min="12" max="12" width="8.88671875" style="168" customWidth="1"/>
    <col min="13" max="42" width="8.88671875" style="168"/>
  </cols>
  <sheetData>
    <row r="1" spans="2:16" s="168" customFormat="1" ht="17.399999999999999" customHeight="1" x14ac:dyDescent="0.3">
      <c r="B1" s="577" t="s">
        <v>1436</v>
      </c>
      <c r="C1" s="577" t="s">
        <v>1437</v>
      </c>
      <c r="D1" s="1213" t="s">
        <v>1448</v>
      </c>
      <c r="E1" s="1214"/>
      <c r="F1" s="1214"/>
      <c r="G1" s="1215"/>
      <c r="H1" s="578" t="s">
        <v>110</v>
      </c>
      <c r="I1" s="576"/>
      <c r="J1" s="577" t="s">
        <v>228</v>
      </c>
      <c r="K1" s="577" t="s">
        <v>1441</v>
      </c>
      <c r="L1" s="576"/>
    </row>
    <row r="2" spans="2:16" s="168" customFormat="1" x14ac:dyDescent="0.3">
      <c r="B2" s="515" t="s">
        <v>1436</v>
      </c>
      <c r="C2" s="363">
        <v>0</v>
      </c>
      <c r="D2" s="1216">
        <v>600</v>
      </c>
      <c r="E2" s="1217"/>
      <c r="F2" s="1218"/>
      <c r="G2" s="172" t="s">
        <v>1438</v>
      </c>
      <c r="H2" s="342">
        <f>D2*C2</f>
        <v>0</v>
      </c>
      <c r="I2" s="170"/>
      <c r="J2" s="572">
        <f>C2</f>
        <v>0</v>
      </c>
      <c r="K2" s="573">
        <f>J2*D2</f>
        <v>0</v>
      </c>
      <c r="L2" s="170"/>
    </row>
    <row r="3" spans="2:16" s="168" customFormat="1" x14ac:dyDescent="0.3">
      <c r="B3" s="762" t="s">
        <v>223</v>
      </c>
      <c r="C3" s="971">
        <f>SUM(C2:C2)</f>
        <v>0</v>
      </c>
      <c r="D3" s="385"/>
      <c r="F3" s="1134" t="s">
        <v>197</v>
      </c>
      <c r="G3" s="1134"/>
      <c r="H3" s="418">
        <f>ROUND(SUM(H2:H2),2)</f>
        <v>0</v>
      </c>
      <c r="I3" s="170" t="s">
        <v>181</v>
      </c>
      <c r="J3" s="385">
        <f>SUM(J2:J2)</f>
        <v>0</v>
      </c>
      <c r="K3" s="418">
        <f>ROUND(SUM(K2:K2),2)</f>
        <v>0</v>
      </c>
      <c r="L3" s="170" t="s">
        <v>181</v>
      </c>
      <c r="P3" s="838"/>
    </row>
    <row r="4" spans="2:16" s="168" customFormat="1" x14ac:dyDescent="0.3"/>
    <row r="5" spans="2:16" s="168" customFormat="1" ht="18" customHeight="1" x14ac:dyDescent="0.3">
      <c r="B5" s="577" t="s">
        <v>1439</v>
      </c>
      <c r="C5" s="577" t="s">
        <v>1440</v>
      </c>
      <c r="D5" s="1213" t="s">
        <v>1448</v>
      </c>
      <c r="E5" s="1214"/>
      <c r="F5" s="1214"/>
      <c r="G5" s="1215"/>
      <c r="H5" s="578" t="s">
        <v>110</v>
      </c>
      <c r="I5" s="576"/>
      <c r="J5" s="577" t="s">
        <v>228</v>
      </c>
      <c r="K5" s="577" t="s">
        <v>1441</v>
      </c>
      <c r="L5" s="576"/>
    </row>
    <row r="6" spans="2:16" s="168" customFormat="1" x14ac:dyDescent="0.3">
      <c r="B6" s="515" t="s">
        <v>1444</v>
      </c>
      <c r="C6" s="363">
        <v>0</v>
      </c>
      <c r="D6" s="1216">
        <v>300</v>
      </c>
      <c r="E6" s="1217"/>
      <c r="F6" s="1218"/>
      <c r="G6" s="172" t="s">
        <v>1447</v>
      </c>
      <c r="H6" s="342">
        <f>D6*C6</f>
        <v>0</v>
      </c>
      <c r="I6" s="170"/>
      <c r="J6" s="572">
        <f>C6</f>
        <v>0</v>
      </c>
      <c r="K6" s="573">
        <f>J6*D6</f>
        <v>0</v>
      </c>
      <c r="L6" s="170"/>
    </row>
    <row r="7" spans="2:16" s="168" customFormat="1" x14ac:dyDescent="0.3">
      <c r="B7" s="762" t="s">
        <v>223</v>
      </c>
      <c r="C7" s="971">
        <f>SUM(C6:C6)</f>
        <v>0</v>
      </c>
      <c r="D7" s="385"/>
      <c r="F7" s="1134" t="s">
        <v>197</v>
      </c>
      <c r="G7" s="1134"/>
      <c r="H7" s="418">
        <f>ROUND(SUM(H6:H6),2)</f>
        <v>0</v>
      </c>
      <c r="I7" s="170" t="s">
        <v>181</v>
      </c>
      <c r="J7" s="385">
        <f>SUM(J6:J6)</f>
        <v>0</v>
      </c>
      <c r="K7" s="418">
        <f>ROUND(SUM(K6:K6),2)</f>
        <v>0</v>
      </c>
      <c r="L7" s="170" t="s">
        <v>181</v>
      </c>
    </row>
    <row r="8" spans="2:16" s="168" customFormat="1" x14ac:dyDescent="0.3"/>
    <row r="9" spans="2:16" s="168" customFormat="1" ht="16.2" customHeight="1" x14ac:dyDescent="0.3">
      <c r="B9" s="577" t="s">
        <v>1442</v>
      </c>
      <c r="C9" s="577" t="s">
        <v>1440</v>
      </c>
      <c r="D9" s="1213" t="s">
        <v>1448</v>
      </c>
      <c r="E9" s="1214"/>
      <c r="F9" s="1214"/>
      <c r="G9" s="1215"/>
      <c r="H9" s="578" t="s">
        <v>110</v>
      </c>
      <c r="I9" s="576"/>
      <c r="J9" s="577" t="s">
        <v>228</v>
      </c>
      <c r="K9" s="577" t="s">
        <v>1441</v>
      </c>
      <c r="L9" s="576"/>
    </row>
    <row r="10" spans="2:16" s="168" customFormat="1" x14ac:dyDescent="0.3">
      <c r="B10" s="515" t="s">
        <v>1442</v>
      </c>
      <c r="C10" s="363">
        <v>0</v>
      </c>
      <c r="D10" s="1216">
        <v>300</v>
      </c>
      <c r="E10" s="1217"/>
      <c r="F10" s="1218"/>
      <c r="G10" s="172" t="s">
        <v>1446</v>
      </c>
      <c r="H10" s="342">
        <f>D10*C10</f>
        <v>0</v>
      </c>
      <c r="I10" s="170"/>
      <c r="J10" s="572">
        <f>C10</f>
        <v>0</v>
      </c>
      <c r="K10" s="573">
        <f>J10*D10</f>
        <v>0</v>
      </c>
      <c r="L10" s="170"/>
    </row>
    <row r="11" spans="2:16" s="168" customFormat="1" x14ac:dyDescent="0.3">
      <c r="B11" s="762" t="s">
        <v>223</v>
      </c>
      <c r="C11" s="971">
        <f>SUM(C10:C10)</f>
        <v>0</v>
      </c>
      <c r="D11" s="385"/>
      <c r="F11" s="1134" t="s">
        <v>197</v>
      </c>
      <c r="G11" s="1134"/>
      <c r="H11" s="418">
        <f>ROUND(SUM(H10:H10),2)</f>
        <v>0</v>
      </c>
      <c r="I11" s="170" t="s">
        <v>181</v>
      </c>
      <c r="J11" s="385">
        <f>SUM(J10:J10)</f>
        <v>0</v>
      </c>
      <c r="K11" s="418">
        <f>ROUND(SUM(K10:K10),2)</f>
        <v>0</v>
      </c>
      <c r="L11" s="170" t="s">
        <v>181</v>
      </c>
    </row>
    <row r="12" spans="2:16" s="168" customFormat="1" x14ac:dyDescent="0.3"/>
    <row r="13" spans="2:16" s="168" customFormat="1" ht="16.8" customHeight="1" x14ac:dyDescent="0.3">
      <c r="B13" s="577" t="s">
        <v>1443</v>
      </c>
      <c r="C13" s="577" t="s">
        <v>1440</v>
      </c>
      <c r="D13" s="1213" t="s">
        <v>1449</v>
      </c>
      <c r="E13" s="1214"/>
      <c r="F13" s="1214"/>
      <c r="G13" s="1215"/>
      <c r="H13" s="578" t="s">
        <v>110</v>
      </c>
      <c r="I13" s="576"/>
      <c r="J13" s="577" t="s">
        <v>228</v>
      </c>
      <c r="K13" s="577" t="s">
        <v>1441</v>
      </c>
      <c r="L13" s="576"/>
    </row>
    <row r="14" spans="2:16" s="168" customFormat="1" x14ac:dyDescent="0.3">
      <c r="B14" s="515" t="s">
        <v>1443</v>
      </c>
      <c r="C14" s="363">
        <v>0</v>
      </c>
      <c r="D14" s="1216">
        <v>65</v>
      </c>
      <c r="E14" s="1217"/>
      <c r="F14" s="1218"/>
      <c r="G14" s="172" t="s">
        <v>1450</v>
      </c>
      <c r="H14" s="342">
        <f>D14*C14</f>
        <v>0</v>
      </c>
      <c r="I14" s="170"/>
      <c r="J14" s="572">
        <f>C14</f>
        <v>0</v>
      </c>
      <c r="K14" s="573">
        <f>J14*D14</f>
        <v>0</v>
      </c>
      <c r="L14" s="170"/>
    </row>
    <row r="15" spans="2:16" s="168" customFormat="1" x14ac:dyDescent="0.3">
      <c r="B15" s="762" t="s">
        <v>223</v>
      </c>
      <c r="C15" s="971">
        <f>SUM(C14:C14)</f>
        <v>0</v>
      </c>
      <c r="D15" s="385"/>
      <c r="F15" s="1134" t="s">
        <v>197</v>
      </c>
      <c r="G15" s="1134"/>
      <c r="H15" s="418">
        <f>ROUND(SUM(H14:H14),2)</f>
        <v>0</v>
      </c>
      <c r="I15" s="170" t="s">
        <v>181</v>
      </c>
      <c r="J15" s="385">
        <f>SUM(J14:J14)</f>
        <v>0</v>
      </c>
      <c r="K15" s="418">
        <f>ROUND(SUM(K14:K14),2)</f>
        <v>0</v>
      </c>
      <c r="L15" s="170" t="s">
        <v>181</v>
      </c>
    </row>
    <row r="16" spans="2:16" s="168" customFormat="1" x14ac:dyDescent="0.3"/>
    <row r="17" spans="2:12" s="168" customFormat="1" ht="19.8" customHeight="1" x14ac:dyDescent="0.3">
      <c r="B17" s="577" t="s">
        <v>1445</v>
      </c>
      <c r="C17" s="577" t="s">
        <v>1440</v>
      </c>
      <c r="D17" s="1213" t="s">
        <v>1448</v>
      </c>
      <c r="E17" s="1214"/>
      <c r="F17" s="1214"/>
      <c r="G17" s="1215"/>
      <c r="H17" s="578" t="s">
        <v>110</v>
      </c>
      <c r="I17" s="576"/>
      <c r="J17" s="577" t="s">
        <v>228</v>
      </c>
      <c r="K17" s="577" t="s">
        <v>1441</v>
      </c>
      <c r="L17" s="576"/>
    </row>
    <row r="18" spans="2:12" s="168" customFormat="1" x14ac:dyDescent="0.3">
      <c r="B18" s="515" t="s">
        <v>1445</v>
      </c>
      <c r="C18" s="363">
        <v>0</v>
      </c>
      <c r="D18" s="1216">
        <v>65</v>
      </c>
      <c r="E18" s="1217"/>
      <c r="F18" s="1218"/>
      <c r="G18" s="172" t="s">
        <v>1450</v>
      </c>
      <c r="H18" s="342">
        <f>D18*C18</f>
        <v>0</v>
      </c>
      <c r="I18" s="170"/>
      <c r="J18" s="572">
        <f>C18</f>
        <v>0</v>
      </c>
      <c r="K18" s="573">
        <f>J18*D18</f>
        <v>0</v>
      </c>
      <c r="L18" s="170"/>
    </row>
    <row r="19" spans="2:12" s="168" customFormat="1" x14ac:dyDescent="0.3">
      <c r="B19" s="762" t="s">
        <v>223</v>
      </c>
      <c r="C19" s="971">
        <f>SUM(C18:C18)</f>
        <v>0</v>
      </c>
      <c r="D19" s="385"/>
      <c r="F19" s="1134" t="s">
        <v>197</v>
      </c>
      <c r="G19" s="1134"/>
      <c r="H19" s="418">
        <f>ROUND(SUM(H18:H18),2)</f>
        <v>0</v>
      </c>
      <c r="I19" s="170" t="s">
        <v>181</v>
      </c>
      <c r="J19" s="385">
        <f>SUM(J18:J18)</f>
        <v>0</v>
      </c>
      <c r="K19" s="418">
        <f>ROUND(SUM(K18:K18),2)</f>
        <v>0</v>
      </c>
      <c r="L19" s="170" t="s">
        <v>181</v>
      </c>
    </row>
    <row r="20" spans="2:12" x14ac:dyDescent="0.3">
      <c r="B20" s="168"/>
      <c r="C20" s="168"/>
      <c r="D20" s="168"/>
      <c r="E20" s="168"/>
      <c r="F20" s="168"/>
      <c r="G20" s="168"/>
      <c r="H20" s="168"/>
    </row>
    <row r="21" spans="2:12" x14ac:dyDescent="0.3">
      <c r="B21" s="168"/>
      <c r="C21" s="168"/>
      <c r="D21" s="168"/>
      <c r="E21" s="168"/>
      <c r="F21" s="168"/>
      <c r="G21" s="168"/>
      <c r="H21" s="168"/>
    </row>
    <row r="22" spans="2:12" x14ac:dyDescent="0.3">
      <c r="B22" s="168"/>
      <c r="C22" s="168"/>
      <c r="D22" s="168"/>
      <c r="E22" s="168"/>
      <c r="F22" s="168"/>
      <c r="G22" s="168"/>
      <c r="H22" s="168"/>
    </row>
    <row r="23" spans="2:12" x14ac:dyDescent="0.3">
      <c r="B23" s="168"/>
      <c r="C23" s="168"/>
      <c r="D23" s="168"/>
      <c r="E23" s="168"/>
      <c r="F23" s="168"/>
      <c r="G23" s="168"/>
      <c r="H23" s="168"/>
    </row>
    <row r="24" spans="2:12" x14ac:dyDescent="0.3">
      <c r="B24" s="168"/>
      <c r="C24" s="168"/>
      <c r="D24" s="168"/>
      <c r="E24" s="168"/>
      <c r="F24" s="168"/>
      <c r="G24" s="168"/>
      <c r="H24" s="168"/>
    </row>
    <row r="25" spans="2:12" x14ac:dyDescent="0.3">
      <c r="B25" s="168"/>
      <c r="C25" s="168"/>
      <c r="D25" s="168"/>
      <c r="E25" s="168"/>
      <c r="F25" s="168"/>
      <c r="G25" s="168"/>
      <c r="H25" s="168"/>
    </row>
    <row r="26" spans="2:12" x14ac:dyDescent="0.3">
      <c r="B26" s="168"/>
      <c r="C26" s="168"/>
      <c r="D26" s="168"/>
      <c r="E26" s="168"/>
      <c r="F26" s="168"/>
      <c r="G26" s="168"/>
      <c r="H26" s="168"/>
    </row>
    <row r="27" spans="2:12" x14ac:dyDescent="0.3">
      <c r="B27" s="168"/>
      <c r="C27" s="168"/>
      <c r="D27" s="168"/>
      <c r="E27" s="168"/>
      <c r="F27" s="168"/>
      <c r="G27" s="168"/>
      <c r="H27" s="168"/>
    </row>
    <row r="28" spans="2:12" x14ac:dyDescent="0.3">
      <c r="B28" s="168"/>
      <c r="C28" s="168"/>
      <c r="D28" s="168"/>
      <c r="E28" s="168"/>
      <c r="F28" s="168"/>
      <c r="G28" s="168"/>
      <c r="H28" s="168"/>
    </row>
    <row r="29" spans="2:12" x14ac:dyDescent="0.3">
      <c r="B29" s="168"/>
      <c r="C29" s="168"/>
      <c r="D29" s="168"/>
      <c r="E29" s="168"/>
      <c r="F29" s="168"/>
      <c r="G29" s="168"/>
      <c r="H29" s="168"/>
    </row>
    <row r="30" spans="2:12" x14ac:dyDescent="0.3">
      <c r="B30" s="168"/>
      <c r="C30" s="168"/>
      <c r="D30" s="168"/>
      <c r="E30" s="168"/>
      <c r="F30" s="168"/>
      <c r="G30" s="168"/>
      <c r="H30" s="168"/>
    </row>
    <row r="31" spans="2:12" x14ac:dyDescent="0.3">
      <c r="B31" s="168"/>
      <c r="C31" s="168"/>
      <c r="D31" s="168"/>
      <c r="E31" s="168"/>
      <c r="F31" s="168"/>
      <c r="G31" s="168"/>
      <c r="H31" s="168"/>
    </row>
    <row r="32" spans="2:12" x14ac:dyDescent="0.3">
      <c r="B32" s="168"/>
      <c r="C32" s="168"/>
      <c r="D32" s="168"/>
      <c r="E32" s="168"/>
      <c r="F32" s="168"/>
      <c r="G32" s="168"/>
      <c r="H32" s="168"/>
    </row>
    <row r="33" spans="2:8" x14ac:dyDescent="0.3">
      <c r="B33" s="168"/>
      <c r="C33" s="168"/>
      <c r="D33" s="168"/>
      <c r="E33" s="168"/>
      <c r="F33" s="168"/>
      <c r="G33" s="168"/>
      <c r="H33" s="168"/>
    </row>
    <row r="34" spans="2:8" x14ac:dyDescent="0.3">
      <c r="B34" s="168"/>
      <c r="C34" s="168"/>
      <c r="D34" s="168"/>
      <c r="E34" s="168"/>
      <c r="F34" s="168"/>
      <c r="G34" s="168"/>
      <c r="H34" s="168"/>
    </row>
    <row r="35" spans="2:8" x14ac:dyDescent="0.3">
      <c r="B35" s="168"/>
      <c r="C35" s="168"/>
      <c r="D35" s="168"/>
      <c r="E35" s="168"/>
      <c r="F35" s="168"/>
      <c r="G35" s="168"/>
      <c r="H35" s="168"/>
    </row>
    <row r="36" spans="2:8" x14ac:dyDescent="0.3">
      <c r="B36" s="168"/>
      <c r="C36" s="168"/>
      <c r="D36" s="168"/>
      <c r="E36" s="168"/>
      <c r="F36" s="168"/>
      <c r="G36" s="168"/>
      <c r="H36" s="168"/>
    </row>
    <row r="37" spans="2:8" x14ac:dyDescent="0.3">
      <c r="B37" s="168"/>
      <c r="C37" s="168"/>
      <c r="D37" s="168"/>
      <c r="E37" s="168"/>
      <c r="F37" s="168"/>
      <c r="G37" s="168"/>
      <c r="H37" s="168"/>
    </row>
    <row r="38" spans="2:8" x14ac:dyDescent="0.3">
      <c r="B38" s="168"/>
      <c r="C38" s="168"/>
      <c r="D38" s="168"/>
      <c r="E38" s="168"/>
      <c r="F38" s="168"/>
      <c r="G38" s="168"/>
      <c r="H38" s="168"/>
    </row>
    <row r="39" spans="2:8" x14ac:dyDescent="0.3">
      <c r="B39" s="168"/>
      <c r="C39" s="168"/>
      <c r="D39" s="168"/>
      <c r="E39" s="168"/>
      <c r="F39" s="168"/>
      <c r="G39" s="168"/>
      <c r="H39" s="168"/>
    </row>
    <row r="40" spans="2:8" x14ac:dyDescent="0.3">
      <c r="B40" s="168"/>
      <c r="C40" s="168"/>
      <c r="D40" s="168"/>
      <c r="E40" s="168"/>
      <c r="F40" s="168"/>
      <c r="G40" s="168"/>
      <c r="H40" s="168"/>
    </row>
    <row r="41" spans="2:8" x14ac:dyDescent="0.3">
      <c r="B41" s="168"/>
      <c r="C41" s="168"/>
      <c r="D41" s="168"/>
      <c r="E41" s="168"/>
      <c r="F41" s="168"/>
      <c r="G41" s="168"/>
      <c r="H41" s="168"/>
    </row>
    <row r="42" spans="2:8" x14ac:dyDescent="0.3">
      <c r="B42" s="168"/>
      <c r="C42" s="168"/>
      <c r="D42" s="168"/>
      <c r="E42" s="168"/>
      <c r="F42" s="168"/>
      <c r="G42" s="168"/>
      <c r="H42" s="168"/>
    </row>
    <row r="43" spans="2:8" x14ac:dyDescent="0.3">
      <c r="B43" s="168"/>
      <c r="C43" s="168"/>
      <c r="D43" s="168"/>
      <c r="E43" s="168"/>
      <c r="F43" s="168"/>
      <c r="G43" s="168"/>
      <c r="H43" s="168"/>
    </row>
    <row r="44" spans="2:8" x14ac:dyDescent="0.3">
      <c r="B44" s="168"/>
      <c r="C44" s="168"/>
      <c r="D44" s="168"/>
      <c r="E44" s="168"/>
      <c r="F44" s="168"/>
      <c r="G44" s="168"/>
      <c r="H44" s="168"/>
    </row>
  </sheetData>
  <mergeCells count="15">
    <mergeCell ref="D17:G17"/>
    <mergeCell ref="D18:F18"/>
    <mergeCell ref="F19:G19"/>
    <mergeCell ref="D9:G9"/>
    <mergeCell ref="D10:F10"/>
    <mergeCell ref="F11:G11"/>
    <mergeCell ref="D13:G13"/>
    <mergeCell ref="D14:F14"/>
    <mergeCell ref="F15:G15"/>
    <mergeCell ref="F7:G7"/>
    <mergeCell ref="D1:G1"/>
    <mergeCell ref="D2:F2"/>
    <mergeCell ref="F3:G3"/>
    <mergeCell ref="D5:G5"/>
    <mergeCell ref="D6:F6"/>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CDD41-BF64-4A0C-B82C-482DD71D62A3}">
  <sheetPr codeName="Blad3"/>
  <dimension ref="A1:AP44"/>
  <sheetViews>
    <sheetView zoomScaleNormal="100" workbookViewId="0">
      <selection activeCell="C3" sqref="C3"/>
    </sheetView>
  </sheetViews>
  <sheetFormatPr defaultRowHeight="14.4" x14ac:dyDescent="0.3"/>
  <cols>
    <col min="1" max="1" width="5.88671875" style="168" customWidth="1"/>
    <col min="2" max="2" width="74.33203125" customWidth="1"/>
    <col min="3" max="3" width="24.33203125" bestFit="1" customWidth="1"/>
    <col min="4" max="4" width="22.33203125" customWidth="1"/>
    <col min="5" max="5" width="12.88671875" bestFit="1" customWidth="1"/>
    <col min="7" max="7" width="6.33203125" customWidth="1"/>
    <col min="8" max="8" width="8.88671875" hidden="1" customWidth="1"/>
    <col min="9" max="9" width="3.44140625" style="168" hidden="1" customWidth="1"/>
    <col min="10" max="10" width="20" style="168" hidden="1" customWidth="1"/>
    <col min="11" max="11" width="15.109375" style="168" customWidth="1"/>
    <col min="12" max="12" width="8.88671875" style="168" customWidth="1"/>
    <col min="13" max="42" width="8.88671875" style="168"/>
  </cols>
  <sheetData>
    <row r="1" spans="2:16" s="168" customFormat="1" ht="17.399999999999999" customHeight="1" x14ac:dyDescent="0.3">
      <c r="B1" s="577" t="s">
        <v>244</v>
      </c>
      <c r="C1" s="577" t="s">
        <v>245</v>
      </c>
      <c r="D1" s="1213" t="s">
        <v>211</v>
      </c>
      <c r="E1" s="1214"/>
      <c r="F1" s="1214"/>
      <c r="G1" s="1215"/>
      <c r="H1" s="578" t="s">
        <v>110</v>
      </c>
      <c r="I1" s="576"/>
      <c r="J1" s="577" t="s">
        <v>228</v>
      </c>
      <c r="K1" s="577" t="s">
        <v>91</v>
      </c>
      <c r="L1" s="576"/>
    </row>
    <row r="2" spans="2:16" s="168" customFormat="1" x14ac:dyDescent="0.3">
      <c r="B2" s="515" t="s">
        <v>246</v>
      </c>
      <c r="C2" s="363">
        <v>0</v>
      </c>
      <c r="D2" s="1216">
        <v>20</v>
      </c>
      <c r="E2" s="1217"/>
      <c r="F2" s="1218"/>
      <c r="G2" s="172" t="s">
        <v>218</v>
      </c>
      <c r="H2" s="342">
        <f>D2*C2</f>
        <v>0</v>
      </c>
      <c r="I2" s="170"/>
      <c r="J2" s="572">
        <f>C2</f>
        <v>0</v>
      </c>
      <c r="K2" s="573">
        <f>J2*D2</f>
        <v>0</v>
      </c>
      <c r="L2" s="170"/>
    </row>
    <row r="3" spans="2:16" s="168" customFormat="1" x14ac:dyDescent="0.3">
      <c r="B3" s="762" t="s">
        <v>223</v>
      </c>
      <c r="C3" s="971">
        <f>SUM(C2:C2)</f>
        <v>0</v>
      </c>
      <c r="D3" s="385"/>
      <c r="F3" s="1134" t="s">
        <v>197</v>
      </c>
      <c r="G3" s="1134"/>
      <c r="H3" s="418">
        <f>ROUND(SUM(H2:H2),2)</f>
        <v>0</v>
      </c>
      <c r="I3" s="170" t="s">
        <v>181</v>
      </c>
      <c r="J3" s="385">
        <f>SUM(J2:J2)</f>
        <v>0</v>
      </c>
      <c r="K3" s="418">
        <f>ROUND(SUM(K2:K2),2)</f>
        <v>0</v>
      </c>
      <c r="L3" s="170" t="s">
        <v>181</v>
      </c>
      <c r="P3" s="838"/>
    </row>
    <row r="4" spans="2:16" s="168" customFormat="1" x14ac:dyDescent="0.3"/>
    <row r="5" spans="2:16" s="168" customFormat="1" x14ac:dyDescent="0.3"/>
    <row r="6" spans="2:16" s="168" customFormat="1" x14ac:dyDescent="0.3"/>
    <row r="7" spans="2:16" s="168" customFormat="1" x14ac:dyDescent="0.3"/>
    <row r="8" spans="2:16" s="168" customFormat="1" x14ac:dyDescent="0.3"/>
    <row r="9" spans="2:16" s="168" customFormat="1" x14ac:dyDescent="0.3"/>
    <row r="10" spans="2:16" s="168" customFormat="1" x14ac:dyDescent="0.3"/>
    <row r="11" spans="2:16" s="168" customFormat="1" x14ac:dyDescent="0.3"/>
    <row r="12" spans="2:16" s="168" customFormat="1" x14ac:dyDescent="0.3"/>
    <row r="13" spans="2:16" s="168" customFormat="1" x14ac:dyDescent="0.3"/>
    <row r="14" spans="2:16" s="168" customFormat="1" x14ac:dyDescent="0.3"/>
    <row r="15" spans="2:16" s="168" customFormat="1" x14ac:dyDescent="0.3"/>
    <row r="16" spans="2:16" s="168" customFormat="1" x14ac:dyDescent="0.3"/>
    <row r="17" spans="2:8" s="168" customFormat="1" x14ac:dyDescent="0.3"/>
    <row r="18" spans="2:8" s="168" customFormat="1" x14ac:dyDescent="0.3"/>
    <row r="19" spans="2:8" s="168" customFormat="1" x14ac:dyDescent="0.3"/>
    <row r="20" spans="2:8" x14ac:dyDescent="0.3">
      <c r="B20" s="168"/>
      <c r="C20" s="168"/>
      <c r="D20" s="168"/>
      <c r="E20" s="168"/>
      <c r="F20" s="168"/>
      <c r="G20" s="168"/>
      <c r="H20" s="168"/>
    </row>
    <row r="21" spans="2:8" x14ac:dyDescent="0.3">
      <c r="B21" s="168"/>
      <c r="C21" s="168"/>
      <c r="D21" s="168"/>
      <c r="E21" s="168"/>
      <c r="F21" s="168"/>
      <c r="G21" s="168"/>
      <c r="H21" s="168"/>
    </row>
    <row r="22" spans="2:8" x14ac:dyDescent="0.3">
      <c r="B22" s="168"/>
      <c r="C22" s="168"/>
      <c r="D22" s="168"/>
      <c r="E22" s="168"/>
      <c r="F22" s="168"/>
      <c r="G22" s="168"/>
      <c r="H22" s="168"/>
    </row>
    <row r="23" spans="2:8" x14ac:dyDescent="0.3">
      <c r="B23" s="168"/>
      <c r="C23" s="168"/>
      <c r="D23" s="168"/>
      <c r="E23" s="168"/>
      <c r="F23" s="168"/>
      <c r="G23" s="168"/>
      <c r="H23" s="168"/>
    </row>
    <row r="24" spans="2:8" x14ac:dyDescent="0.3">
      <c r="B24" s="168"/>
      <c r="C24" s="168"/>
      <c r="D24" s="168"/>
      <c r="E24" s="168"/>
      <c r="F24" s="168"/>
      <c r="G24" s="168"/>
      <c r="H24" s="168"/>
    </row>
    <row r="25" spans="2:8" x14ac:dyDescent="0.3">
      <c r="B25" s="168"/>
      <c r="C25" s="168"/>
      <c r="D25" s="168"/>
      <c r="E25" s="168"/>
      <c r="F25" s="168"/>
      <c r="G25" s="168"/>
      <c r="H25" s="168"/>
    </row>
    <row r="26" spans="2:8" x14ac:dyDescent="0.3">
      <c r="B26" s="168"/>
      <c r="C26" s="168"/>
      <c r="D26" s="168"/>
      <c r="E26" s="168"/>
      <c r="F26" s="168"/>
      <c r="G26" s="168"/>
      <c r="H26" s="168"/>
    </row>
    <row r="27" spans="2:8" x14ac:dyDescent="0.3">
      <c r="B27" s="168"/>
      <c r="C27" s="168"/>
      <c r="D27" s="168"/>
      <c r="E27" s="168"/>
      <c r="F27" s="168"/>
      <c r="G27" s="168"/>
      <c r="H27" s="168"/>
    </row>
    <row r="28" spans="2:8" x14ac:dyDescent="0.3">
      <c r="B28" s="168"/>
      <c r="C28" s="168"/>
      <c r="D28" s="168"/>
      <c r="E28" s="168"/>
      <c r="F28" s="168"/>
      <c r="G28" s="168"/>
      <c r="H28" s="168"/>
    </row>
    <row r="29" spans="2:8" x14ac:dyDescent="0.3">
      <c r="B29" s="168"/>
      <c r="C29" s="168"/>
      <c r="D29" s="168"/>
      <c r="E29" s="168"/>
      <c r="F29" s="168"/>
      <c r="G29" s="168"/>
      <c r="H29" s="168"/>
    </row>
    <row r="30" spans="2:8" x14ac:dyDescent="0.3">
      <c r="B30" s="168"/>
      <c r="C30" s="168"/>
      <c r="D30" s="168"/>
      <c r="E30" s="168"/>
      <c r="F30" s="168"/>
      <c r="G30" s="168"/>
      <c r="H30" s="168"/>
    </row>
    <row r="31" spans="2:8" x14ac:dyDescent="0.3">
      <c r="B31" s="168"/>
      <c r="C31" s="168"/>
      <c r="D31" s="168"/>
      <c r="E31" s="168"/>
      <c r="F31" s="168"/>
      <c r="G31" s="168"/>
      <c r="H31" s="168"/>
    </row>
    <row r="32" spans="2:8" x14ac:dyDescent="0.3">
      <c r="B32" s="168"/>
      <c r="C32" s="168"/>
      <c r="D32" s="168"/>
      <c r="E32" s="168"/>
      <c r="F32" s="168"/>
      <c r="G32" s="168"/>
      <c r="H32" s="168"/>
    </row>
    <row r="33" spans="2:8" x14ac:dyDescent="0.3">
      <c r="B33" s="168"/>
      <c r="C33" s="168"/>
      <c r="D33" s="168"/>
      <c r="E33" s="168"/>
      <c r="F33" s="168"/>
      <c r="G33" s="168"/>
      <c r="H33" s="168"/>
    </row>
    <row r="34" spans="2:8" x14ac:dyDescent="0.3">
      <c r="B34" s="168"/>
      <c r="C34" s="168"/>
      <c r="D34" s="168"/>
      <c r="E34" s="168"/>
      <c r="F34" s="168"/>
      <c r="G34" s="168"/>
      <c r="H34" s="168"/>
    </row>
    <row r="35" spans="2:8" x14ac:dyDescent="0.3">
      <c r="B35" s="168"/>
      <c r="C35" s="168"/>
      <c r="D35" s="168"/>
      <c r="E35" s="168"/>
      <c r="F35" s="168"/>
      <c r="G35" s="168"/>
      <c r="H35" s="168"/>
    </row>
    <row r="36" spans="2:8" x14ac:dyDescent="0.3">
      <c r="B36" s="168"/>
      <c r="C36" s="168"/>
      <c r="D36" s="168"/>
      <c r="E36" s="168"/>
      <c r="F36" s="168"/>
      <c r="G36" s="168"/>
      <c r="H36" s="168"/>
    </row>
    <row r="37" spans="2:8" x14ac:dyDescent="0.3">
      <c r="B37" s="168"/>
      <c r="C37" s="168"/>
      <c r="D37" s="168"/>
      <c r="E37" s="168"/>
      <c r="F37" s="168"/>
      <c r="G37" s="168"/>
      <c r="H37" s="168"/>
    </row>
    <row r="38" spans="2:8" x14ac:dyDescent="0.3">
      <c r="B38" s="168"/>
      <c r="C38" s="168"/>
      <c r="D38" s="168"/>
      <c r="E38" s="168"/>
      <c r="F38" s="168"/>
      <c r="G38" s="168"/>
      <c r="H38" s="168"/>
    </row>
    <row r="39" spans="2:8" x14ac:dyDescent="0.3">
      <c r="B39" s="168"/>
      <c r="C39" s="168"/>
      <c r="D39" s="168"/>
      <c r="E39" s="168"/>
      <c r="F39" s="168"/>
      <c r="G39" s="168"/>
      <c r="H39" s="168"/>
    </row>
    <row r="40" spans="2:8" x14ac:dyDescent="0.3">
      <c r="B40" s="168"/>
      <c r="C40" s="168"/>
      <c r="D40" s="168"/>
      <c r="E40" s="168"/>
      <c r="F40" s="168"/>
      <c r="G40" s="168"/>
      <c r="H40" s="168"/>
    </row>
    <row r="41" spans="2:8" x14ac:dyDescent="0.3">
      <c r="B41" s="168"/>
      <c r="C41" s="168"/>
      <c r="D41" s="168"/>
      <c r="E41" s="168"/>
      <c r="F41" s="168"/>
      <c r="G41" s="168"/>
      <c r="H41" s="168"/>
    </row>
    <row r="42" spans="2:8" x14ac:dyDescent="0.3">
      <c r="B42" s="168"/>
      <c r="C42" s="168"/>
      <c r="D42" s="168"/>
      <c r="E42" s="168"/>
      <c r="F42" s="168"/>
      <c r="G42" s="168"/>
      <c r="H42" s="168"/>
    </row>
    <row r="43" spans="2:8" x14ac:dyDescent="0.3">
      <c r="B43" s="168"/>
      <c r="C43" s="168"/>
      <c r="D43" s="168"/>
      <c r="E43" s="168"/>
      <c r="F43" s="168"/>
      <c r="G43" s="168"/>
      <c r="H43" s="168"/>
    </row>
    <row r="44" spans="2:8" x14ac:dyDescent="0.3">
      <c r="B44" s="168"/>
      <c r="C44" s="168"/>
      <c r="D44" s="168"/>
      <c r="E44" s="168"/>
      <c r="F44" s="168"/>
      <c r="G44" s="168"/>
      <c r="H44" s="168"/>
    </row>
  </sheetData>
  <mergeCells count="3">
    <mergeCell ref="F3:G3"/>
    <mergeCell ref="D1:G1"/>
    <mergeCell ref="D2:F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E082A-5656-4550-A344-01F459E40E6A}">
  <sheetPr codeName="Blad30"/>
  <dimension ref="A2:AE12"/>
  <sheetViews>
    <sheetView workbookViewId="0">
      <selection activeCell="C4" sqref="C4:C10"/>
    </sheetView>
  </sheetViews>
  <sheetFormatPr defaultRowHeight="14.4" x14ac:dyDescent="0.3"/>
  <cols>
    <col min="1" max="2" width="8.88671875" style="168"/>
    <col min="3" max="3" width="43.33203125" style="168" bestFit="1" customWidth="1"/>
    <col min="4" max="4" width="14" style="168" bestFit="1" customWidth="1"/>
    <col min="5" max="5" width="21.6640625" style="168" bestFit="1" customWidth="1"/>
    <col min="6" max="6" width="8.88671875" style="168"/>
    <col min="7" max="7" width="3.44140625" style="168" bestFit="1" customWidth="1"/>
    <col min="8" max="8" width="28.6640625" style="168" hidden="1" customWidth="1"/>
    <col min="9" max="9" width="15.109375" style="168" hidden="1" customWidth="1"/>
    <col min="10" max="10" width="8.88671875" style="168" hidden="1" customWidth="1"/>
    <col min="11" max="11" width="33.109375" style="168" bestFit="1" customWidth="1"/>
    <col min="12" max="31" width="8.88671875" style="168"/>
  </cols>
  <sheetData>
    <row r="2" spans="1:31" x14ac:dyDescent="0.3">
      <c r="B2" s="361" t="s">
        <v>162</v>
      </c>
      <c r="C2" s="361" t="s">
        <v>34</v>
      </c>
      <c r="D2" s="361" t="s">
        <v>163</v>
      </c>
      <c r="E2" s="361" t="s">
        <v>247</v>
      </c>
      <c r="F2" s="362" t="s">
        <v>167</v>
      </c>
      <c r="G2" s="170"/>
      <c r="H2" s="361" t="s">
        <v>248</v>
      </c>
      <c r="I2" s="361" t="s">
        <v>91</v>
      </c>
    </row>
    <row r="3" spans="1:31" x14ac:dyDescent="0.3">
      <c r="B3" s="523"/>
      <c r="C3" s="530" t="s">
        <v>249</v>
      </c>
      <c r="D3" s="523"/>
      <c r="E3" s="523"/>
      <c r="F3" s="524"/>
      <c r="G3" s="170"/>
      <c r="H3" s="523"/>
      <c r="I3" s="204"/>
    </row>
    <row r="4" spans="1:31" x14ac:dyDescent="0.3">
      <c r="B4" s="204" t="s">
        <v>250</v>
      </c>
      <c r="C4" s="529" t="s">
        <v>251</v>
      </c>
      <c r="D4" s="522">
        <v>0</v>
      </c>
      <c r="E4" s="204">
        <v>65</v>
      </c>
      <c r="F4" s="525">
        <f>E4*D4</f>
        <v>0</v>
      </c>
      <c r="H4" s="522">
        <f>D4</f>
        <v>0</v>
      </c>
      <c r="I4" s="204">
        <f>H4*E4</f>
        <v>0</v>
      </c>
    </row>
    <row r="5" spans="1:31" x14ac:dyDescent="0.3">
      <c r="B5" s="204" t="s">
        <v>250</v>
      </c>
      <c r="C5" s="529" t="s">
        <v>252</v>
      </c>
      <c r="D5" s="522">
        <v>0</v>
      </c>
      <c r="E5" s="204">
        <v>45</v>
      </c>
      <c r="F5" s="525">
        <f>IF(AND(D4=0,D6=0),E5*D5,0)</f>
        <v>0</v>
      </c>
      <c r="H5" s="522">
        <f t="shared" ref="H5:H10" si="0">D5</f>
        <v>0</v>
      </c>
      <c r="I5" s="204">
        <f t="shared" ref="I5:I10" si="1">H5*E5</f>
        <v>0</v>
      </c>
    </row>
    <row r="6" spans="1:31" x14ac:dyDescent="0.3">
      <c r="B6" s="204" t="s">
        <v>250</v>
      </c>
      <c r="C6" s="529" t="s">
        <v>253</v>
      </c>
      <c r="D6" s="522">
        <v>0</v>
      </c>
      <c r="E6" s="204">
        <v>45</v>
      </c>
      <c r="F6" s="525">
        <f t="shared" ref="F6:F10" si="2">E6*D6</f>
        <v>0</v>
      </c>
      <c r="H6" s="522">
        <f t="shared" si="0"/>
        <v>0</v>
      </c>
      <c r="I6" s="204">
        <f t="shared" si="1"/>
        <v>0</v>
      </c>
      <c r="AC6"/>
      <c r="AD6"/>
      <c r="AE6"/>
    </row>
    <row r="7" spans="1:31" s="316" customFormat="1" x14ac:dyDescent="0.3">
      <c r="A7" s="171"/>
      <c r="B7" s="534" t="s">
        <v>250</v>
      </c>
      <c r="C7" s="529" t="s">
        <v>254</v>
      </c>
      <c r="D7" s="522">
        <v>0</v>
      </c>
      <c r="E7" s="532">
        <v>65</v>
      </c>
      <c r="F7" s="533">
        <f>E7*D7</f>
        <v>0</v>
      </c>
      <c r="G7" s="171"/>
      <c r="H7" s="522">
        <f t="shared" si="0"/>
        <v>0</v>
      </c>
      <c r="I7" s="204">
        <f t="shared" si="1"/>
        <v>0</v>
      </c>
      <c r="J7" s="171"/>
      <c r="K7" s="171"/>
      <c r="L7" s="171"/>
      <c r="M7" s="171"/>
      <c r="N7" s="171"/>
      <c r="O7" s="171"/>
      <c r="P7" s="171"/>
      <c r="Q7" s="171"/>
      <c r="R7" s="171"/>
      <c r="S7" s="171"/>
      <c r="T7" s="171"/>
      <c r="U7" s="171"/>
      <c r="V7" s="171"/>
      <c r="W7" s="171"/>
      <c r="X7" s="171"/>
      <c r="Y7" s="171"/>
      <c r="Z7" s="171"/>
      <c r="AA7" s="171"/>
      <c r="AB7" s="171"/>
    </row>
    <row r="8" spans="1:31" s="316" customFormat="1" x14ac:dyDescent="0.3">
      <c r="A8" s="171"/>
      <c r="B8" s="534" t="s">
        <v>250</v>
      </c>
      <c r="C8" s="529" t="s">
        <v>255</v>
      </c>
      <c r="D8" s="522">
        <v>0</v>
      </c>
      <c r="E8" s="532">
        <v>75</v>
      </c>
      <c r="F8" s="533">
        <f>E8*D8</f>
        <v>0</v>
      </c>
      <c r="G8" s="171"/>
      <c r="H8" s="522">
        <f t="shared" si="0"/>
        <v>0</v>
      </c>
      <c r="I8" s="204">
        <f t="shared" si="1"/>
        <v>0</v>
      </c>
      <c r="J8" s="171"/>
      <c r="K8" s="171"/>
      <c r="L8" s="171"/>
      <c r="M8" s="171"/>
      <c r="N8" s="171"/>
      <c r="O8" s="171"/>
      <c r="P8" s="171"/>
      <c r="Q8" s="171"/>
      <c r="R8" s="171"/>
      <c r="S8" s="171"/>
      <c r="T8" s="171"/>
      <c r="U8" s="171"/>
      <c r="V8" s="171"/>
      <c r="W8" s="171"/>
      <c r="X8" s="171"/>
      <c r="Y8" s="171"/>
      <c r="Z8" s="171"/>
      <c r="AA8" s="171"/>
      <c r="AB8" s="171"/>
    </row>
    <row r="9" spans="1:31" x14ac:dyDescent="0.3">
      <c r="B9" s="204" t="s">
        <v>250</v>
      </c>
      <c r="C9" s="204" t="s">
        <v>256</v>
      </c>
      <c r="D9" s="522">
        <v>0</v>
      </c>
      <c r="E9" s="204">
        <v>65</v>
      </c>
      <c r="F9" s="525">
        <f t="shared" si="2"/>
        <v>0</v>
      </c>
      <c r="H9" s="522">
        <f t="shared" si="0"/>
        <v>0</v>
      </c>
      <c r="I9" s="204">
        <f t="shared" si="1"/>
        <v>0</v>
      </c>
      <c r="AC9"/>
      <c r="AD9"/>
      <c r="AE9"/>
    </row>
    <row r="10" spans="1:31" ht="15" thickBot="1" x14ac:dyDescent="0.35">
      <c r="B10" s="204" t="s">
        <v>250</v>
      </c>
      <c r="C10" s="204" t="s">
        <v>257</v>
      </c>
      <c r="D10" s="543">
        <v>0</v>
      </c>
      <c r="E10" s="526">
        <v>65</v>
      </c>
      <c r="F10" s="525">
        <f t="shared" si="2"/>
        <v>0</v>
      </c>
      <c r="H10" s="543">
        <f t="shared" si="0"/>
        <v>0</v>
      </c>
      <c r="I10" s="526">
        <f t="shared" si="1"/>
        <v>0</v>
      </c>
      <c r="AC10"/>
      <c r="AD10"/>
      <c r="AE10"/>
    </row>
    <row r="11" spans="1:31" ht="15" thickTop="1" x14ac:dyDescent="0.3">
      <c r="B11" s="345"/>
      <c r="C11" s="544" t="s">
        <v>258</v>
      </c>
      <c r="D11" s="542">
        <f>SUM(D4:D10)</f>
        <v>0</v>
      </c>
      <c r="E11" s="763" t="s">
        <v>197</v>
      </c>
      <c r="F11" s="527">
        <f>ROUND(SUM(F4:F10),2)</f>
        <v>0</v>
      </c>
      <c r="G11" s="170" t="s">
        <v>181</v>
      </c>
      <c r="H11" s="542">
        <f>SUM(H4:H10)</f>
        <v>0</v>
      </c>
      <c r="I11" s="527">
        <f>ROUND(SUM(I4:I10),2)</f>
        <v>0</v>
      </c>
      <c r="J11" s="170" t="s">
        <v>181</v>
      </c>
      <c r="AC11"/>
      <c r="AD11"/>
      <c r="AE11"/>
    </row>
    <row r="12" spans="1:31" x14ac:dyDescent="0.3">
      <c r="AC12"/>
      <c r="AD12"/>
      <c r="AE12"/>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944EF-CD78-4488-8458-17CD3234D54D}">
  <sheetPr codeName="Blad29"/>
  <dimension ref="A2:AI66"/>
  <sheetViews>
    <sheetView workbookViewId="0">
      <selection activeCell="C10" sqref="C10"/>
    </sheetView>
  </sheetViews>
  <sheetFormatPr defaultRowHeight="14.4" x14ac:dyDescent="0.3"/>
  <cols>
    <col min="1" max="1" width="5.88671875" style="168" customWidth="1"/>
    <col min="2" max="2" width="68" customWidth="1"/>
    <col min="3" max="3" width="23.33203125" bestFit="1" customWidth="1"/>
    <col min="4" max="4" width="10.5546875" bestFit="1" customWidth="1"/>
    <col min="5" max="5" width="10.33203125" bestFit="1" customWidth="1"/>
    <col min="6" max="6" width="9.33203125" customWidth="1"/>
    <col min="7" max="7" width="10.5546875" bestFit="1" customWidth="1"/>
    <col min="8" max="8" width="3.44140625" style="168" bestFit="1" customWidth="1"/>
    <col min="9" max="9" width="33.88671875" style="168" hidden="1" customWidth="1"/>
    <col min="10" max="10" width="15.109375" style="168" hidden="1" customWidth="1"/>
    <col min="11" max="11" width="8.88671875" style="168" hidden="1" customWidth="1"/>
    <col min="12" max="35" width="8.88671875" style="168"/>
  </cols>
  <sheetData>
    <row r="2" spans="1:35" s="106" customFormat="1" ht="16.95" customHeight="1" x14ac:dyDescent="0.3">
      <c r="A2" s="170"/>
      <c r="B2" s="365" t="s">
        <v>259</v>
      </c>
      <c r="C2" s="365" t="s">
        <v>1451</v>
      </c>
      <c r="D2" s="1207" t="s">
        <v>211</v>
      </c>
      <c r="E2" s="1207"/>
      <c r="F2" s="764" t="s">
        <v>260</v>
      </c>
      <c r="G2" s="361" t="s">
        <v>110</v>
      </c>
      <c r="H2" s="170"/>
      <c r="I2" s="365" t="s">
        <v>261</v>
      </c>
      <c r="J2" s="365" t="s">
        <v>91</v>
      </c>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row>
    <row r="3" spans="1:35" x14ac:dyDescent="0.3">
      <c r="B3" s="165" t="s">
        <v>262</v>
      </c>
      <c r="C3" s="363">
        <v>0</v>
      </c>
      <c r="D3" s="172">
        <v>50</v>
      </c>
      <c r="E3" s="172" t="s">
        <v>215</v>
      </c>
      <c r="F3" s="172">
        <v>1.64</v>
      </c>
      <c r="G3" s="516">
        <f>F3*D3*C3</f>
        <v>0</v>
      </c>
      <c r="I3" s="363">
        <f>C3</f>
        <v>0</v>
      </c>
      <c r="J3" s="204">
        <f>I3*F3*D3</f>
        <v>0</v>
      </c>
    </row>
    <row r="4" spans="1:35" ht="27.6" x14ac:dyDescent="0.3">
      <c r="B4" s="163" t="s">
        <v>891</v>
      </c>
      <c r="C4" s="1109">
        <v>0</v>
      </c>
      <c r="D4" s="172">
        <f>VLOOKUP(B4,'Capaciteiten &amp; forfaits'!$B$2:$C$71,2,FALSE)</f>
        <v>400</v>
      </c>
      <c r="E4" s="172" t="s">
        <v>835</v>
      </c>
      <c r="F4" s="1110" t="s">
        <v>219</v>
      </c>
      <c r="G4" s="516">
        <f>D4*C4</f>
        <v>0</v>
      </c>
      <c r="I4" s="363"/>
      <c r="J4" s="204"/>
    </row>
    <row r="5" spans="1:35" ht="55.2" x14ac:dyDescent="0.3">
      <c r="B5" s="1111" t="s">
        <v>893</v>
      </c>
      <c r="C5" s="1109">
        <v>0</v>
      </c>
      <c r="D5" s="172">
        <f>VLOOKUP(B5,'Capaciteiten &amp; forfaits'!$B$2:$C$71,2,FALSE)</f>
        <v>500</v>
      </c>
      <c r="E5" s="172" t="s">
        <v>835</v>
      </c>
      <c r="F5" s="1110" t="s">
        <v>219</v>
      </c>
      <c r="G5" s="516">
        <f t="shared" ref="G5:G9" si="0">D5*C5</f>
        <v>0</v>
      </c>
      <c r="I5" s="363"/>
      <c r="J5" s="204"/>
    </row>
    <row r="6" spans="1:35" ht="41.4" x14ac:dyDescent="0.3">
      <c r="B6" s="163" t="s">
        <v>894</v>
      </c>
      <c r="C6" s="1109">
        <v>0</v>
      </c>
      <c r="D6" s="172">
        <f>VLOOKUP(B6,'Capaciteiten &amp; forfaits'!$B$2:$C$71,2,FALSE)</f>
        <v>650</v>
      </c>
      <c r="E6" s="172" t="s">
        <v>835</v>
      </c>
      <c r="F6" s="1110" t="s">
        <v>219</v>
      </c>
      <c r="G6" s="516">
        <f t="shared" si="0"/>
        <v>0</v>
      </c>
      <c r="I6" s="363"/>
      <c r="J6" s="204"/>
    </row>
    <row r="7" spans="1:35" ht="27.6" x14ac:dyDescent="0.3">
      <c r="B7" s="163" t="s">
        <v>895</v>
      </c>
      <c r="C7" s="1109">
        <v>0</v>
      </c>
      <c r="D7" s="172">
        <f>VLOOKUP(B7,'Capaciteiten &amp; forfaits'!$B$2:$C$71,2,FALSE)</f>
        <v>750</v>
      </c>
      <c r="E7" s="172" t="s">
        <v>835</v>
      </c>
      <c r="F7" s="1110" t="s">
        <v>219</v>
      </c>
      <c r="G7" s="516">
        <f t="shared" si="0"/>
        <v>0</v>
      </c>
      <c r="I7" s="363"/>
      <c r="J7" s="204"/>
    </row>
    <row r="8" spans="1:35" ht="55.2" x14ac:dyDescent="0.3">
      <c r="B8" s="163" t="s">
        <v>896</v>
      </c>
      <c r="C8" s="1109">
        <v>0</v>
      </c>
      <c r="D8" s="172">
        <f>VLOOKUP(B8,'Capaciteiten &amp; forfaits'!$B$2:$C$71,2,FALSE)</f>
        <v>900</v>
      </c>
      <c r="E8" s="172" t="s">
        <v>835</v>
      </c>
      <c r="F8" s="1110" t="s">
        <v>219</v>
      </c>
      <c r="G8" s="516">
        <f t="shared" si="0"/>
        <v>0</v>
      </c>
      <c r="I8" s="363"/>
      <c r="J8" s="204"/>
    </row>
    <row r="9" spans="1:35" ht="27.6" x14ac:dyDescent="0.3">
      <c r="B9" s="163" t="s">
        <v>897</v>
      </c>
      <c r="C9" s="363">
        <v>0</v>
      </c>
      <c r="D9" s="172">
        <f>VLOOKUP(B9,'Capaciteiten &amp; forfaits'!$B$2:$C$71,2,FALSE)</f>
        <v>1000</v>
      </c>
      <c r="E9" s="172" t="s">
        <v>835</v>
      </c>
      <c r="F9" s="1110" t="s">
        <v>219</v>
      </c>
      <c r="G9" s="516">
        <f t="shared" si="0"/>
        <v>0</v>
      </c>
      <c r="I9" s="363"/>
      <c r="J9" s="204"/>
    </row>
    <row r="10" spans="1:35" x14ac:dyDescent="0.3">
      <c r="B10" s="165" t="s">
        <v>263</v>
      </c>
      <c r="C10" s="363">
        <v>0</v>
      </c>
      <c r="D10" s="172">
        <v>50</v>
      </c>
      <c r="E10" s="89" t="s">
        <v>264</v>
      </c>
      <c r="F10" s="517" t="s">
        <v>219</v>
      </c>
      <c r="G10" s="516">
        <f>IF(C10&gt;15,D10,0)</f>
        <v>0</v>
      </c>
      <c r="I10" s="363">
        <f>C10</f>
        <v>0</v>
      </c>
      <c r="J10" s="204">
        <f>I10*D10</f>
        <v>0</v>
      </c>
    </row>
    <row r="11" spans="1:35" s="168" customFormat="1" ht="15.6" customHeight="1" thickBot="1" x14ac:dyDescent="0.35">
      <c r="B11" s="518" t="s">
        <v>265</v>
      </c>
      <c r="C11" s="364">
        <v>0</v>
      </c>
      <c r="D11" s="175">
        <v>2</v>
      </c>
      <c r="E11" s="175" t="s">
        <v>266</v>
      </c>
      <c r="F11" s="419" t="str">
        <f>"/"</f>
        <v>/</v>
      </c>
      <c r="G11" s="519">
        <f>IF(D10+(C11-25)*2&lt;400,D10+(C11-25)*2,400)</f>
        <v>0</v>
      </c>
      <c r="I11" s="364">
        <f>C11</f>
        <v>0</v>
      </c>
      <c r="J11" s="526">
        <f>I11*D11</f>
        <v>0</v>
      </c>
    </row>
    <row r="12" spans="1:35" s="168" customFormat="1" ht="15" thickTop="1" x14ac:dyDescent="0.3">
      <c r="B12" s="762" t="s">
        <v>223</v>
      </c>
      <c r="C12" s="418">
        <f>SUM(C3:C11)</f>
        <v>0</v>
      </c>
      <c r="D12" s="1219" t="s">
        <v>197</v>
      </c>
      <c r="E12" s="1219"/>
      <c r="F12" s="1219"/>
      <c r="G12" s="455">
        <f>ROUND(SUM(G3:G11),2)</f>
        <v>0</v>
      </c>
      <c r="H12" s="170" t="s">
        <v>181</v>
      </c>
      <c r="I12" s="418">
        <f>SUM(I3:I11)</f>
        <v>0</v>
      </c>
      <c r="J12" s="418">
        <f>ROUND(SUM(J3:J11),2)</f>
        <v>0</v>
      </c>
      <c r="K12" s="170" t="s">
        <v>181</v>
      </c>
    </row>
    <row r="13" spans="1:35" s="168" customFormat="1" x14ac:dyDescent="0.3"/>
    <row r="14" spans="1:35" s="168" customFormat="1" x14ac:dyDescent="0.3"/>
    <row r="15" spans="1:35" s="168" customFormat="1" x14ac:dyDescent="0.3"/>
    <row r="16" spans="1:35" s="168" customFormat="1" x14ac:dyDescent="0.3"/>
    <row r="17" s="168" customFormat="1" x14ac:dyDescent="0.3"/>
    <row r="18" s="168" customFormat="1" x14ac:dyDescent="0.3"/>
    <row r="19" s="168" customFormat="1" x14ac:dyDescent="0.3"/>
    <row r="20" s="168" customFormat="1" x14ac:dyDescent="0.3"/>
    <row r="21" s="168" customFormat="1" x14ac:dyDescent="0.3"/>
    <row r="22" s="168" customFormat="1" x14ac:dyDescent="0.3"/>
    <row r="23" s="168" customFormat="1" x14ac:dyDescent="0.3"/>
    <row r="24" s="168" customFormat="1" x14ac:dyDescent="0.3"/>
    <row r="25" s="168" customFormat="1" x14ac:dyDescent="0.3"/>
    <row r="26" s="168" customFormat="1" x14ac:dyDescent="0.3"/>
    <row r="27" s="168" customFormat="1" x14ac:dyDescent="0.3"/>
    <row r="28" s="168" customFormat="1" x14ac:dyDescent="0.3"/>
    <row r="29" s="168" customFormat="1" x14ac:dyDescent="0.3"/>
    <row r="30" s="168" customFormat="1" x14ac:dyDescent="0.3"/>
    <row r="31" s="168" customFormat="1" x14ac:dyDescent="0.3"/>
    <row r="32" s="168" customFormat="1" x14ac:dyDescent="0.3"/>
    <row r="33" s="168" customFormat="1" x14ac:dyDescent="0.3"/>
    <row r="34" s="168" customFormat="1" x14ac:dyDescent="0.3"/>
    <row r="35" s="168" customFormat="1" x14ac:dyDescent="0.3"/>
    <row r="36" s="168" customFormat="1" x14ac:dyDescent="0.3"/>
    <row r="37" s="168" customFormat="1" x14ac:dyDescent="0.3"/>
    <row r="38" s="168" customFormat="1" x14ac:dyDescent="0.3"/>
    <row r="39" s="168" customFormat="1" x14ac:dyDescent="0.3"/>
    <row r="40" s="168" customFormat="1" x14ac:dyDescent="0.3"/>
    <row r="41" s="168" customFormat="1" x14ac:dyDescent="0.3"/>
    <row r="42" s="168" customFormat="1" x14ac:dyDescent="0.3"/>
    <row r="43" s="168" customFormat="1" x14ac:dyDescent="0.3"/>
    <row r="44" s="168" customFormat="1" x14ac:dyDescent="0.3"/>
    <row r="45" s="168" customFormat="1" x14ac:dyDescent="0.3"/>
    <row r="46" s="168" customFormat="1" x14ac:dyDescent="0.3"/>
    <row r="47" s="168" customFormat="1" x14ac:dyDescent="0.3"/>
    <row r="48" s="168" customFormat="1" x14ac:dyDescent="0.3"/>
    <row r="49" s="168" customFormat="1" x14ac:dyDescent="0.3"/>
    <row r="50" s="168" customFormat="1" x14ac:dyDescent="0.3"/>
    <row r="51" s="168" customFormat="1" x14ac:dyDescent="0.3"/>
    <row r="52" s="168" customFormat="1" x14ac:dyDescent="0.3"/>
    <row r="53" s="168" customFormat="1" x14ac:dyDescent="0.3"/>
    <row r="54" s="168" customFormat="1" x14ac:dyDescent="0.3"/>
    <row r="55" s="168" customFormat="1" x14ac:dyDescent="0.3"/>
    <row r="56" s="168" customFormat="1" x14ac:dyDescent="0.3"/>
    <row r="57" s="168" customFormat="1" x14ac:dyDescent="0.3"/>
    <row r="58" s="168" customFormat="1" x14ac:dyDescent="0.3"/>
    <row r="59" s="168" customFormat="1" x14ac:dyDescent="0.3"/>
    <row r="60" s="168" customFormat="1" x14ac:dyDescent="0.3"/>
    <row r="61" s="168" customFormat="1" x14ac:dyDescent="0.3"/>
    <row r="62" s="168" customFormat="1" x14ac:dyDescent="0.3"/>
    <row r="63" s="168" customFormat="1" x14ac:dyDescent="0.3"/>
    <row r="64" s="168" customFormat="1" x14ac:dyDescent="0.3"/>
    <row r="65" spans="2:2" s="168" customFormat="1" x14ac:dyDescent="0.3"/>
    <row r="66" spans="2:2" x14ac:dyDescent="0.3">
      <c r="B66" s="168"/>
    </row>
  </sheetData>
  <mergeCells count="2">
    <mergeCell ref="D2:E2"/>
    <mergeCell ref="D12:F1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CE3AA-2CF5-4040-A1A6-E6E12465AC53}">
  <sheetPr codeName="Blad38"/>
  <dimension ref="A2:AI60"/>
  <sheetViews>
    <sheetView workbookViewId="0">
      <selection activeCell="E15" sqref="E15"/>
    </sheetView>
  </sheetViews>
  <sheetFormatPr defaultRowHeight="14.4" x14ac:dyDescent="0.3"/>
  <cols>
    <col min="1" max="1" width="5.88671875" style="168" customWidth="1"/>
    <col min="2" max="2" width="52.109375" bestFit="1" customWidth="1"/>
    <col min="3" max="3" width="23.33203125" bestFit="1" customWidth="1"/>
    <col min="5" max="5" width="15.33203125" bestFit="1" customWidth="1"/>
    <col min="6" max="6" width="9.33203125" customWidth="1"/>
    <col min="7" max="7" width="10.5546875" bestFit="1" customWidth="1"/>
    <col min="8" max="8" width="3.44140625" style="168" bestFit="1" customWidth="1"/>
    <col min="9" max="9" width="33.88671875" style="168" hidden="1" customWidth="1"/>
    <col min="10" max="10" width="15.109375" style="168" hidden="1" customWidth="1"/>
    <col min="11" max="11" width="8.88671875" style="168" hidden="1" customWidth="1"/>
    <col min="12" max="35" width="8.88671875" style="168"/>
  </cols>
  <sheetData>
    <row r="2" spans="1:35" s="106" customFormat="1" ht="16.95" customHeight="1" x14ac:dyDescent="0.3">
      <c r="A2" s="170"/>
      <c r="B2" s="365" t="s">
        <v>267</v>
      </c>
      <c r="C2" s="365" t="s">
        <v>210</v>
      </c>
      <c r="D2" s="1207" t="s">
        <v>211</v>
      </c>
      <c r="E2" s="1207"/>
      <c r="F2" s="764" t="s">
        <v>260</v>
      </c>
      <c r="G2" s="361" t="s">
        <v>110</v>
      </c>
      <c r="H2" s="170"/>
      <c r="I2" s="365" t="s">
        <v>261</v>
      </c>
      <c r="J2" s="365" t="s">
        <v>91</v>
      </c>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row>
    <row r="3" spans="1:35" x14ac:dyDescent="0.3">
      <c r="B3" s="165" t="s">
        <v>268</v>
      </c>
      <c r="C3" s="363">
        <v>0</v>
      </c>
      <c r="D3" s="172">
        <v>50</v>
      </c>
      <c r="E3" s="172" t="s">
        <v>215</v>
      </c>
      <c r="F3" s="172">
        <v>1.64</v>
      </c>
      <c r="G3" s="516">
        <f>IF(0&lt;C3&lt;6,250,250+((C3-5)*50))</f>
        <v>0</v>
      </c>
      <c r="I3" s="363">
        <f>C3</f>
        <v>0</v>
      </c>
      <c r="J3" s="204">
        <f>I3*F3*D3</f>
        <v>0</v>
      </c>
    </row>
    <row r="4" spans="1:35" x14ac:dyDescent="0.3">
      <c r="B4" s="165" t="s">
        <v>269</v>
      </c>
      <c r="C4" s="363">
        <v>0</v>
      </c>
      <c r="D4" s="172">
        <v>90</v>
      </c>
      <c r="E4" s="89" t="s">
        <v>270</v>
      </c>
      <c r="F4" s="517" t="s">
        <v>219</v>
      </c>
      <c r="G4" s="516">
        <f>C4*D4</f>
        <v>0</v>
      </c>
      <c r="I4" s="363">
        <f>C4</f>
        <v>0</v>
      </c>
      <c r="J4" s="204">
        <f>I4*D4</f>
        <v>0</v>
      </c>
    </row>
    <row r="5" spans="1:35" s="168" customFormat="1" ht="15.6" customHeight="1" thickBot="1" x14ac:dyDescent="0.35">
      <c r="B5" s="165" t="s">
        <v>271</v>
      </c>
      <c r="C5" s="364">
        <v>0</v>
      </c>
      <c r="D5" s="175">
        <v>30</v>
      </c>
      <c r="E5" s="175" t="s">
        <v>272</v>
      </c>
      <c r="F5" s="419" t="str">
        <f>"/"</f>
        <v>/</v>
      </c>
      <c r="G5" s="519">
        <f>C5*D5</f>
        <v>0</v>
      </c>
      <c r="I5" s="364">
        <f>C5</f>
        <v>0</v>
      </c>
      <c r="J5" s="526">
        <f>I5*D5</f>
        <v>0</v>
      </c>
    </row>
    <row r="6" spans="1:35" s="168" customFormat="1" ht="15" thickTop="1" x14ac:dyDescent="0.3">
      <c r="B6" s="762" t="s">
        <v>223</v>
      </c>
      <c r="C6" s="418">
        <f>SUM(C3:C5)</f>
        <v>0</v>
      </c>
      <c r="D6" s="1219" t="s">
        <v>197</v>
      </c>
      <c r="E6" s="1219"/>
      <c r="F6" s="1219"/>
      <c r="G6" s="455">
        <f>ROUND(SUM(G3:G5),2)</f>
        <v>0</v>
      </c>
      <c r="H6" s="170" t="s">
        <v>181</v>
      </c>
      <c r="I6" s="418">
        <f>SUM(I3:I5)</f>
        <v>0</v>
      </c>
      <c r="J6" s="418">
        <f>ROUND(SUM(J3:J5),2)</f>
        <v>0</v>
      </c>
      <c r="K6" s="170" t="s">
        <v>181</v>
      </c>
    </row>
    <row r="7" spans="1:35" s="168" customFormat="1" x14ac:dyDescent="0.3"/>
    <row r="8" spans="1:35" s="168" customFormat="1" x14ac:dyDescent="0.3"/>
    <row r="9" spans="1:35" s="168" customFormat="1" x14ac:dyDescent="0.3"/>
    <row r="10" spans="1:35" s="168" customFormat="1" x14ac:dyDescent="0.3"/>
    <row r="11" spans="1:35" s="168" customFormat="1" x14ac:dyDescent="0.3"/>
    <row r="12" spans="1:35" s="168" customFormat="1" x14ac:dyDescent="0.3"/>
    <row r="13" spans="1:35" s="168" customFormat="1" x14ac:dyDescent="0.3"/>
    <row r="14" spans="1:35" s="168" customFormat="1" x14ac:dyDescent="0.3"/>
    <row r="15" spans="1:35" s="168" customFormat="1" x14ac:dyDescent="0.3"/>
    <row r="16" spans="1:35" s="168" customFormat="1" x14ac:dyDescent="0.3"/>
    <row r="17" s="168" customFormat="1" x14ac:dyDescent="0.3"/>
    <row r="18" s="168" customFormat="1" x14ac:dyDescent="0.3"/>
    <row r="19" s="168" customFormat="1" x14ac:dyDescent="0.3"/>
    <row r="20" s="168" customFormat="1" x14ac:dyDescent="0.3"/>
    <row r="21" s="168" customFormat="1" x14ac:dyDescent="0.3"/>
    <row r="22" s="168" customFormat="1" x14ac:dyDescent="0.3"/>
    <row r="23" s="168" customFormat="1" x14ac:dyDescent="0.3"/>
    <row r="24" s="168" customFormat="1" x14ac:dyDescent="0.3"/>
    <row r="25" s="168" customFormat="1" x14ac:dyDescent="0.3"/>
    <row r="26" s="168" customFormat="1" x14ac:dyDescent="0.3"/>
    <row r="27" s="168" customFormat="1" x14ac:dyDescent="0.3"/>
    <row r="28" s="168" customFormat="1" x14ac:dyDescent="0.3"/>
    <row r="29" s="168" customFormat="1" x14ac:dyDescent="0.3"/>
    <row r="30" s="168" customFormat="1" x14ac:dyDescent="0.3"/>
    <row r="31" s="168" customFormat="1" x14ac:dyDescent="0.3"/>
    <row r="32" s="168" customFormat="1" x14ac:dyDescent="0.3"/>
    <row r="33" s="168" customFormat="1" x14ac:dyDescent="0.3"/>
    <row r="34" s="168" customFormat="1" x14ac:dyDescent="0.3"/>
    <row r="35" s="168" customFormat="1" x14ac:dyDescent="0.3"/>
    <row r="36" s="168" customFormat="1" x14ac:dyDescent="0.3"/>
    <row r="37" s="168" customFormat="1" x14ac:dyDescent="0.3"/>
    <row r="38" s="168" customFormat="1" x14ac:dyDescent="0.3"/>
    <row r="39" s="168" customFormat="1" x14ac:dyDescent="0.3"/>
    <row r="40" s="168" customFormat="1" x14ac:dyDescent="0.3"/>
    <row r="41" s="168" customFormat="1" x14ac:dyDescent="0.3"/>
    <row r="42" s="168" customFormat="1" x14ac:dyDescent="0.3"/>
    <row r="43" s="168" customFormat="1" x14ac:dyDescent="0.3"/>
    <row r="44" s="168" customFormat="1" x14ac:dyDescent="0.3"/>
    <row r="45" s="168" customFormat="1" x14ac:dyDescent="0.3"/>
    <row r="46" s="168" customFormat="1" x14ac:dyDescent="0.3"/>
    <row r="47" s="168" customFormat="1" x14ac:dyDescent="0.3"/>
    <row r="48" s="168" customFormat="1" x14ac:dyDescent="0.3"/>
    <row r="49" spans="2:2" s="168" customFormat="1" x14ac:dyDescent="0.3"/>
    <row r="50" spans="2:2" s="168" customFormat="1" x14ac:dyDescent="0.3"/>
    <row r="51" spans="2:2" s="168" customFormat="1" x14ac:dyDescent="0.3"/>
    <row r="52" spans="2:2" s="168" customFormat="1" x14ac:dyDescent="0.3"/>
    <row r="53" spans="2:2" s="168" customFormat="1" x14ac:dyDescent="0.3"/>
    <row r="54" spans="2:2" s="168" customFormat="1" x14ac:dyDescent="0.3"/>
    <row r="55" spans="2:2" s="168" customFormat="1" x14ac:dyDescent="0.3"/>
    <row r="56" spans="2:2" s="168" customFormat="1" x14ac:dyDescent="0.3"/>
    <row r="57" spans="2:2" s="168" customFormat="1" x14ac:dyDescent="0.3"/>
    <row r="58" spans="2:2" s="168" customFormat="1" x14ac:dyDescent="0.3"/>
    <row r="59" spans="2:2" s="168" customFormat="1" x14ac:dyDescent="0.3"/>
    <row r="60" spans="2:2" x14ac:dyDescent="0.3">
      <c r="B60" s="168"/>
    </row>
  </sheetData>
  <mergeCells count="2">
    <mergeCell ref="D2:E2"/>
    <mergeCell ref="D6:F6"/>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31"/>
  <dimension ref="A1:W93"/>
  <sheetViews>
    <sheetView zoomScale="110" zoomScaleNormal="110" workbookViewId="0">
      <selection activeCell="A2" sqref="A2:D8"/>
    </sheetView>
  </sheetViews>
  <sheetFormatPr defaultRowHeight="14.4" outlineLevelRow="1" outlineLevelCol="1" x14ac:dyDescent="0.3"/>
  <cols>
    <col min="1" max="1" width="30.5546875" bestFit="1" customWidth="1"/>
    <col min="2" max="2" width="15.44140625" customWidth="1"/>
    <col min="3" max="3" width="8.33203125" customWidth="1"/>
    <col min="4" max="4" width="14.88671875" bestFit="1" customWidth="1"/>
    <col min="5" max="5" width="14.88671875" customWidth="1"/>
    <col min="6" max="6" width="1.88671875" customWidth="1"/>
    <col min="7" max="7" width="27.109375" hidden="1" customWidth="1" outlineLevel="1"/>
    <col min="8" max="8" width="12.6640625" hidden="1" customWidth="1" outlineLevel="1"/>
    <col min="9" max="9" width="8" hidden="1" customWidth="1" outlineLevel="1"/>
    <col min="10" max="10" width="14.88671875" hidden="1" customWidth="1" outlineLevel="1"/>
    <col min="11" max="11" width="6.88671875" hidden="1" customWidth="1" outlineLevel="1"/>
    <col min="12" max="12" width="2.33203125" customWidth="1" collapsed="1"/>
    <col min="13" max="13" width="27.109375" hidden="1" customWidth="1" outlineLevel="1"/>
    <col min="14" max="14" width="12.44140625" hidden="1" customWidth="1" outlineLevel="1"/>
    <col min="15" max="15" width="8" hidden="1" customWidth="1" outlineLevel="1"/>
    <col min="16" max="16" width="14" hidden="1" customWidth="1" outlineLevel="1"/>
    <col min="17" max="17" width="6.88671875" hidden="1" customWidth="1" outlineLevel="1"/>
    <col min="18" max="18" width="8.88671875" collapsed="1"/>
    <col min="19" max="19" width="27.109375" bestFit="1" customWidth="1"/>
    <col min="20" max="20" width="15.6640625" customWidth="1"/>
    <col min="21" max="21" width="11.44140625" bestFit="1" customWidth="1"/>
    <col min="22" max="22" width="13.6640625" bestFit="1" customWidth="1"/>
  </cols>
  <sheetData>
    <row r="1" spans="1:23" s="106" customFormat="1" ht="15" thickBot="1" x14ac:dyDescent="0.35">
      <c r="A1" s="106" t="s">
        <v>23</v>
      </c>
      <c r="B1" s="106" t="str">
        <f>'Overzicht BTA'!$C$3</f>
        <v>Kies de zorgvorm</v>
      </c>
      <c r="G1" s="106" t="s">
        <v>23</v>
      </c>
      <c r="H1" s="1222" t="str">
        <f>'Overzicht BTA'!$H$3</f>
        <v>Kies de zorgvorm</v>
      </c>
      <c r="I1" s="1222"/>
      <c r="J1" s="1222"/>
      <c r="M1" s="106" t="s">
        <v>23</v>
      </c>
      <c r="N1" s="106" t="str">
        <f>'Overzicht BTA'!$N$3</f>
        <v>Kies de zorgvorm</v>
      </c>
    </row>
    <row r="2" spans="1:23" ht="15" thickBot="1" x14ac:dyDescent="0.35">
      <c r="A2" s="376" t="s">
        <v>273</v>
      </c>
      <c r="B2" s="140"/>
      <c r="C2" s="140"/>
      <c r="D2" s="141"/>
      <c r="E2" s="141"/>
      <c r="G2" s="376" t="s">
        <v>273</v>
      </c>
      <c r="H2" s="209"/>
      <c r="I2" s="209"/>
      <c r="J2" s="210"/>
      <c r="K2" s="141"/>
      <c r="M2" s="376" t="s">
        <v>273</v>
      </c>
      <c r="N2" s="209"/>
      <c r="O2" s="209"/>
      <c r="P2" s="210"/>
      <c r="Q2" s="141"/>
      <c r="S2" s="841"/>
      <c r="T2" s="23"/>
      <c r="U2" s="23"/>
      <c r="V2" s="23"/>
      <c r="W2" s="23"/>
    </row>
    <row r="3" spans="1:23" ht="15" thickBot="1" x14ac:dyDescent="0.35">
      <c r="A3" s="372" t="s">
        <v>274</v>
      </c>
      <c r="B3" s="370" t="s">
        <v>275</v>
      </c>
      <c r="C3" s="370" t="s">
        <v>276</v>
      </c>
      <c r="D3" s="370" t="s">
        <v>277</v>
      </c>
      <c r="E3" s="377" t="s">
        <v>278</v>
      </c>
      <c r="F3" s="23"/>
      <c r="G3" s="373" t="s">
        <v>274</v>
      </c>
      <c r="H3" s="375" t="s">
        <v>275</v>
      </c>
      <c r="I3" s="375" t="s">
        <v>276</v>
      </c>
      <c r="J3" s="375" t="s">
        <v>277</v>
      </c>
      <c r="K3" s="379" t="s">
        <v>278</v>
      </c>
      <c r="M3" s="373" t="s">
        <v>274</v>
      </c>
      <c r="N3" s="375" t="s">
        <v>275</v>
      </c>
      <c r="O3" s="375" t="s">
        <v>276</v>
      </c>
      <c r="P3" s="375" t="s">
        <v>277</v>
      </c>
      <c r="Q3" s="379" t="s">
        <v>278</v>
      </c>
      <c r="S3" s="23"/>
      <c r="T3" s="23"/>
      <c r="U3" s="23"/>
      <c r="V3" s="23"/>
      <c r="W3" s="842"/>
    </row>
    <row r="4" spans="1:23" ht="15" thickBot="1" x14ac:dyDescent="0.35">
      <c r="A4" s="368">
        <f>ROUND(IF('Overzicht BTA'!D14=0,0,IF(MATCH(Bron!$B$8,'Overzicht BTA'!$B$7:$B$10,0)=1,'Overzicht BTA'!$D$7,IF(MATCH(Bron!$B$8,'Overzicht BTA'!$B$7:$B$10,0)=2,'Overzicht BTA'!$D$8,IF(MATCH(Bron!$B$8,'Overzicht BTA'!$B$7:$B$10,0)=3,'Overzicht BTA'!$D$9,IF(MATCH(Bron!$B$8,'Overzicht BTA'!$B$7:$B$10,0)=4,'Overzicht BTA'!$D$10,0))))),2)</f>
        <v>0</v>
      </c>
      <c r="B4" s="904">
        <f>VLOOKUP(B1,'Capaciteiten &amp; forfaits'!$B$3:$H$76,4,FALSE)</f>
        <v>0</v>
      </c>
      <c r="C4" s="370">
        <f>'Overzicht BTA'!$D$36</f>
        <v>2.3958200000000001</v>
      </c>
      <c r="D4" s="378">
        <f>ROUND(A4*B4*C4,2)</f>
        <v>0</v>
      </c>
      <c r="E4" s="908">
        <f>ROUND(B4*C4*1,2)</f>
        <v>0</v>
      </c>
      <c r="G4" s="368">
        <f>ROUND(IF('Overzicht BTA'!J14=0,0,IF(MATCH(Bron!$B$8,'Overzicht BTA'!$H$7:$H$10,0)=1,'Overzicht BTA'!$J$7,IF(MATCH(Bron!$B$8,'Overzicht BTA'!$H$7:$H$10,0)=2,'Overzicht BTA'!$J$8,IF(MATCH(Bron!$B$8,'Overzicht BTA'!$H$7:$H$10,0)=3,'Overzicht BTA'!$J$9,IF(MATCH(Bron!$B$8,'Overzicht BTA'!$H$7:$H$10,0)=4,'Overzicht BTA'!$J$10,0))))),2)</f>
        <v>0</v>
      </c>
      <c r="H4" s="904">
        <f>VLOOKUP(H1,'Capaciteiten &amp; forfaits'!$B$3:$H$76,4,FALSE)</f>
        <v>0</v>
      </c>
      <c r="I4" s="375">
        <f>'Overzicht BTA'!$I$36</f>
        <v>2.3958200000000001</v>
      </c>
      <c r="J4" s="378">
        <f>ROUND(G4*H4*I4,2)</f>
        <v>0</v>
      </c>
      <c r="K4" s="908">
        <f>ROUND(H4*I4*1,2)</f>
        <v>0</v>
      </c>
      <c r="M4" s="368">
        <f>ROUND(IF('Overzicht BTA'!P14=0,0,IF(MATCH(Bron!$B$8,'Overzicht BTA'!$N$7:$N$10,0)=1,'Overzicht BTA'!$P$7,IF(MATCH(Bron!$B$8,'Overzicht BTA'!$N$7:$N$10,0)=2,'Overzicht BTA'!$P$8,IF(MATCH(Bron!$B$8,'Overzicht BTA'!$N$7:$N$10,0)=3,'Overzicht BTA'!$P$9,IF(MATCH(Bron!$B$8,'Overzicht BTA'!$N$7:$N$10,0)=4,'Overzicht BTA'!$P$10,0))))),2)</f>
        <v>0</v>
      </c>
      <c r="N4" s="904">
        <f>VLOOKUP(N1,'Capaciteiten &amp; forfaits'!$B$3:$H$76,4,FALSE)</f>
        <v>0</v>
      </c>
      <c r="O4" s="375">
        <f>'Overzicht BTA'!$O$36</f>
        <v>2.3958200000000001</v>
      </c>
      <c r="P4" s="378">
        <f>ROUND(M4*N4*O4,2)</f>
        <v>0</v>
      </c>
      <c r="Q4" s="908">
        <f>ROUND(N4*O4*1,2)</f>
        <v>0</v>
      </c>
      <c r="S4" s="843"/>
      <c r="T4" s="844"/>
      <c r="U4" s="23"/>
      <c r="V4" s="496"/>
      <c r="W4" s="149"/>
    </row>
    <row r="5" spans="1:23" ht="15" thickBot="1" x14ac:dyDescent="0.35">
      <c r="A5" s="5" t="s">
        <v>279</v>
      </c>
      <c r="B5" s="6"/>
      <c r="C5" s="2">
        <v>0.1</v>
      </c>
      <c r="D5" s="1">
        <f>ROUND(D4*C5,2)</f>
        <v>0</v>
      </c>
      <c r="G5" s="213" t="s">
        <v>279</v>
      </c>
      <c r="H5" s="214"/>
      <c r="I5" s="215">
        <v>0.1</v>
      </c>
      <c r="J5" s="1">
        <f>ROUND(J4*I5,2)</f>
        <v>0</v>
      </c>
      <c r="M5" s="213" t="s">
        <v>279</v>
      </c>
      <c r="N5" s="214"/>
      <c r="O5" s="215">
        <v>0.1</v>
      </c>
      <c r="P5" s="1">
        <f>ROUND(P4*O5,2)</f>
        <v>0</v>
      </c>
      <c r="S5" s="23"/>
      <c r="T5" s="23"/>
      <c r="U5" s="40"/>
      <c r="V5" s="496"/>
    </row>
    <row r="6" spans="1:23" ht="15" thickBot="1" x14ac:dyDescent="0.35">
      <c r="A6" s="5" t="s">
        <v>64</v>
      </c>
      <c r="B6" s="6" t="s">
        <v>280</v>
      </c>
      <c r="C6" s="2">
        <v>0.21</v>
      </c>
      <c r="D6" s="1">
        <f>ROUND(D4*C6,2)</f>
        <v>0</v>
      </c>
      <c r="F6" s="150"/>
      <c r="G6" s="213" t="s">
        <v>64</v>
      </c>
      <c r="H6" s="214" t="s">
        <v>280</v>
      </c>
      <c r="I6" s="215">
        <v>0.21</v>
      </c>
      <c r="J6" s="1">
        <f>ROUND(J4*I6,2)</f>
        <v>0</v>
      </c>
      <c r="M6" s="213" t="s">
        <v>64</v>
      </c>
      <c r="N6" s="214" t="s">
        <v>280</v>
      </c>
      <c r="O6" s="215">
        <v>0.21</v>
      </c>
      <c r="P6" s="1">
        <f>ROUND(P4*O6,2)</f>
        <v>0</v>
      </c>
      <c r="S6" s="23"/>
      <c r="T6" s="23"/>
      <c r="U6" s="40"/>
      <c r="V6" s="496"/>
    </row>
    <row r="7" spans="1:23" ht="15" thickBot="1" x14ac:dyDescent="0.35">
      <c r="A7" s="3" t="s">
        <v>64</v>
      </c>
      <c r="B7" s="18" t="s">
        <v>281</v>
      </c>
      <c r="C7" s="2">
        <v>0.21</v>
      </c>
      <c r="D7" s="4">
        <f>ROUND(D5*C7,2)</f>
        <v>0</v>
      </c>
      <c r="F7" s="149"/>
      <c r="G7" s="216" t="s">
        <v>64</v>
      </c>
      <c r="H7" s="18" t="s">
        <v>281</v>
      </c>
      <c r="I7" s="215">
        <v>0.21</v>
      </c>
      <c r="J7" s="4">
        <f>ROUND(J5*I7,2)</f>
        <v>0</v>
      </c>
      <c r="M7" s="216" t="s">
        <v>64</v>
      </c>
      <c r="N7" s="18" t="s">
        <v>281</v>
      </c>
      <c r="O7" s="215">
        <v>0.21</v>
      </c>
      <c r="P7" s="4">
        <f>ROUND(P5*O7,2)</f>
        <v>0</v>
      </c>
      <c r="S7" s="23"/>
      <c r="T7" s="18"/>
      <c r="U7" s="40"/>
      <c r="V7" s="496"/>
    </row>
    <row r="8" spans="1:23" ht="15" thickBot="1" x14ac:dyDescent="0.35">
      <c r="A8" s="5" t="s">
        <v>282</v>
      </c>
      <c r="B8" s="6"/>
      <c r="C8" s="7"/>
      <c r="D8" s="1">
        <f>SUM(D4:D7)</f>
        <v>0</v>
      </c>
      <c r="E8" s="149"/>
      <c r="G8" s="213" t="s">
        <v>282</v>
      </c>
      <c r="H8" s="214"/>
      <c r="I8" s="217"/>
      <c r="J8" s="1">
        <f>SUM(J4:J7)</f>
        <v>0</v>
      </c>
      <c r="K8" s="149"/>
      <c r="M8" s="213" t="s">
        <v>282</v>
      </c>
      <c r="N8" s="214"/>
      <c r="O8" s="217"/>
      <c r="P8" s="1">
        <f>SUM(P4:P7)</f>
        <v>0</v>
      </c>
      <c r="Q8" s="149"/>
      <c r="S8" s="23"/>
      <c r="T8" s="23"/>
      <c r="U8" s="23"/>
      <c r="V8" s="496"/>
      <c r="W8" s="149"/>
    </row>
    <row r="9" spans="1:23" ht="15" hidden="1" outlineLevel="1" thickBot="1" x14ac:dyDescent="0.35">
      <c r="A9" s="23"/>
      <c r="B9" s="23"/>
      <c r="C9" s="23"/>
      <c r="D9" s="496"/>
      <c r="E9" s="149"/>
      <c r="G9" s="243"/>
      <c r="H9" s="243"/>
      <c r="I9" s="243"/>
      <c r="J9" s="496"/>
      <c r="K9" s="149"/>
      <c r="M9" s="243"/>
      <c r="N9" s="243"/>
      <c r="O9" s="243"/>
      <c r="P9" s="496"/>
      <c r="Q9" s="149"/>
      <c r="S9" s="23"/>
      <c r="T9" s="23"/>
      <c r="U9" s="23"/>
      <c r="V9" s="496"/>
      <c r="W9" s="149"/>
    </row>
    <row r="10" spans="1:23" ht="15" hidden="1" outlineLevel="1" thickBot="1" x14ac:dyDescent="0.35">
      <c r="A10" s="376" t="s">
        <v>283</v>
      </c>
      <c r="B10" s="140"/>
      <c r="C10" s="140"/>
      <c r="D10" s="141"/>
      <c r="E10" s="141"/>
      <c r="G10" s="376" t="s">
        <v>284</v>
      </c>
      <c r="H10" s="140"/>
      <c r="I10" s="140"/>
      <c r="J10" s="141"/>
      <c r="K10" s="141"/>
      <c r="M10" s="376" t="s">
        <v>284</v>
      </c>
      <c r="N10" s="140"/>
      <c r="O10" s="140"/>
      <c r="P10" s="141"/>
      <c r="Q10" s="141"/>
      <c r="S10" s="23"/>
      <c r="T10" s="23"/>
      <c r="U10" s="23"/>
      <c r="V10" s="496"/>
      <c r="W10" s="149"/>
    </row>
    <row r="11" spans="1:23" ht="15" hidden="1" outlineLevel="1" thickBot="1" x14ac:dyDescent="0.35">
      <c r="A11" s="1003" t="s">
        <v>274</v>
      </c>
      <c r="B11" s="1004" t="s">
        <v>275</v>
      </c>
      <c r="C11" s="1004" t="s">
        <v>276</v>
      </c>
      <c r="D11" s="1004" t="s">
        <v>277</v>
      </c>
      <c r="E11" s="377" t="s">
        <v>278</v>
      </c>
      <c r="G11" s="372" t="s">
        <v>274</v>
      </c>
      <c r="H11" s="370" t="s">
        <v>275</v>
      </c>
      <c r="I11" s="370" t="s">
        <v>276</v>
      </c>
      <c r="J11" s="370" t="s">
        <v>277</v>
      </c>
      <c r="K11" s="377" t="s">
        <v>278</v>
      </c>
      <c r="M11" s="372" t="s">
        <v>274</v>
      </c>
      <c r="N11" s="370" t="s">
        <v>275</v>
      </c>
      <c r="O11" s="370" t="s">
        <v>276</v>
      </c>
      <c r="P11" s="370" t="s">
        <v>277</v>
      </c>
      <c r="Q11" s="377" t="s">
        <v>278</v>
      </c>
      <c r="S11" s="23"/>
      <c r="T11" s="23"/>
      <c r="U11" s="23"/>
      <c r="V11" s="496"/>
      <c r="W11" s="149"/>
    </row>
    <row r="12" spans="1:23" ht="15" hidden="1" outlineLevel="1" thickBot="1" x14ac:dyDescent="0.35">
      <c r="A12" s="1006">
        <f>A4</f>
        <v>0</v>
      </c>
      <c r="B12" s="1007">
        <f>IF($B$1=Bron!$E$40,55,0)</f>
        <v>0</v>
      </c>
      <c r="C12" s="1008">
        <f>$C$4</f>
        <v>2.3958200000000001</v>
      </c>
      <c r="D12" s="1009">
        <f>ROUND(A12*B12*C12,2)</f>
        <v>0</v>
      </c>
      <c r="E12" s="1010">
        <f>ROUND(B12*C12*1,2)</f>
        <v>0</v>
      </c>
      <c r="G12" s="1006">
        <f>MIN($G$4,'Bouwkost NB'!$N$91)</f>
        <v>0</v>
      </c>
      <c r="H12" s="1007">
        <f>IF($H$1=Bron!$E$40,55,0)</f>
        <v>0</v>
      </c>
      <c r="I12" s="1008">
        <f>$C$4</f>
        <v>2.3958200000000001</v>
      </c>
      <c r="J12" s="1009">
        <f>ROUND(G12*H12*I12,2)</f>
        <v>0</v>
      </c>
      <c r="K12" s="1010">
        <f>ROUND(H12*I12*1,2)</f>
        <v>0</v>
      </c>
      <c r="M12" s="1006">
        <f>MIN($M$4,'Bouwkost NB'!$Y$91)</f>
        <v>0</v>
      </c>
      <c r="N12" s="1007">
        <f>IF($N$1=Bron!$E$40,55,0)</f>
        <v>0</v>
      </c>
      <c r="O12" s="1008">
        <f>$C$4</f>
        <v>2.3958200000000001</v>
      </c>
      <c r="P12" s="1009">
        <f>ROUND(M12*N12*O12,2)</f>
        <v>0</v>
      </c>
      <c r="Q12" s="1010">
        <f>ROUND(N12*O12*1,2)</f>
        <v>0</v>
      </c>
      <c r="S12" s="23"/>
      <c r="T12" s="23"/>
      <c r="U12" s="23"/>
      <c r="V12" s="496"/>
      <c r="W12" s="149"/>
    </row>
    <row r="13" spans="1:23" ht="15" hidden="1" outlineLevel="1" thickBot="1" x14ac:dyDescent="0.35">
      <c r="A13" s="1011" t="s">
        <v>285</v>
      </c>
      <c r="B13" s="1009">
        <f>'Bouwkost NB'!$C$52</f>
        <v>0</v>
      </c>
      <c r="C13" s="1012">
        <v>0.6</v>
      </c>
      <c r="D13" s="1009">
        <f>B13*C13</f>
        <v>0</v>
      </c>
      <c r="E13" s="1013"/>
      <c r="G13" s="1011" t="s">
        <v>285</v>
      </c>
      <c r="H13" s="1009">
        <f>'Bouwkost NB'!$N$52</f>
        <v>0</v>
      </c>
      <c r="I13" s="1012">
        <v>0.6</v>
      </c>
      <c r="J13" s="1009">
        <f>H13*I13</f>
        <v>0</v>
      </c>
      <c r="K13" s="1013"/>
      <c r="M13" s="1011" t="s">
        <v>285</v>
      </c>
      <c r="N13" s="1009">
        <f>'Bouwkost NB'!$Y$52</f>
        <v>0</v>
      </c>
      <c r="O13" s="1012">
        <v>0.6</v>
      </c>
      <c r="P13" s="1009">
        <f>N13*O13</f>
        <v>0</v>
      </c>
      <c r="Q13" s="1013"/>
      <c r="S13" s="23"/>
      <c r="T13" s="23"/>
      <c r="U13" s="23"/>
      <c r="V13" s="496"/>
      <c r="W13" s="149"/>
    </row>
    <row r="14" spans="1:23" ht="15" hidden="1" outlineLevel="1" thickBot="1" x14ac:dyDescent="0.35">
      <c r="A14" s="1011" t="s">
        <v>286</v>
      </c>
      <c r="B14" s="1009">
        <f>'Bouwkost NB'!$C$58</f>
        <v>0</v>
      </c>
      <c r="C14" s="1012">
        <v>0.6</v>
      </c>
      <c r="D14" s="1009">
        <f>B14*C14</f>
        <v>0</v>
      </c>
      <c r="E14" s="1013"/>
      <c r="G14" s="1011" t="s">
        <v>286</v>
      </c>
      <c r="H14" s="1009">
        <f>'Bouwkost NB'!$N$58</f>
        <v>0</v>
      </c>
      <c r="I14" s="1012">
        <v>0.6</v>
      </c>
      <c r="J14" s="1009">
        <f>H14*I14</f>
        <v>0</v>
      </c>
      <c r="K14" s="1013"/>
      <c r="M14" s="1011" t="s">
        <v>286</v>
      </c>
      <c r="N14" s="1009">
        <f>'Bouwkost NB'!$Y$58</f>
        <v>0</v>
      </c>
      <c r="O14" s="1012">
        <v>0.6</v>
      </c>
      <c r="P14" s="1009">
        <f>N14*O14</f>
        <v>0</v>
      </c>
      <c r="Q14" s="1013"/>
      <c r="S14" s="23"/>
      <c r="T14" s="23"/>
      <c r="U14" s="23"/>
      <c r="V14" s="496"/>
      <c r="W14" s="149"/>
    </row>
    <row r="15" spans="1:23" ht="15" hidden="1" outlineLevel="1" thickBot="1" x14ac:dyDescent="0.35">
      <c r="A15" s="1220" t="s">
        <v>287</v>
      </c>
      <c r="B15" s="1221"/>
      <c r="C15" s="133"/>
      <c r="D15" s="96">
        <f>MIN(D12,D13+D14)</f>
        <v>0</v>
      </c>
      <c r="E15" s="51"/>
      <c r="G15" s="1220" t="s">
        <v>287</v>
      </c>
      <c r="H15" s="1221"/>
      <c r="I15" s="133"/>
      <c r="J15" s="96">
        <f>MIN(J12,J13+J14)</f>
        <v>0</v>
      </c>
      <c r="K15" s="51"/>
      <c r="M15" s="1220" t="s">
        <v>287</v>
      </c>
      <c r="N15" s="1221"/>
      <c r="O15" s="133"/>
      <c r="P15" s="96">
        <f>MIN(P12,P13+P14)</f>
        <v>0</v>
      </c>
      <c r="Q15" s="51"/>
    </row>
    <row r="16" spans="1:23" ht="15" hidden="1" outlineLevel="1" thickBot="1" x14ac:dyDescent="0.35">
      <c r="A16" s="5" t="s">
        <v>279</v>
      </c>
      <c r="B16" s="6"/>
      <c r="C16" s="2">
        <v>0.1</v>
      </c>
      <c r="D16" s="1">
        <f>ROUND(D15*C16,2)</f>
        <v>0</v>
      </c>
      <c r="G16" s="213" t="s">
        <v>279</v>
      </c>
      <c r="H16" s="214"/>
      <c r="I16" s="215">
        <v>0.1</v>
      </c>
      <c r="J16" s="1">
        <f>ROUND(J15*I16,2)</f>
        <v>0</v>
      </c>
      <c r="M16" s="213" t="s">
        <v>279</v>
      </c>
      <c r="N16" s="214"/>
      <c r="O16" s="215">
        <v>0.1</v>
      </c>
      <c r="P16" s="1">
        <f>ROUND(P15*O16,2)</f>
        <v>0</v>
      </c>
      <c r="S16" s="23"/>
      <c r="T16" s="23"/>
      <c r="U16" s="40"/>
      <c r="V16" s="496"/>
    </row>
    <row r="17" spans="1:23" ht="15" hidden="1" outlineLevel="1" thickBot="1" x14ac:dyDescent="0.35">
      <c r="A17" s="5" t="s">
        <v>64</v>
      </c>
      <c r="B17" s="6" t="s">
        <v>280</v>
      </c>
      <c r="C17" s="2">
        <v>0.21</v>
      </c>
      <c r="D17" s="1">
        <f>ROUND(D15*C17,2)</f>
        <v>0</v>
      </c>
      <c r="F17" s="150"/>
      <c r="G17" s="213" t="s">
        <v>64</v>
      </c>
      <c r="H17" s="214" t="s">
        <v>280</v>
      </c>
      <c r="I17" s="215">
        <v>0.21</v>
      </c>
      <c r="J17" s="1">
        <f>ROUND(J15*I17,2)</f>
        <v>0</v>
      </c>
      <c r="M17" s="213" t="s">
        <v>64</v>
      </c>
      <c r="N17" s="214" t="s">
        <v>280</v>
      </c>
      <c r="O17" s="215">
        <v>0.21</v>
      </c>
      <c r="P17" s="1">
        <f>ROUND(P15*O17,2)</f>
        <v>0</v>
      </c>
      <c r="S17" s="23"/>
      <c r="T17" s="23"/>
      <c r="U17" s="40"/>
      <c r="V17" s="496"/>
    </row>
    <row r="18" spans="1:23" ht="15" hidden="1" outlineLevel="1" thickBot="1" x14ac:dyDescent="0.35">
      <c r="A18" s="3" t="s">
        <v>64</v>
      </c>
      <c r="B18" s="18" t="s">
        <v>281</v>
      </c>
      <c r="C18" s="2">
        <v>0.21</v>
      </c>
      <c r="D18" s="4">
        <f>ROUND(D16*C18,2)</f>
        <v>0</v>
      </c>
      <c r="F18" s="149"/>
      <c r="G18" s="216" t="s">
        <v>64</v>
      </c>
      <c r="H18" s="18" t="s">
        <v>281</v>
      </c>
      <c r="I18" s="215">
        <v>0.21</v>
      </c>
      <c r="J18" s="4">
        <f>ROUND(J16*I18,2)</f>
        <v>0</v>
      </c>
      <c r="M18" s="216" t="s">
        <v>64</v>
      </c>
      <c r="N18" s="18" t="s">
        <v>281</v>
      </c>
      <c r="O18" s="215">
        <v>0.21</v>
      </c>
      <c r="P18" s="4">
        <f>ROUND(P16*O18,2)</f>
        <v>0</v>
      </c>
      <c r="S18" s="23"/>
      <c r="T18" s="18"/>
      <c r="U18" s="40"/>
      <c r="V18" s="496"/>
    </row>
    <row r="19" spans="1:23" ht="15" hidden="1" outlineLevel="1" thickBot="1" x14ac:dyDescent="0.35">
      <c r="A19" s="5" t="s">
        <v>282</v>
      </c>
      <c r="B19" s="6"/>
      <c r="C19" s="7"/>
      <c r="D19" s="1">
        <f>SUM(D15:D18)</f>
        <v>0</v>
      </c>
      <c r="E19" s="149"/>
      <c r="G19" s="213" t="s">
        <v>282</v>
      </c>
      <c r="H19" s="214"/>
      <c r="I19" s="217"/>
      <c r="J19" s="1">
        <f>SUM(J15:J18)</f>
        <v>0</v>
      </c>
      <c r="K19" s="149"/>
      <c r="M19" s="213" t="s">
        <v>282</v>
      </c>
      <c r="N19" s="214"/>
      <c r="O19" s="217"/>
      <c r="P19" s="1">
        <f>SUM(P15:P18)</f>
        <v>0</v>
      </c>
      <c r="Q19" s="149"/>
      <c r="S19" s="23"/>
      <c r="T19" s="23"/>
      <c r="U19" s="23"/>
      <c r="V19" s="496"/>
      <c r="W19" s="149"/>
    </row>
    <row r="20" spans="1:23" ht="15" hidden="1" outlineLevel="1" thickBot="1" x14ac:dyDescent="0.35">
      <c r="A20" s="981"/>
      <c r="B20" s="981"/>
      <c r="C20" s="851"/>
      <c r="D20" s="852"/>
      <c r="E20" s="51"/>
      <c r="G20" s="981"/>
      <c r="H20" s="981"/>
      <c r="I20" s="851"/>
      <c r="J20" s="852"/>
      <c r="K20" s="51"/>
      <c r="M20" s="981"/>
      <c r="N20" s="981"/>
      <c r="O20" s="851"/>
      <c r="P20" s="852"/>
      <c r="Q20" s="51"/>
    </row>
    <row r="21" spans="1:23" ht="15" hidden="1" outlineLevel="1" thickBot="1" x14ac:dyDescent="0.35">
      <c r="A21" s="5" t="s">
        <v>282</v>
      </c>
      <c r="B21" s="6"/>
      <c r="C21" s="7"/>
      <c r="D21" s="1104">
        <f>D19+D8</f>
        <v>0</v>
      </c>
      <c r="E21" s="51"/>
      <c r="G21" s="5" t="s">
        <v>282</v>
      </c>
      <c r="H21" s="6"/>
      <c r="I21" s="7"/>
      <c r="J21" s="1104">
        <f>J19+J8</f>
        <v>0</v>
      </c>
      <c r="K21" s="51"/>
      <c r="M21" s="5" t="s">
        <v>282</v>
      </c>
      <c r="N21" s="6"/>
      <c r="O21" s="7"/>
      <c r="P21" s="1104">
        <f>P19+P8</f>
        <v>0</v>
      </c>
      <c r="Q21" s="51"/>
    </row>
    <row r="22" spans="1:23" ht="15" collapsed="1" thickBot="1" x14ac:dyDescent="0.35">
      <c r="A22" s="981"/>
      <c r="B22" s="981"/>
      <c r="C22" s="851"/>
      <c r="D22" s="852"/>
      <c r="E22" s="51"/>
    </row>
    <row r="23" spans="1:23" ht="15" thickBot="1" x14ac:dyDescent="0.35">
      <c r="A23" s="5" t="s">
        <v>288</v>
      </c>
      <c r="B23" s="127">
        <f>D4+D15</f>
        <v>0</v>
      </c>
      <c r="C23" s="129" t="s">
        <v>289</v>
      </c>
      <c r="D23" s="492">
        <f>ROUND((D4+D15)*10/6,2)</f>
        <v>0</v>
      </c>
      <c r="E23" s="53">
        <f>ROUND(E4*10/6,2)</f>
        <v>0</v>
      </c>
      <c r="G23" s="213" t="s">
        <v>288</v>
      </c>
      <c r="H23" s="127">
        <f>J4+J15</f>
        <v>0</v>
      </c>
      <c r="I23" s="218" t="s">
        <v>289</v>
      </c>
      <c r="J23" s="492">
        <f>ROUND((J4+J15)*10/6,2)</f>
        <v>0</v>
      </c>
      <c r="K23" s="53">
        <f>ROUND(K4*10/6,2)</f>
        <v>0</v>
      </c>
      <c r="M23" s="213" t="s">
        <v>288</v>
      </c>
      <c r="N23" s="127">
        <f>P4+P15</f>
        <v>0</v>
      </c>
      <c r="O23" s="218" t="s">
        <v>289</v>
      </c>
      <c r="P23" s="492">
        <f>ROUND((P4+P15)*10/6,2)</f>
        <v>0</v>
      </c>
      <c r="Q23" s="53">
        <f>ROUND(Q4*10/6,2)</f>
        <v>0</v>
      </c>
      <c r="S23" s="23"/>
      <c r="T23" s="53"/>
      <c r="U23" s="845"/>
      <c r="V23" s="846"/>
      <c r="W23" s="149"/>
    </row>
    <row r="25" spans="1:23" x14ac:dyDescent="0.3">
      <c r="A25" s="237" t="s">
        <v>290</v>
      </c>
      <c r="B25" s="8"/>
      <c r="C25" s="8"/>
      <c r="G25" s="237" t="s">
        <v>290</v>
      </c>
      <c r="H25" s="8"/>
      <c r="I25" s="8"/>
      <c r="M25" s="237" t="s">
        <v>290</v>
      </c>
      <c r="N25" s="8"/>
      <c r="O25" s="8"/>
      <c r="S25" s="847"/>
      <c r="T25" s="23"/>
      <c r="U25" s="23"/>
    </row>
    <row r="26" spans="1:23" x14ac:dyDescent="0.3">
      <c r="A26" s="8" t="s">
        <v>123</v>
      </c>
      <c r="B26" s="10" t="e">
        <f>IF(MATCH(Bron!$B$8,'uitgebreide raming'!$B$2:$I$2,0)=1,'uitgebreide raming'!$B$6,IF(MATCH(Bron!$B$8,'uitgebreide raming'!$B$2:$I$2,0)=3,'uitgebreide raming'!$D$6,IF(MATCH(Bron!$B$8,'uitgebreide raming'!$B$2:$I$2,0)=5,'uitgebreide raming'!$F$6,IF(MATCH(Bron!$B$8,'uitgebreide raming'!$B$2:$I$2,0)=7,'uitgebreide raming'!$H$6,0))))</f>
        <v>#N/A</v>
      </c>
      <c r="C26" s="9" t="e">
        <f>ROUND(B26/$B$31,2)</f>
        <v>#N/A</v>
      </c>
      <c r="G26" s="8" t="s">
        <v>123</v>
      </c>
      <c r="H26" s="10" t="e">
        <f>IF(MATCH(Bron!$B$8,'uitgebreide raming'!$B$29:$I$29,0)=1,'uitgebreide raming'!$B$33,IF(MATCH(Bron!$B$8,'uitgebreide raming'!$B$29:$I$29,0)=3,'uitgebreide raming'!$D$33,IF(MATCH(Bron!$B$8,'uitgebreide raming'!$B$29:$I$29,0)=5,'uitgebreide raming'!$F$33,IF(MATCH(Bron!$B$8,'uitgebreide raming'!$B$29:$I$29,0)=7,'uitgebreide raming'!H33,0))))</f>
        <v>#N/A</v>
      </c>
      <c r="I26" s="9" t="e">
        <f>H26/H31</f>
        <v>#N/A</v>
      </c>
      <c r="M26" s="8" t="s">
        <v>123</v>
      </c>
      <c r="N26" s="10" t="e">
        <f>IF(MATCH(Bron!$B$8,'uitgebreide raming'!$B$56:$I$56,0)=1,'uitgebreide raming'!B60,IF(MATCH(Bron!$B$8,'uitgebreide raming'!$B$56:$I$56,0)=3,'uitgebreide raming'!D60,IF(MATCH(Bron!$B$8,'uitgebreide raming'!$B$56:$I$56,0)=5,'uitgebreide raming'!F60,IF(MATCH(Bron!$B$8,'uitgebreide raming'!$B$56:$I$56,0)=7,'uitgebreide raming'!H60,0))))</f>
        <v>#N/A</v>
      </c>
      <c r="O26" s="9" t="e">
        <f>N26/N31</f>
        <v>#N/A</v>
      </c>
      <c r="S26" s="23"/>
      <c r="T26" s="53"/>
      <c r="U26" s="40"/>
    </row>
    <row r="27" spans="1:23" x14ac:dyDescent="0.3">
      <c r="A27" s="8" t="s">
        <v>124</v>
      </c>
      <c r="B27" s="10" t="e">
        <f>IF(MATCH(Bron!$B$8,'uitgebreide raming'!$B$2:$I$2,0)=1,'uitgebreide raming'!$B$7,IF(MATCH(Bron!$B$8,'uitgebreide raming'!$B$2:$I$2,0)=3,'uitgebreide raming'!$D$7,IF(MATCH(Bron!$B$8,'uitgebreide raming'!$B$2:$I$2,0)=5,'uitgebreide raming'!$F$7,IF(MATCH(Bron!$B$8,'uitgebreide raming'!$B$2:$I$2,0)=7,'uitgebreide raming'!$H$7,0))))</f>
        <v>#N/A</v>
      </c>
      <c r="C27" s="9" t="e">
        <f t="shared" ref="C27:C30" si="0">ROUND(B27/$B$31,2)</f>
        <v>#N/A</v>
      </c>
      <c r="G27" s="8" t="s">
        <v>124</v>
      </c>
      <c r="H27" s="10" t="e">
        <f>IF(MATCH(Bron!$B$8,'uitgebreide raming'!$B$29:$I$29,0)=1,'uitgebreide raming'!B34,IF(MATCH(Bron!$B$8,'uitgebreide raming'!$B$29:$I$29,0)=3,'uitgebreide raming'!D34,IF(MATCH(Bron!$B$8,'uitgebreide raming'!$B$29:$I$29,0)=5,'uitgebreide raming'!F34,IF(MATCH(Bron!$B$8,'uitgebreide raming'!$B$29:$I$29,0)=7,'uitgebreide raming'!H34,0))))</f>
        <v>#N/A</v>
      </c>
      <c r="I27" s="9" t="e">
        <f>H27/H31</f>
        <v>#N/A</v>
      </c>
      <c r="M27" s="8" t="s">
        <v>124</v>
      </c>
      <c r="N27" s="10" t="e">
        <f>IF(MATCH(Bron!$B$8,'uitgebreide raming'!$B$56:$I$56,0)=1,'uitgebreide raming'!B61,IF(MATCH(Bron!$B$8,'uitgebreide raming'!$B$56:$I$56,0)=3,'uitgebreide raming'!D61,IF(MATCH(Bron!$B$8,'uitgebreide raming'!$B$56:$I$56,0)=5,'uitgebreide raming'!F61,IF(MATCH(Bron!$B$8,'uitgebreide raming'!$B$56:$I$56,0)=7,'uitgebreide raming'!H61,0))))</f>
        <v>#N/A</v>
      </c>
      <c r="O27" s="9" t="e">
        <f>N27/N31</f>
        <v>#N/A</v>
      </c>
      <c r="S27" s="23"/>
      <c r="T27" s="53"/>
      <c r="U27" s="40"/>
    </row>
    <row r="28" spans="1:23" x14ac:dyDescent="0.3">
      <c r="A28" s="8" t="s">
        <v>125</v>
      </c>
      <c r="B28" s="10" t="e">
        <f>IF(MATCH(Bron!$B$8,'uitgebreide raming'!$B$2:$I$2,0)=1,'uitgebreide raming'!$B$8,IF(MATCH(Bron!$B$8,'uitgebreide raming'!$B$2:$I$2,0)=3,'uitgebreide raming'!$D$8,IF(MATCH(Bron!$B$8,'uitgebreide raming'!$B$2:$I$2,0)=5,'uitgebreide raming'!$F$8,IF(MATCH(Bron!$B$8,'uitgebreide raming'!$B$2:$I$2,0)=7,'uitgebreide raming'!$H$8,0))))</f>
        <v>#N/A</v>
      </c>
      <c r="C28" s="9" t="e">
        <f t="shared" si="0"/>
        <v>#N/A</v>
      </c>
      <c r="G28" s="8" t="s">
        <v>125</v>
      </c>
      <c r="H28" s="10" t="e">
        <f>IF(MATCH(Bron!$B$8,'uitgebreide raming'!$B$29:$I$29,0)=1,'uitgebreide raming'!B35,IF(MATCH(Bron!$B$8,'uitgebreide raming'!$B$29:$I$29,0)=3,'uitgebreide raming'!D35,IF(MATCH(Bron!$B$8,'uitgebreide raming'!$B$29:$I$29,0)=5,'uitgebreide raming'!F35,IF(MATCH(Bron!$B$8,'uitgebreide raming'!$B$29:$I$29,0)=7,'uitgebreide raming'!H35,0))))</f>
        <v>#N/A</v>
      </c>
      <c r="I28" s="9" t="e">
        <f>H28/H31</f>
        <v>#N/A</v>
      </c>
      <c r="M28" s="8" t="s">
        <v>125</v>
      </c>
      <c r="N28" s="10" t="e">
        <f>IF(MATCH(Bron!$B$8,'uitgebreide raming'!$B$56:$I$56,0)=1,'uitgebreide raming'!B62,IF(MATCH(Bron!$B$8,'uitgebreide raming'!$B$56:$I$56,0)=3,'uitgebreide raming'!D62,IF(MATCH(Bron!$B$8,'uitgebreide raming'!$B$56:$I$56,0)=5,'uitgebreide raming'!F62,IF(MATCH(Bron!$B$8,'uitgebreide raming'!$B$56:$I$56,0)=7,'uitgebreide raming'!H62,0))))</f>
        <v>#N/A</v>
      </c>
      <c r="O28" s="9" t="e">
        <f>N28/N31</f>
        <v>#N/A</v>
      </c>
      <c r="S28" s="23"/>
      <c r="T28" s="53"/>
      <c r="U28" s="40"/>
    </row>
    <row r="29" spans="1:23" x14ac:dyDescent="0.3">
      <c r="A29" s="8" t="s">
        <v>126</v>
      </c>
      <c r="B29" s="10" t="e">
        <f>IF(MATCH(Bron!$B$8,'uitgebreide raming'!$B$2:$I$2,0)=1,'uitgebreide raming'!$B$9,IF(MATCH(Bron!$B$8,'uitgebreide raming'!$B$2:$I$2,0)=3,'uitgebreide raming'!$D$9,IF(MATCH(Bron!$B$8,'uitgebreide raming'!$B$2:$I$2,0)=5,'uitgebreide raming'!$F$9,IF(MATCH(Bron!$B$8,'uitgebreide raming'!$B$2:$I$2,0)=7,'uitgebreide raming'!$H$9,0))))</f>
        <v>#N/A</v>
      </c>
      <c r="C29" s="9" t="e">
        <f t="shared" si="0"/>
        <v>#N/A</v>
      </c>
      <c r="G29" s="8" t="s">
        <v>126</v>
      </c>
      <c r="H29" s="10" t="e">
        <f>IF(MATCH(Bron!$B$8,'uitgebreide raming'!$B$29:$I$29,0)=1,'uitgebreide raming'!B36,IF(MATCH(Bron!$B$8,'uitgebreide raming'!$B$29:$I$29,0)=3,'uitgebreide raming'!D36,IF(MATCH(Bron!$B$8,'uitgebreide raming'!$B$29:$I$29,0)=5,'uitgebreide raming'!F36,IF(MATCH(Bron!$B$8,'uitgebreide raming'!$B$29:$I$29,0)=7,'uitgebreide raming'!H36,0))))</f>
        <v>#N/A</v>
      </c>
      <c r="I29" s="9" t="e">
        <f>H29/H31</f>
        <v>#N/A</v>
      </c>
      <c r="M29" s="8" t="s">
        <v>126</v>
      </c>
      <c r="N29" s="10" t="e">
        <f>IF(MATCH(Bron!$B$8,'uitgebreide raming'!$B$56:$I$56,0)=1,'uitgebreide raming'!B63,IF(MATCH(Bron!$B$8,'uitgebreide raming'!$B$56:$I$56,0)=3,'uitgebreide raming'!D63,IF(MATCH(Bron!$B$8,'uitgebreide raming'!$B$56:$I$56,0)=5,'uitgebreide raming'!F63,IF(MATCH(Bron!$B$8,'uitgebreide raming'!$B$56:$I$56,0)=7,'uitgebreide raming'!H63,0))))</f>
        <v>#N/A</v>
      </c>
      <c r="O29" s="9" t="e">
        <f>N29/N31</f>
        <v>#N/A</v>
      </c>
      <c r="S29" s="23"/>
      <c r="T29" s="53"/>
      <c r="U29" s="40"/>
    </row>
    <row r="30" spans="1:23" ht="27.6" x14ac:dyDescent="0.3">
      <c r="A30" s="8" t="s">
        <v>127</v>
      </c>
      <c r="B30" s="10" t="e">
        <f>IF(MATCH(Bron!$B$8,'uitgebreide raming'!$B$2:$I$2,0)=1,'uitgebreide raming'!$B$10,IF(MATCH(Bron!$B$8,'uitgebreide raming'!$B$2:$I$2,0)=3,'uitgebreide raming'!$D$10,IF(MATCH(Bron!$B$8,'uitgebreide raming'!$B$2:$I$2,0)=5,'uitgebreide raming'!$F$10,IF(MATCH(Bron!$B$8,'uitgebreide raming'!$B$2:$I$2,0)=7,'uitgebreide raming'!$H$10,0))))</f>
        <v>#N/A</v>
      </c>
      <c r="C30" s="9" t="e">
        <f t="shared" si="0"/>
        <v>#N/A</v>
      </c>
      <c r="G30" s="8" t="s">
        <v>127</v>
      </c>
      <c r="H30" s="10" t="e">
        <f>IF(MATCH(Bron!$B$8,'uitgebreide raming'!$B$29:$I$29,0)=1,'uitgebreide raming'!B37,IF(MATCH(Bron!$B$8,'uitgebreide raming'!$B$29:$I$29,0)=3,'uitgebreide raming'!D37,IF(MATCH(Bron!$B$8,'uitgebreide raming'!$B$29:$I$29,0)=5,'uitgebreide raming'!F37,IF(MATCH(Bron!$B$8,'uitgebreide raming'!$B$29:$I$29,0)=7,'uitgebreide raming'!H37,0))))</f>
        <v>#N/A</v>
      </c>
      <c r="I30" s="9" t="e">
        <f>H30/H31</f>
        <v>#N/A</v>
      </c>
      <c r="M30" s="8" t="s">
        <v>127</v>
      </c>
      <c r="N30" s="10" t="e">
        <f>IF(MATCH(Bron!$B$8,'uitgebreide raming'!$B$56:$I$56,0)=1,'uitgebreide raming'!B64,IF(MATCH(Bron!$B$8,'uitgebreide raming'!$B$56:$I$56,0)=3,'uitgebreide raming'!D64,IF(MATCH(Bron!$B$8,'uitgebreide raming'!$B$56:$I$56,0)=5,'uitgebreide raming'!F64,IF(MATCH(Bron!$B$8,'uitgebreide raming'!$B$56:$I$56,0)=7,'uitgebreide raming'!H64,0))))</f>
        <v>#N/A</v>
      </c>
      <c r="O30" s="9" t="e">
        <f>N30/N31</f>
        <v>#N/A</v>
      </c>
      <c r="S30" s="23"/>
      <c r="T30" s="53"/>
      <c r="U30" s="40"/>
    </row>
    <row r="31" spans="1:23" x14ac:dyDescent="0.3">
      <c r="A31" s="8" t="s">
        <v>110</v>
      </c>
      <c r="B31" s="10" t="e">
        <f>IF(MATCH(Bron!$B$8,'uitgebreide raming'!$B$2:$I$2,0)=1,'uitgebreide raming'!$B$11,IF(MATCH(Bron!$B$8,'uitgebreide raming'!$B$2:$I$2,0)=3,'uitgebreide raming'!$D$11,IF(MATCH(Bron!$B$8,'uitgebreide raming'!$B$2:$I$2,0)=5,'uitgebreide raming'!$F$11,IF(MATCH(Bron!$B$8,'uitgebreide raming'!$B$2:$I$2,0)=7,'uitgebreide raming'!$H$11,0))))</f>
        <v>#N/A</v>
      </c>
      <c r="C31" s="9" t="e">
        <f>B31/B31</f>
        <v>#N/A</v>
      </c>
      <c r="G31" s="8" t="s">
        <v>110</v>
      </c>
      <c r="H31" s="10" t="e">
        <f>IF(MATCH(Bron!$B$8,'uitgebreide raming'!$B$29:$I$29,0)=1,'uitgebreide raming'!B38,IF(MATCH(Bron!$B$8,'uitgebreide raming'!$B$29:$I$29,0)=3,'uitgebreide raming'!D38,IF(MATCH(Bron!$B$8,'uitgebreide raming'!$B$29:$I$29,0)=5,'uitgebreide raming'!F38,IF(MATCH(Bron!$B$8,'uitgebreide raming'!$B$29:$I$29,0)=7,'uitgebreide raming'!H38,0))))</f>
        <v>#N/A</v>
      </c>
      <c r="I31" s="9" t="e">
        <f>H31/H31</f>
        <v>#N/A</v>
      </c>
      <c r="M31" s="8" t="s">
        <v>110</v>
      </c>
      <c r="N31" s="10" t="e">
        <f>IF(MATCH(Bron!$B$8,'uitgebreide raming'!$B$56:$I$56,0)=1,'uitgebreide raming'!B65,IF(MATCH(Bron!$B$8,'uitgebreide raming'!$B$56:$I$56,0)=3,'uitgebreide raming'!D65,IF(MATCH(Bron!$B$8,'uitgebreide raming'!$B$56:$I$56,0)=5,'uitgebreide raming'!F65,IF(MATCH(Bron!$B$8,'uitgebreide raming'!$B$56:$I$56,0)=7,'uitgebreide raming'!H65,0))))</f>
        <v>#N/A</v>
      </c>
      <c r="O31" s="9" t="e">
        <f>N31/N31</f>
        <v>#N/A</v>
      </c>
      <c r="S31" s="23"/>
      <c r="T31" s="53"/>
      <c r="U31" s="40"/>
    </row>
    <row r="33" spans="1:23" ht="18" x14ac:dyDescent="0.3">
      <c r="A33" s="1223" t="s">
        <v>91</v>
      </c>
      <c r="B33" s="1223"/>
      <c r="C33" s="1223"/>
      <c r="D33" s="1223"/>
      <c r="E33" s="1223"/>
      <c r="F33" s="1223"/>
      <c r="G33" s="1223"/>
      <c r="H33" s="1223"/>
      <c r="I33" s="1223"/>
      <c r="J33" s="1223"/>
      <c r="K33" s="1223"/>
      <c r="L33" s="1223"/>
      <c r="M33" s="1223"/>
      <c r="N33" s="1223"/>
      <c r="O33" s="1223"/>
      <c r="P33" s="1223"/>
      <c r="Q33" s="1223"/>
    </row>
    <row r="34" spans="1:23" ht="15" outlineLevel="1" thickBot="1" x14ac:dyDescent="0.35">
      <c r="A34" s="106" t="s">
        <v>23</v>
      </c>
      <c r="B34" s="106" t="str">
        <f>'Overzicht BTA'!$C$3</f>
        <v>Kies de zorgvorm</v>
      </c>
      <c r="C34" s="106"/>
      <c r="D34" s="106"/>
      <c r="E34" s="106"/>
      <c r="F34" s="106"/>
      <c r="G34" s="106" t="s">
        <v>23</v>
      </c>
      <c r="H34" s="1222" t="str">
        <f>'Overzicht BTA'!$H$3</f>
        <v>Kies de zorgvorm</v>
      </c>
      <c r="I34" s="1222"/>
      <c r="J34" s="1222"/>
      <c r="K34" s="106"/>
      <c r="L34" s="106"/>
      <c r="M34" s="106" t="s">
        <v>23</v>
      </c>
      <c r="N34" s="106" t="str">
        <f>'Overzicht BTA'!$N$3</f>
        <v>Kies de zorgvorm</v>
      </c>
      <c r="O34" s="106"/>
      <c r="P34" s="106"/>
      <c r="Q34" s="106"/>
    </row>
    <row r="35" spans="1:23" ht="15" outlineLevel="1" thickBot="1" x14ac:dyDescent="0.35">
      <c r="A35" s="376" t="s">
        <v>273</v>
      </c>
      <c r="B35" s="140"/>
      <c r="C35" s="140"/>
      <c r="D35" s="141"/>
      <c r="E35" s="141"/>
      <c r="G35" s="376" t="s">
        <v>273</v>
      </c>
      <c r="H35" s="209"/>
      <c r="I35" s="209"/>
      <c r="J35" s="210"/>
      <c r="K35" s="141"/>
      <c r="M35" s="376" t="s">
        <v>273</v>
      </c>
      <c r="N35" s="209"/>
      <c r="O35" s="209"/>
      <c r="P35" s="210"/>
      <c r="Q35" s="141"/>
    </row>
    <row r="36" spans="1:23" ht="15" outlineLevel="1" thickBot="1" x14ac:dyDescent="0.35">
      <c r="A36" s="372" t="s">
        <v>274</v>
      </c>
      <c r="B36" s="370" t="s">
        <v>275</v>
      </c>
      <c r="C36" s="370" t="s">
        <v>276</v>
      </c>
      <c r="D36" s="370" t="s">
        <v>277</v>
      </c>
      <c r="E36" s="377" t="s">
        <v>278</v>
      </c>
      <c r="F36" s="23"/>
      <c r="G36" s="373" t="s">
        <v>274</v>
      </c>
      <c r="H36" s="375" t="s">
        <v>275</v>
      </c>
      <c r="I36" s="375" t="s">
        <v>276</v>
      </c>
      <c r="J36" s="375" t="s">
        <v>277</v>
      </c>
      <c r="K36" s="379" t="s">
        <v>278</v>
      </c>
      <c r="M36" s="373" t="s">
        <v>274</v>
      </c>
      <c r="N36" s="375" t="s">
        <v>275</v>
      </c>
      <c r="O36" s="375" t="s">
        <v>276</v>
      </c>
      <c r="P36" s="375" t="s">
        <v>277</v>
      </c>
      <c r="Q36" s="379" t="s">
        <v>278</v>
      </c>
    </row>
    <row r="37" spans="1:23" ht="15" outlineLevel="1" thickBot="1" x14ac:dyDescent="0.35">
      <c r="A37" s="368">
        <f>ROUND(IF('Overzicht BTA'!D58=0,0,IF(MATCH(Bron!$B$8,'Overzicht BTA'!$B$51:$B$54,0)=1,'Overzicht BTA'!$D$51,IF(MATCH(Bron!$B$8,'Overzicht BTA'!$B$51:$B$54,0)=2,'Overzicht BTA'!$D$52,IF(MATCH(Bron!$B$8,'Overzicht BTA'!$B$51:$B$54,0)=3,'Overzicht BTA'!$D$53,IF(MATCH(Bron!$B$8,'Overzicht BTA'!$B$51:$B$54,0)=4,'Overzicht BTA'!$D$54,0))))),2)</f>
        <v>0</v>
      </c>
      <c r="B37" s="904">
        <f>VLOOKUP(B34,'Capaciteiten &amp; forfaits'!$B$3:$H$76,4,FALSE)</f>
        <v>0</v>
      </c>
      <c r="C37" s="370">
        <f>'Overzicht BTA'!$D$37</f>
        <v>2.3958200000000001</v>
      </c>
      <c r="D37" s="378">
        <f>ROUND(A37*B37*C37,2)</f>
        <v>0</v>
      </c>
      <c r="E37" s="908">
        <f>ROUND(B37*C37*1,2)</f>
        <v>0</v>
      </c>
      <c r="G37" s="368">
        <f>ROUND(IF('Overzicht BTA'!J58=0,0,IF(MATCH(Bron!$B$8,'Overzicht BTA'!$H$51:$H$54,0)=1,'Overzicht BTA'!$J$51,IF(MATCH(Bron!$B$8,'Overzicht BTA'!$H$51:$H$54,0)=2,'Overzicht BTA'!$J$52,IF(MATCH(Bron!$B$8,'Overzicht BTA'!$H$51:$H$54,0)=3,'Overzicht BTA'!$J$53,IF(MATCH(Bron!$B$8,'Overzicht BTA'!$H$51:$H$54,0)=4,'Overzicht BTA'!$J$54,0))))),2)</f>
        <v>0</v>
      </c>
      <c r="H37" s="904">
        <f>VLOOKUP(H34,'Capaciteiten &amp; forfaits'!$B$3:$H$76,4,FALSE)</f>
        <v>0</v>
      </c>
      <c r="I37" s="375">
        <f>'Overzicht BTA'!$I$37</f>
        <v>2.3958200000000001</v>
      </c>
      <c r="J37" s="378">
        <f>ROUND(G37*H37*I37,2)</f>
        <v>0</v>
      </c>
      <c r="K37" s="908">
        <f>ROUND(H37*I37*1,2)</f>
        <v>0</v>
      </c>
      <c r="M37" s="368">
        <f>ROUND(IF('Overzicht BTA'!P58=0,0,IF(MATCH(Bron!$B$8,'Overzicht BTA'!$N$51:$N$54,0)=1,'Overzicht BTA'!$P$51,IF(MATCH(Bron!$B$8,'Overzicht BTA'!$N$51:$N$54,0)=2,'Overzicht BTA'!$P$52,IF(MATCH(Bron!$B$8,'Overzicht BTA'!$N$51:$N$54,0)=3,'Overzicht BTA'!$P$53,IF(MATCH(Bron!$B$8,'Overzicht BTA'!$N$51:$N$54,0)=4,'Overzicht BTA'!$P$54,0))))),2)</f>
        <v>0</v>
      </c>
      <c r="N37" s="904">
        <f>VLOOKUP(N34,'Capaciteiten &amp; forfaits'!$B$3:$H$76,4,FALSE)</f>
        <v>0</v>
      </c>
      <c r="O37" s="375">
        <f>'Overzicht BTA'!$O$37</f>
        <v>2.3958200000000001</v>
      </c>
      <c r="P37" s="378">
        <f>ROUND(M37*N37*O37,2)</f>
        <v>0</v>
      </c>
      <c r="Q37" s="908">
        <f>ROUND(N37*O37*1,2)</f>
        <v>0</v>
      </c>
    </row>
    <row r="38" spans="1:23" ht="15" outlineLevel="1" thickBot="1" x14ac:dyDescent="0.35">
      <c r="A38" s="5" t="s">
        <v>279</v>
      </c>
      <c r="B38" s="6"/>
      <c r="C38" s="2">
        <v>0.1</v>
      </c>
      <c r="D38" s="1">
        <f>ROUND(D37*C38,2)</f>
        <v>0</v>
      </c>
      <c r="G38" s="213" t="s">
        <v>279</v>
      </c>
      <c r="H38" s="214"/>
      <c r="I38" s="215">
        <v>0.1</v>
      </c>
      <c r="J38" s="1">
        <f>ROUND(J37*I38,2)</f>
        <v>0</v>
      </c>
      <c r="M38" s="213" t="s">
        <v>279</v>
      </c>
      <c r="N38" s="214"/>
      <c r="O38" s="215">
        <v>0.1</v>
      </c>
      <c r="P38" s="1">
        <f>ROUND(P37*O38,2)</f>
        <v>0</v>
      </c>
    </row>
    <row r="39" spans="1:23" ht="15" outlineLevel="1" thickBot="1" x14ac:dyDescent="0.35">
      <c r="A39" s="5" t="s">
        <v>64</v>
      </c>
      <c r="B39" s="6" t="s">
        <v>280</v>
      </c>
      <c r="C39" s="2">
        <v>0.21</v>
      </c>
      <c r="D39" s="1">
        <f>ROUND(D37*C39,2)</f>
        <v>0</v>
      </c>
      <c r="F39" s="150"/>
      <c r="G39" s="213" t="s">
        <v>64</v>
      </c>
      <c r="H39" s="214" t="s">
        <v>280</v>
      </c>
      <c r="I39" s="215">
        <v>0.21</v>
      </c>
      <c r="J39" s="1">
        <f>ROUND(J37*I39,2)</f>
        <v>0</v>
      </c>
      <c r="M39" s="213" t="s">
        <v>64</v>
      </c>
      <c r="N39" s="214" t="s">
        <v>280</v>
      </c>
      <c r="O39" s="215">
        <v>0.21</v>
      </c>
      <c r="P39" s="1">
        <f>ROUND(P37*O39,2)</f>
        <v>0</v>
      </c>
    </row>
    <row r="40" spans="1:23" ht="15" outlineLevel="1" thickBot="1" x14ac:dyDescent="0.35">
      <c r="A40" s="3" t="s">
        <v>64</v>
      </c>
      <c r="B40" s="18" t="s">
        <v>281</v>
      </c>
      <c r="C40" s="2">
        <v>0.21</v>
      </c>
      <c r="D40" s="4">
        <f>ROUND(D38*C40,2)</f>
        <v>0</v>
      </c>
      <c r="F40" s="149"/>
      <c r="G40" s="216" t="s">
        <v>64</v>
      </c>
      <c r="H40" s="18" t="s">
        <v>281</v>
      </c>
      <c r="I40" s="215">
        <v>0.21</v>
      </c>
      <c r="J40" s="4">
        <f>ROUND(J38*I40,2)</f>
        <v>0</v>
      </c>
      <c r="M40" s="216" t="s">
        <v>64</v>
      </c>
      <c r="N40" s="18" t="s">
        <v>281</v>
      </c>
      <c r="O40" s="215">
        <v>0.21</v>
      </c>
      <c r="P40" s="4">
        <f>ROUND(P38*O40,2)</f>
        <v>0</v>
      </c>
    </row>
    <row r="41" spans="1:23" ht="15" outlineLevel="1" thickBot="1" x14ac:dyDescent="0.35">
      <c r="A41" s="5" t="s">
        <v>282</v>
      </c>
      <c r="B41" s="6"/>
      <c r="C41" s="7"/>
      <c r="D41" s="1">
        <f>SUM(D37:D40)</f>
        <v>0</v>
      </c>
      <c r="E41" s="149"/>
      <c r="G41" s="213" t="s">
        <v>282</v>
      </c>
      <c r="H41" s="214"/>
      <c r="I41" s="217"/>
      <c r="J41" s="1">
        <f>SUM(J37:J40)</f>
        <v>0</v>
      </c>
      <c r="K41" s="149"/>
      <c r="M41" s="213" t="s">
        <v>282</v>
      </c>
      <c r="N41" s="214"/>
      <c r="O41" s="217"/>
      <c r="P41" s="1">
        <f>SUM(P37:P40)</f>
        <v>0</v>
      </c>
      <c r="Q41" s="149"/>
    </row>
    <row r="42" spans="1:23" ht="15" outlineLevel="1" thickBot="1" x14ac:dyDescent="0.35">
      <c r="A42" s="23"/>
      <c r="B42" s="23"/>
      <c r="C42" s="23"/>
      <c r="D42" s="496"/>
      <c r="E42" s="149"/>
      <c r="G42" s="243"/>
      <c r="H42" s="243"/>
      <c r="I42" s="243"/>
      <c r="J42" s="496"/>
      <c r="K42" s="149"/>
      <c r="M42" s="243"/>
      <c r="N42" s="243"/>
      <c r="O42" s="243"/>
      <c r="P42" s="496"/>
      <c r="Q42" s="149"/>
      <c r="S42" s="23"/>
      <c r="T42" s="23"/>
      <c r="U42" s="23"/>
      <c r="V42" s="496"/>
      <c r="W42" s="149"/>
    </row>
    <row r="43" spans="1:23" ht="15" outlineLevel="1" thickBot="1" x14ac:dyDescent="0.35">
      <c r="A43" s="376" t="s">
        <v>284</v>
      </c>
      <c r="B43" s="140"/>
      <c r="C43" s="140"/>
      <c r="D43" s="141"/>
      <c r="E43" s="141"/>
      <c r="G43" s="376" t="s">
        <v>284</v>
      </c>
      <c r="H43" s="140"/>
      <c r="I43" s="140"/>
      <c r="J43" s="141"/>
      <c r="K43" s="141"/>
      <c r="M43" s="376" t="s">
        <v>284</v>
      </c>
      <c r="N43" s="140"/>
      <c r="O43" s="140"/>
      <c r="P43" s="141"/>
      <c r="Q43" s="141"/>
      <c r="S43" s="23"/>
      <c r="T43" s="23"/>
      <c r="U43" s="23"/>
      <c r="V43" s="496"/>
      <c r="W43" s="149"/>
    </row>
    <row r="44" spans="1:23" ht="15" outlineLevel="1" thickBot="1" x14ac:dyDescent="0.35">
      <c r="A44" s="1003" t="s">
        <v>274</v>
      </c>
      <c r="B44" s="1004" t="s">
        <v>275</v>
      </c>
      <c r="C44" s="1004" t="s">
        <v>276</v>
      </c>
      <c r="D44" s="1004" t="s">
        <v>277</v>
      </c>
      <c r="E44" s="377" t="s">
        <v>278</v>
      </c>
      <c r="G44" s="372" t="s">
        <v>274</v>
      </c>
      <c r="H44" s="370" t="s">
        <v>275</v>
      </c>
      <c r="I44" s="370" t="s">
        <v>276</v>
      </c>
      <c r="J44" s="370" t="s">
        <v>277</v>
      </c>
      <c r="K44" s="377" t="s">
        <v>278</v>
      </c>
      <c r="M44" s="372" t="s">
        <v>274</v>
      </c>
      <c r="N44" s="370" t="s">
        <v>275</v>
      </c>
      <c r="O44" s="370" t="s">
        <v>276</v>
      </c>
      <c r="P44" s="370" t="s">
        <v>277</v>
      </c>
      <c r="Q44" s="377" t="s">
        <v>278</v>
      </c>
      <c r="S44" s="23"/>
      <c r="T44" s="23"/>
      <c r="U44" s="23"/>
      <c r="V44" s="496"/>
      <c r="W44" s="149"/>
    </row>
    <row r="45" spans="1:23" ht="15" outlineLevel="1" thickBot="1" x14ac:dyDescent="0.35">
      <c r="A45" s="1006">
        <f>MIN($A$4,'Bouwkost NB'!$E$91)</f>
        <v>0</v>
      </c>
      <c r="B45" s="1007">
        <f>IF(B34=Bron!$E$40,55,0)</f>
        <v>0</v>
      </c>
      <c r="C45" s="1008">
        <f>C37</f>
        <v>2.3958200000000001</v>
      </c>
      <c r="D45" s="1009">
        <f>ROUND(A45*B45*C45,2)</f>
        <v>0</v>
      </c>
      <c r="E45" s="1010">
        <f>ROUND(B45*C45*1,2)</f>
        <v>0</v>
      </c>
      <c r="G45" s="1006">
        <f>MIN($G$4,'Bouwkost NB'!$N$91)</f>
        <v>0</v>
      </c>
      <c r="H45" s="1007">
        <f>IF(H34=Bron!$E$40,55,0)</f>
        <v>0</v>
      </c>
      <c r="I45" s="1008">
        <f>I37</f>
        <v>2.3958200000000001</v>
      </c>
      <c r="J45" s="1009">
        <f>ROUND(G45*H45*I45,2)</f>
        <v>0</v>
      </c>
      <c r="K45" s="1010">
        <f>ROUND(H45*I45*1,2)</f>
        <v>0</v>
      </c>
      <c r="M45" s="1006">
        <f>MIN($M$4,'Bouwkost NB'!$Y$91)</f>
        <v>0</v>
      </c>
      <c r="N45" s="1007">
        <f>IF(N34=Bron!$E$40,55,0)</f>
        <v>0</v>
      </c>
      <c r="O45" s="1008">
        <f>O37</f>
        <v>2.3958200000000001</v>
      </c>
      <c r="P45" s="1009">
        <f>ROUND(M45*N45*O45,2)</f>
        <v>0</v>
      </c>
      <c r="Q45" s="1010">
        <f>ROUND(N45*O45*1,2)</f>
        <v>0</v>
      </c>
      <c r="S45" s="23"/>
      <c r="T45" s="23"/>
      <c r="U45" s="23"/>
      <c r="V45" s="496"/>
      <c r="W45" s="149"/>
    </row>
    <row r="46" spans="1:23" ht="15" outlineLevel="1" thickBot="1" x14ac:dyDescent="0.35">
      <c r="A46" s="1011" t="s">
        <v>285</v>
      </c>
      <c r="B46" s="1009">
        <f>'Bouwkost NB'!$E$52</f>
        <v>0</v>
      </c>
      <c r="C46" s="1012">
        <v>0.6</v>
      </c>
      <c r="D46" s="1009">
        <f>B46*C46</f>
        <v>0</v>
      </c>
      <c r="E46" s="1013"/>
      <c r="G46" s="1011" t="s">
        <v>285</v>
      </c>
      <c r="H46" s="1009">
        <f>'Bouwkost NB'!$N$52</f>
        <v>0</v>
      </c>
      <c r="I46" s="1012">
        <v>0.6</v>
      </c>
      <c r="J46" s="1009">
        <f>H46*I46</f>
        <v>0</v>
      </c>
      <c r="K46" s="1013"/>
      <c r="M46" s="1011" t="s">
        <v>285</v>
      </c>
      <c r="N46" s="1009">
        <f>'Bouwkost NB'!$Y$52</f>
        <v>0</v>
      </c>
      <c r="O46" s="1012">
        <v>0.6</v>
      </c>
      <c r="P46" s="1009">
        <f>N46*O46</f>
        <v>0</v>
      </c>
      <c r="Q46" s="1013"/>
      <c r="S46" s="23"/>
      <c r="T46" s="23"/>
      <c r="U46" s="23"/>
      <c r="V46" s="496"/>
      <c r="W46" s="149"/>
    </row>
    <row r="47" spans="1:23" ht="15" outlineLevel="1" thickBot="1" x14ac:dyDescent="0.35">
      <c r="A47" s="1011" t="s">
        <v>286</v>
      </c>
      <c r="B47" s="1009">
        <f>'Bouwkost NB'!$C$58</f>
        <v>0</v>
      </c>
      <c r="C47" s="1012">
        <v>0.6</v>
      </c>
      <c r="D47" s="1009">
        <f>B47*C47</f>
        <v>0</v>
      </c>
      <c r="E47" s="1013"/>
      <c r="G47" s="1011" t="s">
        <v>286</v>
      </c>
      <c r="H47" s="1009">
        <f>'Bouwkost NB'!$N$58</f>
        <v>0</v>
      </c>
      <c r="I47" s="1012">
        <v>0.6</v>
      </c>
      <c r="J47" s="1009">
        <f>H47*I47</f>
        <v>0</v>
      </c>
      <c r="K47" s="1013"/>
      <c r="M47" s="1011" t="s">
        <v>286</v>
      </c>
      <c r="N47" s="1009">
        <f>'Bouwkost NB'!$Y$58</f>
        <v>0</v>
      </c>
      <c r="O47" s="1012">
        <v>0.6</v>
      </c>
      <c r="P47" s="1009">
        <f>N47*O47</f>
        <v>0</v>
      </c>
      <c r="Q47" s="1013"/>
      <c r="S47" s="23"/>
      <c r="T47" s="23"/>
      <c r="U47" s="23"/>
      <c r="V47" s="496"/>
      <c r="W47" s="149"/>
    </row>
    <row r="48" spans="1:23" ht="15" outlineLevel="1" thickBot="1" x14ac:dyDescent="0.35">
      <c r="A48" s="1220" t="s">
        <v>287</v>
      </c>
      <c r="B48" s="1221"/>
      <c r="C48" s="133"/>
      <c r="D48" s="96">
        <f>MIN(D45,D46+D47)</f>
        <v>0</v>
      </c>
      <c r="E48" s="51"/>
      <c r="G48" s="1220" t="s">
        <v>287</v>
      </c>
      <c r="H48" s="1221"/>
      <c r="I48" s="133"/>
      <c r="J48" s="96">
        <f>MIN(J45,J46+J47)</f>
        <v>0</v>
      </c>
      <c r="K48" s="51"/>
      <c r="M48" s="1220" t="s">
        <v>287</v>
      </c>
      <c r="N48" s="1221"/>
      <c r="O48" s="133"/>
      <c r="P48" s="96">
        <f>MIN(P45,P46+P47)</f>
        <v>0</v>
      </c>
      <c r="Q48" s="51"/>
    </row>
    <row r="49" spans="1:23" ht="15" outlineLevel="1" thickBot="1" x14ac:dyDescent="0.35">
      <c r="A49" s="5" t="s">
        <v>279</v>
      </c>
      <c r="B49" s="6"/>
      <c r="C49" s="2">
        <v>0.1</v>
      </c>
      <c r="D49" s="1">
        <f>ROUND(D48*C49,2)</f>
        <v>0</v>
      </c>
      <c r="G49" s="213" t="s">
        <v>279</v>
      </c>
      <c r="H49" s="214"/>
      <c r="I49" s="215">
        <v>0.1</v>
      </c>
      <c r="J49" s="1">
        <f>ROUND(J48*I49,2)</f>
        <v>0</v>
      </c>
      <c r="M49" s="213" t="s">
        <v>279</v>
      </c>
      <c r="N49" s="214"/>
      <c r="O49" s="215">
        <v>0.1</v>
      </c>
      <c r="P49" s="1">
        <f>ROUND(P48*O49,2)</f>
        <v>0</v>
      </c>
      <c r="S49" s="23"/>
      <c r="T49" s="23"/>
      <c r="U49" s="40"/>
      <c r="V49" s="496"/>
    </row>
    <row r="50" spans="1:23" ht="15" outlineLevel="1" thickBot="1" x14ac:dyDescent="0.35">
      <c r="A50" s="5" t="s">
        <v>64</v>
      </c>
      <c r="B50" s="6" t="s">
        <v>280</v>
      </c>
      <c r="C50" s="2">
        <v>0.21</v>
      </c>
      <c r="D50" s="1">
        <f>ROUND(D48*C50,2)</f>
        <v>0</v>
      </c>
      <c r="F50" s="150"/>
      <c r="G50" s="213" t="s">
        <v>64</v>
      </c>
      <c r="H50" s="214" t="s">
        <v>280</v>
      </c>
      <c r="I50" s="215">
        <v>0.21</v>
      </c>
      <c r="J50" s="1">
        <f>ROUND(J48*I50,2)</f>
        <v>0</v>
      </c>
      <c r="M50" s="213" t="s">
        <v>64</v>
      </c>
      <c r="N50" s="214" t="s">
        <v>280</v>
      </c>
      <c r="O50" s="215">
        <v>0.21</v>
      </c>
      <c r="P50" s="1">
        <f>ROUND(P48*O50,2)</f>
        <v>0</v>
      </c>
      <c r="S50" s="23"/>
      <c r="T50" s="23"/>
      <c r="U50" s="40"/>
      <c r="V50" s="496"/>
    </row>
    <row r="51" spans="1:23" ht="15" outlineLevel="1" thickBot="1" x14ac:dyDescent="0.35">
      <c r="A51" s="3" t="s">
        <v>64</v>
      </c>
      <c r="B51" s="18" t="s">
        <v>281</v>
      </c>
      <c r="C51" s="2">
        <v>0.21</v>
      </c>
      <c r="D51" s="4">
        <f>ROUND(D49*C51,2)</f>
        <v>0</v>
      </c>
      <c r="F51" s="149"/>
      <c r="G51" s="216" t="s">
        <v>64</v>
      </c>
      <c r="H51" s="18" t="s">
        <v>281</v>
      </c>
      <c r="I51" s="215">
        <v>0.21</v>
      </c>
      <c r="J51" s="4">
        <f>ROUND(J49*I51,2)</f>
        <v>0</v>
      </c>
      <c r="M51" s="216" t="s">
        <v>64</v>
      </c>
      <c r="N51" s="18" t="s">
        <v>281</v>
      </c>
      <c r="O51" s="215">
        <v>0.21</v>
      </c>
      <c r="P51" s="4">
        <f>ROUND(P49*O51,2)</f>
        <v>0</v>
      </c>
      <c r="S51" s="23"/>
      <c r="T51" s="18"/>
      <c r="U51" s="40"/>
      <c r="V51" s="496"/>
    </row>
    <row r="52" spans="1:23" ht="15" outlineLevel="1" thickBot="1" x14ac:dyDescent="0.35">
      <c r="A52" s="5" t="s">
        <v>282</v>
      </c>
      <c r="B52" s="6"/>
      <c r="C52" s="7"/>
      <c r="D52" s="1">
        <f>SUM(D48:D51)</f>
        <v>0</v>
      </c>
      <c r="E52" s="149"/>
      <c r="G52" s="213" t="s">
        <v>282</v>
      </c>
      <c r="H52" s="214"/>
      <c r="I52" s="217"/>
      <c r="J52" s="1">
        <f>SUM(J48:J51)</f>
        <v>0</v>
      </c>
      <c r="K52" s="149"/>
      <c r="M52" s="213" t="s">
        <v>282</v>
      </c>
      <c r="N52" s="214"/>
      <c r="O52" s="217"/>
      <c r="P52" s="1">
        <f>SUM(P48:P51)</f>
        <v>0</v>
      </c>
      <c r="Q52" s="149"/>
      <c r="S52" s="23"/>
      <c r="T52" s="23"/>
      <c r="U52" s="23"/>
      <c r="V52" s="496"/>
      <c r="W52" s="149"/>
    </row>
    <row r="53" spans="1:23" ht="15" outlineLevel="1" thickBot="1" x14ac:dyDescent="0.35">
      <c r="A53" s="981"/>
      <c r="B53" s="981"/>
      <c r="C53" s="851"/>
      <c r="D53" s="852"/>
      <c r="E53" s="51"/>
      <c r="G53" s="981"/>
      <c r="H53" s="981"/>
      <c r="I53" s="851"/>
      <c r="J53" s="852"/>
      <c r="K53" s="51"/>
      <c r="M53" s="981"/>
      <c r="N53" s="981"/>
      <c r="O53" s="851"/>
      <c r="P53" s="852"/>
      <c r="Q53" s="51"/>
    </row>
    <row r="54" spans="1:23" ht="15" outlineLevel="1" thickBot="1" x14ac:dyDescent="0.35">
      <c r="A54" s="5" t="s">
        <v>282</v>
      </c>
      <c r="B54" s="6"/>
      <c r="C54" s="7"/>
      <c r="D54" s="1104">
        <f>D52+D41</f>
        <v>0</v>
      </c>
      <c r="E54" s="51"/>
      <c r="G54" s="5" t="s">
        <v>282</v>
      </c>
      <c r="H54" s="6"/>
      <c r="I54" s="7"/>
      <c r="J54" s="1104">
        <f>J52+J41</f>
        <v>0</v>
      </c>
      <c r="K54" s="51"/>
      <c r="M54" s="5" t="s">
        <v>282</v>
      </c>
      <c r="N54" s="6"/>
      <c r="O54" s="7"/>
      <c r="P54" s="1104">
        <f>P52+P41</f>
        <v>0</v>
      </c>
      <c r="Q54" s="51"/>
    </row>
    <row r="55" spans="1:23" ht="15" outlineLevel="1" thickBot="1" x14ac:dyDescent="0.35">
      <c r="A55" s="981"/>
      <c r="B55" s="981"/>
      <c r="C55" s="851"/>
      <c r="D55" s="852"/>
      <c r="E55" s="51"/>
      <c r="G55" s="981"/>
      <c r="H55" s="981"/>
      <c r="I55" s="851"/>
      <c r="J55" s="852"/>
      <c r="K55" s="51"/>
      <c r="M55" s="981"/>
      <c r="N55" s="981"/>
      <c r="O55" s="851"/>
      <c r="P55" s="852"/>
      <c r="Q55" s="51"/>
    </row>
    <row r="56" spans="1:23" ht="15" outlineLevel="1" thickBot="1" x14ac:dyDescent="0.35">
      <c r="A56" s="5" t="s">
        <v>282</v>
      </c>
      <c r="B56" s="6"/>
      <c r="C56" s="7"/>
      <c r="D56" s="1">
        <f>D52+D41</f>
        <v>0</v>
      </c>
      <c r="E56" s="51"/>
      <c r="G56" s="5" t="s">
        <v>282</v>
      </c>
      <c r="H56" s="6"/>
      <c r="I56" s="7"/>
      <c r="J56" s="1">
        <f>J52+J41</f>
        <v>0</v>
      </c>
      <c r="K56" s="51"/>
      <c r="M56" s="5" t="s">
        <v>282</v>
      </c>
      <c r="N56" s="6"/>
      <c r="O56" s="7"/>
      <c r="P56" s="1">
        <f>P52+P41</f>
        <v>0</v>
      </c>
      <c r="Q56" s="51"/>
    </row>
    <row r="57" spans="1:23" ht="15" outlineLevel="1" thickBot="1" x14ac:dyDescent="0.35"/>
    <row r="58" spans="1:23" ht="15" outlineLevel="1" thickBot="1" x14ac:dyDescent="0.35">
      <c r="A58" s="5" t="s">
        <v>288</v>
      </c>
      <c r="B58" s="127">
        <f>D37+D48</f>
        <v>0</v>
      </c>
      <c r="C58" s="129" t="s">
        <v>289</v>
      </c>
      <c r="D58" s="492">
        <f>ROUND((D37+D48)*10/6,2)</f>
        <v>0</v>
      </c>
      <c r="E58" s="53">
        <f>ROUND(E37*10/6,2)</f>
        <v>0</v>
      </c>
      <c r="G58" s="213" t="s">
        <v>288</v>
      </c>
      <c r="H58" s="127">
        <f>J37+J48</f>
        <v>0</v>
      </c>
      <c r="I58" s="218" t="s">
        <v>289</v>
      </c>
      <c r="J58" s="492">
        <f>ROUND((J37+J48)*10/6,2)</f>
        <v>0</v>
      </c>
      <c r="K58" s="53">
        <f>ROUND(K37*10/6,2)</f>
        <v>0</v>
      </c>
      <c r="M58" s="213" t="s">
        <v>288</v>
      </c>
      <c r="N58" s="127">
        <f>P37+P48</f>
        <v>0</v>
      </c>
      <c r="O58" s="218" t="s">
        <v>289</v>
      </c>
      <c r="P58" s="492">
        <f>ROUND((P37+P48)*10/6,2)</f>
        <v>0</v>
      </c>
      <c r="Q58" s="53">
        <f>ROUND(Q37*10/6,2)</f>
        <v>0</v>
      </c>
    </row>
    <row r="59" spans="1:23" outlineLevel="1" x14ac:dyDescent="0.3"/>
    <row r="60" spans="1:23" outlineLevel="1" x14ac:dyDescent="0.3">
      <c r="A60" s="237" t="s">
        <v>290</v>
      </c>
      <c r="B60" s="8"/>
      <c r="C60" s="8"/>
      <c r="G60" s="237" t="s">
        <v>290</v>
      </c>
      <c r="H60" s="8"/>
      <c r="I60" s="8"/>
      <c r="M60" s="237" t="s">
        <v>290</v>
      </c>
      <c r="N60" s="8"/>
      <c r="O60" s="8"/>
    </row>
    <row r="61" spans="1:23" outlineLevel="1" x14ac:dyDescent="0.3">
      <c r="A61" s="8" t="s">
        <v>123</v>
      </c>
      <c r="B61" s="10" t="e">
        <f>IF(MATCH(Bron!$B$8,'uitgebreide raming_gewijzigd'!$B$2:$I$2,0)=1,'uitgebreide raming_gewijzigd'!B6,IF(MATCH(Bron!$B$8,'uitgebreide raming_gewijzigd'!$B$2:$I$2,0)=3,'uitgebreide raming_gewijzigd'!D6,IF(MATCH(Bron!$B$8,'uitgebreide raming_gewijzigd'!$B$2:$I$2,0)=5,'uitgebreide raming_gewijzigd'!F6,IF(MATCH(Bron!$B$8,'uitgebreide raming_gewijzigd'!$B$2:$I$2,0)=7,'uitgebreide raming_gewijzigd'!H6,0))))</f>
        <v>#N/A</v>
      </c>
      <c r="C61" s="9" t="e">
        <f>B61/B66</f>
        <v>#N/A</v>
      </c>
      <c r="G61" s="8" t="s">
        <v>123</v>
      </c>
      <c r="H61" s="10" t="e">
        <f>IF(MATCH(Bron!$B$8,'uitgebreide raming_gewijzigd'!$B$29:$I$29,0)=1,'uitgebreide raming_gewijzigd'!B33,IF(MATCH(Bron!$B$8,'uitgebreide raming_gewijzigd'!$B$29:$I$29,0)=3,'uitgebreide raming_gewijzigd'!D33,IF(MATCH(Bron!$B$8,'uitgebreide raming_gewijzigd'!$B$29:$I$29,0)=5,'uitgebreide raming_gewijzigd'!F33,IF(MATCH(Bron!$B$8,'uitgebreide raming_gewijzigd'!$B$29:$I$29,0)=7,'uitgebreide raming_gewijzigd'!H33,0))))</f>
        <v>#N/A</v>
      </c>
      <c r="I61" s="9" t="e">
        <f>H61/H66</f>
        <v>#N/A</v>
      </c>
      <c r="M61" s="8" t="s">
        <v>123</v>
      </c>
      <c r="N61" s="10" t="e">
        <f>IF(MATCH(Bron!$B$8,'uitgebreide raming_gewijzigd'!$B$56:$I$56,0)=1,'uitgebreide raming'!B60,IF(MATCH(Bron!$B$8,'uitgebreide raming'!$B$56:$I$56,0)=3,'uitgebreide raming_gewijzigd'!D60,IF(MATCH(Bron!$B$8,'uitgebreide raming_gewijzigd'!$B$56:$I$56,0)=5,'uitgebreide raming_gewijzigd'!F60,IF(MATCH(Bron!$B$8,'uitgebreide raming_gewijzigd'!$B$56:$I$56,0)=7,'uitgebreide raming_gewijzigd'!H60,0))))</f>
        <v>#N/A</v>
      </c>
      <c r="O61" s="9" t="e">
        <f>N61/N66</f>
        <v>#N/A</v>
      </c>
    </row>
    <row r="62" spans="1:23" outlineLevel="1" x14ac:dyDescent="0.3">
      <c r="A62" s="8" t="s">
        <v>124</v>
      </c>
      <c r="B62" s="10" t="e">
        <f>IF(MATCH(Bron!$B$8,'uitgebreide raming_gewijzigd'!$B$2:$I$2,0)=1,'uitgebreide raming_gewijzigd'!B7,IF(MATCH(Bron!$B$8,'uitgebreide raming_gewijzigd'!$B$2:$I$2,0)=3,'uitgebreide raming_gewijzigd'!D7,IF(MATCH(Bron!$B$8,'uitgebreide raming_gewijzigd'!$B$2:$I$2,0)=5,'uitgebreide raming_gewijzigd'!F7,IF(MATCH(Bron!$B$8,'uitgebreide raming_gewijzigd'!$B$2:$I$2,0)=7,'uitgebreide raming_gewijzigd'!H7,0))))</f>
        <v>#N/A</v>
      </c>
      <c r="C62" s="9" t="e">
        <f>B62/B66</f>
        <v>#N/A</v>
      </c>
      <c r="G62" s="8" t="s">
        <v>124</v>
      </c>
      <c r="H62" s="10" t="e">
        <f>IF(MATCH(Bron!$B$8,'uitgebreide raming_gewijzigd'!$B$29:$I$29,0)=1,'uitgebreide raming_gewijzigd'!B34,IF(MATCH(Bron!$B$8,'uitgebreide raming_gewijzigd'!$B$29:$I$29,0)=3,'uitgebreide raming_gewijzigd'!D34,IF(MATCH(Bron!$B$8,'uitgebreide raming_gewijzigd'!$B$29:$I$29,0)=5,'uitgebreide raming_gewijzigd'!F34,IF(MATCH(Bron!$B$8,'uitgebreide raming_gewijzigd'!$B$29:$I$29,0)=7,'uitgebreide raming_gewijzigd'!H34,0))))</f>
        <v>#N/A</v>
      </c>
      <c r="I62" s="9" t="e">
        <f>H62/H66</f>
        <v>#N/A</v>
      </c>
      <c r="M62" s="8" t="s">
        <v>124</v>
      </c>
      <c r="N62" s="10" t="e">
        <f>IF(MATCH(Bron!$B$8,'uitgebreide raming_gewijzigd'!$B$56:$I$56,0)=1,'uitgebreide raming'!B61,IF(MATCH(Bron!$B$8,'uitgebreide raming'!$B$56:$I$56,0)=3,'uitgebreide raming_gewijzigd'!D61,IF(MATCH(Bron!$B$8,'uitgebreide raming_gewijzigd'!$B$56:$I$56,0)=5,'uitgebreide raming_gewijzigd'!F61,IF(MATCH(Bron!$B$8,'uitgebreide raming_gewijzigd'!$B$56:$I$56,0)=7,'uitgebreide raming_gewijzigd'!H61,0))))</f>
        <v>#N/A</v>
      </c>
      <c r="O62" s="9" t="e">
        <f>N62/N66</f>
        <v>#N/A</v>
      </c>
    </row>
    <row r="63" spans="1:23" outlineLevel="1" x14ac:dyDescent="0.3">
      <c r="A63" s="8" t="s">
        <v>125</v>
      </c>
      <c r="B63" s="10" t="e">
        <f>IF(MATCH(Bron!$B$8,'uitgebreide raming_gewijzigd'!$B$2:$I$2,0)=1,'uitgebreide raming_gewijzigd'!B8,IF(MATCH(Bron!$B$8,'uitgebreide raming_gewijzigd'!$B$2:$I$2,0)=3,'uitgebreide raming_gewijzigd'!D8,IF(MATCH(Bron!$B$8,'uitgebreide raming_gewijzigd'!$B$2:$I$2,0)=5,'uitgebreide raming_gewijzigd'!F8,IF(MATCH(Bron!$B$8,'uitgebreide raming_gewijzigd'!$B$2:$I$2,0)=7,'uitgebreide raming_gewijzigd'!H8,0))))</f>
        <v>#N/A</v>
      </c>
      <c r="C63" s="9" t="e">
        <f>B63/B66</f>
        <v>#N/A</v>
      </c>
      <c r="G63" s="8" t="s">
        <v>125</v>
      </c>
      <c r="H63" s="10" t="e">
        <f>IF(MATCH(Bron!$B$8,'uitgebreide raming_gewijzigd'!$B$29:$I$29,0)=1,'uitgebreide raming_gewijzigd'!B35,IF(MATCH(Bron!$B$8,'uitgebreide raming_gewijzigd'!$B$29:$I$29,0)=3,'uitgebreide raming_gewijzigd'!D35,IF(MATCH(Bron!$B$8,'uitgebreide raming_gewijzigd'!$B$29:$I$29,0)=5,'uitgebreide raming_gewijzigd'!F35,IF(MATCH(Bron!$B$8,'uitgebreide raming_gewijzigd'!$B$29:$I$29,0)=7,'uitgebreide raming_gewijzigd'!H35,0))))</f>
        <v>#N/A</v>
      </c>
      <c r="I63" s="9" t="e">
        <f>H63/H66</f>
        <v>#N/A</v>
      </c>
      <c r="M63" s="8" t="s">
        <v>125</v>
      </c>
      <c r="N63" s="10" t="e">
        <f>IF(MATCH(Bron!$B$8,'uitgebreide raming_gewijzigd'!$B$56:$I$56,0)=1,'uitgebreide raming'!B62,IF(MATCH(Bron!$B$8,'uitgebreide raming'!$B$56:$I$56,0)=3,'uitgebreide raming_gewijzigd'!D62,IF(MATCH(Bron!$B$8,'uitgebreide raming_gewijzigd'!$B$56:$I$56,0)=5,'uitgebreide raming_gewijzigd'!F62,IF(MATCH(Bron!$B$8,'uitgebreide raming_gewijzigd'!$B$56:$I$56,0)=7,'uitgebreide raming_gewijzigd'!H62,0))))</f>
        <v>#N/A</v>
      </c>
      <c r="O63" s="9" t="e">
        <f>N63/N66</f>
        <v>#N/A</v>
      </c>
    </row>
    <row r="64" spans="1:23" outlineLevel="1" x14ac:dyDescent="0.3">
      <c r="A64" s="8" t="s">
        <v>126</v>
      </c>
      <c r="B64" s="10" t="e">
        <f>IF(MATCH(Bron!$B$8,'uitgebreide raming_gewijzigd'!$B$2:$I$2,0)=1,'uitgebreide raming_gewijzigd'!B9,IF(MATCH(Bron!$B$8,'uitgebreide raming_gewijzigd'!$B$2:$I$2,0)=3,'uitgebreide raming_gewijzigd'!D9,IF(MATCH(Bron!$B$8,'uitgebreide raming_gewijzigd'!$B$2:$I$2,0)=5,'uitgebreide raming_gewijzigd'!F9,IF(MATCH(Bron!$B$8,'uitgebreide raming_gewijzigd'!$B$2:$I$2,0)=7,'uitgebreide raming_gewijzigd'!H9,0))))</f>
        <v>#N/A</v>
      </c>
      <c r="C64" s="9" t="e">
        <f>B64/B66</f>
        <v>#N/A</v>
      </c>
      <c r="G64" s="8" t="s">
        <v>126</v>
      </c>
      <c r="H64" s="10" t="e">
        <f>IF(MATCH(Bron!$B$8,'uitgebreide raming_gewijzigd'!$B$29:$I$29,0)=1,'uitgebreide raming_gewijzigd'!B36,IF(MATCH(Bron!$B$8,'uitgebreide raming_gewijzigd'!$B$29:$I$29,0)=3,'uitgebreide raming_gewijzigd'!D36,IF(MATCH(Bron!$B$8,'uitgebreide raming_gewijzigd'!$B$29:$I$29,0)=5,'uitgebreide raming_gewijzigd'!F36,IF(MATCH(Bron!$B$8,'uitgebreide raming_gewijzigd'!$B$29:$I$29,0)=7,'uitgebreide raming_gewijzigd'!H36,0))))</f>
        <v>#N/A</v>
      </c>
      <c r="I64" s="9" t="e">
        <f>H64/H66</f>
        <v>#N/A</v>
      </c>
      <c r="M64" s="8" t="s">
        <v>126</v>
      </c>
      <c r="N64" s="10" t="e">
        <f>IF(MATCH(Bron!$B$8,'uitgebreide raming_gewijzigd'!$B$56:$I$56,0)=1,'uitgebreide raming'!B63,IF(MATCH(Bron!$B$8,'uitgebreide raming'!$B$56:$I$56,0)=3,'uitgebreide raming_gewijzigd'!D63,IF(MATCH(Bron!$B$8,'uitgebreide raming_gewijzigd'!$B$56:$I$56,0)=5,'uitgebreide raming_gewijzigd'!F63,IF(MATCH(Bron!$B$8,'uitgebreide raming_gewijzigd'!$B$56:$I$56,0)=7,'uitgebreide raming_gewijzigd'!H63,0))))</f>
        <v>#N/A</v>
      </c>
      <c r="O64" s="9" t="e">
        <f>N64/N66</f>
        <v>#N/A</v>
      </c>
    </row>
    <row r="65" spans="1:23" ht="27.6" outlineLevel="1" x14ac:dyDescent="0.3">
      <c r="A65" s="8" t="s">
        <v>127</v>
      </c>
      <c r="B65" s="10" t="e">
        <f>IF(MATCH(Bron!$B$8,'uitgebreide raming_gewijzigd'!$B$2:$I$2,0)=1,'uitgebreide raming_gewijzigd'!B10,IF(MATCH(Bron!$B$8,'uitgebreide raming_gewijzigd'!$B$2:$I$2,0)=3,'uitgebreide raming_gewijzigd'!D10,IF(MATCH(Bron!$B$8,'uitgebreide raming_gewijzigd'!$B$2:$I$2,0)=5,'uitgebreide raming_gewijzigd'!F10,IF(MATCH(Bron!$B$8,'uitgebreide raming_gewijzigd'!$B$2:$I$2,0)=7,'uitgebreide raming_gewijzigd'!H10,0))))</f>
        <v>#N/A</v>
      </c>
      <c r="C65" s="9" t="e">
        <f>B65/B66</f>
        <v>#N/A</v>
      </c>
      <c r="G65" s="8" t="s">
        <v>127</v>
      </c>
      <c r="H65" s="10" t="e">
        <f>IF(MATCH(Bron!$B$8,'uitgebreide raming_gewijzigd'!$B$29:$I$29,0)=1,'uitgebreide raming_gewijzigd'!B37,IF(MATCH(Bron!$B$8,'uitgebreide raming_gewijzigd'!$B$29:$I$29,0)=3,'uitgebreide raming_gewijzigd'!D37,IF(MATCH(Bron!$B$8,'uitgebreide raming_gewijzigd'!$B$29:$I$29,0)=5,'uitgebreide raming_gewijzigd'!F37,IF(MATCH(Bron!$B$8,'uitgebreide raming_gewijzigd'!$B$29:$I$29,0)=7,'uitgebreide raming_gewijzigd'!H37,0))))</f>
        <v>#N/A</v>
      </c>
      <c r="I65" s="9" t="e">
        <f>H65/H66</f>
        <v>#N/A</v>
      </c>
      <c r="M65" s="8" t="s">
        <v>127</v>
      </c>
      <c r="N65" s="10" t="e">
        <f>IF(MATCH(Bron!$B$8,'uitgebreide raming_gewijzigd'!$B$56:$I$56,0)=1,'uitgebreide raming'!B64,IF(MATCH(Bron!$B$8,'uitgebreide raming'!$B$56:$I$56,0)=3,'uitgebreide raming_gewijzigd'!D64,IF(MATCH(Bron!$B$8,'uitgebreide raming_gewijzigd'!$B$56:$I$56,0)=5,'uitgebreide raming_gewijzigd'!F64,IF(MATCH(Bron!$B$8,'uitgebreide raming_gewijzigd'!$B$56:$I$56,0)=7,'uitgebreide raming_gewijzigd'!H64,0))))</f>
        <v>#N/A</v>
      </c>
      <c r="O65" s="9" t="e">
        <f>N65/N66</f>
        <v>#N/A</v>
      </c>
    </row>
    <row r="66" spans="1:23" outlineLevel="1" x14ac:dyDescent="0.3">
      <c r="A66" s="8" t="s">
        <v>110</v>
      </c>
      <c r="B66" s="10" t="e">
        <f>IF(MATCH(Bron!$B$8,'uitgebreide raming_gewijzigd'!$B$2:$I$2,0)=1,'uitgebreide raming_gewijzigd'!B11,IF(MATCH(Bron!$B$8,'uitgebreide raming_gewijzigd'!$B$2:$I$2,0)=3,'uitgebreide raming_gewijzigd'!D11,IF(MATCH(Bron!$B$8,'uitgebreide raming_gewijzigd'!$B$2:$I$2,0)=5,'uitgebreide raming_gewijzigd'!F11,IF(MATCH(Bron!$B$8,'uitgebreide raming_gewijzigd'!$B$2:$I$2,0)=7,'uitgebreide raming_gewijzigd'!H11,0))))</f>
        <v>#N/A</v>
      </c>
      <c r="C66" s="9" t="e">
        <f>B66/B66</f>
        <v>#N/A</v>
      </c>
      <c r="G66" s="8" t="s">
        <v>110</v>
      </c>
      <c r="H66" s="10" t="e">
        <f>IF(MATCH(Bron!$B$8,'uitgebreide raming_gewijzigd'!$B$29:$I$29,0)=1,'uitgebreide raming_gewijzigd'!B38,IF(MATCH(Bron!$B$8,'uitgebreide raming_gewijzigd'!$B$29:$I$29,0)=3,'uitgebreide raming_gewijzigd'!D38,IF(MATCH(Bron!$B$8,'uitgebreide raming_gewijzigd'!$B$29:$I$29,0)=5,'uitgebreide raming_gewijzigd'!F38,IF(MATCH(Bron!$B$8,'uitgebreide raming_gewijzigd'!$B$29:$I$29,0)=7,'uitgebreide raming_gewijzigd'!H38,0))))</f>
        <v>#N/A</v>
      </c>
      <c r="I66" s="9" t="e">
        <f>H66/H66</f>
        <v>#N/A</v>
      </c>
      <c r="M66" s="8" t="s">
        <v>110</v>
      </c>
      <c r="N66" s="10" t="e">
        <f>IF(MATCH(Bron!$B$8,'uitgebreide raming_gewijzigd'!$B$56:$I$56,0)=1,'uitgebreide raming'!B65,IF(MATCH(Bron!$B$8,'uitgebreide raming'!$B$56:$I$56,0)=3,'uitgebreide raming_gewijzigd'!D65,IF(MATCH(Bron!$B$8,'uitgebreide raming_gewijzigd'!$B$56:$I$56,0)=5,'uitgebreide raming_gewijzigd'!F65,IF(MATCH(Bron!$B$8,'uitgebreide raming_gewijzigd'!$B$56:$I$56,0)=7,'uitgebreide raming_gewijzigd'!H65,0))))</f>
        <v>#N/A</v>
      </c>
      <c r="O66" s="9" t="e">
        <f>N66/N66</f>
        <v>#N/A</v>
      </c>
    </row>
    <row r="68" spans="1:23" ht="18" x14ac:dyDescent="0.3">
      <c r="A68" s="1223" t="s">
        <v>92</v>
      </c>
      <c r="B68" s="1223"/>
      <c r="C68" s="1223"/>
      <c r="D68" s="1223"/>
      <c r="E68" s="1223"/>
      <c r="F68" s="1223"/>
      <c r="G68" s="1223"/>
      <c r="H68" s="1223"/>
      <c r="I68" s="1223"/>
      <c r="J68" s="1223"/>
      <c r="K68" s="1223"/>
      <c r="L68" s="1223"/>
      <c r="M68" s="1223"/>
      <c r="N68" s="1223"/>
      <c r="O68" s="1223"/>
      <c r="P68" s="1223"/>
      <c r="Q68" s="1223"/>
    </row>
    <row r="69" spans="1:23" ht="15" outlineLevel="1" thickBot="1" x14ac:dyDescent="0.35">
      <c r="A69" s="106" t="s">
        <v>23</v>
      </c>
      <c r="B69" s="106" t="str">
        <f>'Overzicht BTA'!$C$3</f>
        <v>Kies de zorgvorm</v>
      </c>
      <c r="C69" s="106"/>
      <c r="D69" s="106"/>
      <c r="E69" s="106"/>
      <c r="F69" s="106"/>
      <c r="G69" s="106" t="s">
        <v>23</v>
      </c>
      <c r="H69" s="1222" t="str">
        <f>'Overzicht BTA'!$H$3</f>
        <v>Kies de zorgvorm</v>
      </c>
      <c r="I69" s="1222"/>
      <c r="J69" s="1222"/>
      <c r="K69" s="106"/>
      <c r="L69" s="106"/>
      <c r="M69" s="106" t="s">
        <v>23</v>
      </c>
      <c r="N69" s="106" t="str">
        <f>'Overzicht BTA'!$N$3</f>
        <v>Kies de zorgvorm</v>
      </c>
      <c r="O69" s="106"/>
      <c r="P69" s="106"/>
      <c r="Q69" s="106"/>
    </row>
    <row r="70" spans="1:23" ht="15" outlineLevel="1" thickBot="1" x14ac:dyDescent="0.35">
      <c r="A70" s="376" t="s">
        <v>273</v>
      </c>
      <c r="B70" s="140"/>
      <c r="C70" s="140"/>
      <c r="D70" s="141"/>
      <c r="E70" s="141"/>
      <c r="G70" s="376" t="s">
        <v>273</v>
      </c>
      <c r="H70" s="209"/>
      <c r="I70" s="209"/>
      <c r="J70" s="210"/>
      <c r="K70" s="141"/>
      <c r="M70" s="376" t="s">
        <v>273</v>
      </c>
      <c r="N70" s="209"/>
      <c r="O70" s="209"/>
      <c r="P70" s="210"/>
      <c r="Q70" s="141"/>
    </row>
    <row r="71" spans="1:23" ht="15" outlineLevel="1" thickBot="1" x14ac:dyDescent="0.35">
      <c r="A71" s="372" t="s">
        <v>274</v>
      </c>
      <c r="B71" s="370" t="s">
        <v>275</v>
      </c>
      <c r="C71" s="370" t="s">
        <v>276</v>
      </c>
      <c r="D71" s="370" t="s">
        <v>277</v>
      </c>
      <c r="E71" s="377" t="s">
        <v>278</v>
      </c>
      <c r="F71" s="23"/>
      <c r="G71" s="373" t="s">
        <v>274</v>
      </c>
      <c r="H71" s="375" t="s">
        <v>275</v>
      </c>
      <c r="I71" s="375" t="s">
        <v>276</v>
      </c>
      <c r="J71" s="375" t="s">
        <v>277</v>
      </c>
      <c r="K71" s="379" t="s">
        <v>278</v>
      </c>
      <c r="M71" s="373" t="s">
        <v>274</v>
      </c>
      <c r="N71" s="375" t="s">
        <v>275</v>
      </c>
      <c r="O71" s="375" t="s">
        <v>276</v>
      </c>
      <c r="P71" s="375" t="s">
        <v>277</v>
      </c>
      <c r="Q71" s="379" t="s">
        <v>278</v>
      </c>
    </row>
    <row r="72" spans="1:23" ht="15" outlineLevel="1" thickBot="1" x14ac:dyDescent="0.35">
      <c r="A72" s="368">
        <f>A37</f>
        <v>0</v>
      </c>
      <c r="B72" s="904">
        <f>VLOOKUP(B69,'Capaciteiten &amp; forfaits'!$B$3:$H$76,4,FALSE)</f>
        <v>0</v>
      </c>
      <c r="C72" s="370">
        <f>'Overzicht BTA'!$D$38</f>
        <v>2.3958200000000001</v>
      </c>
      <c r="D72" s="378">
        <f>ROUND(A72*B72*C72,2)</f>
        <v>0</v>
      </c>
      <c r="E72" s="908">
        <f>ROUND(B72*C72*1,2)</f>
        <v>0</v>
      </c>
      <c r="G72" s="368">
        <f>G37</f>
        <v>0</v>
      </c>
      <c r="H72" s="904">
        <f>VLOOKUP(H69,'Capaciteiten &amp; forfaits'!$B$3:$H$76,4,FALSE)</f>
        <v>0</v>
      </c>
      <c r="I72" s="375">
        <f>'Overzicht BTA'!$I$38</f>
        <v>2.3958200000000001</v>
      </c>
      <c r="J72" s="378">
        <f>ROUND(G72*H72*I72,2)</f>
        <v>0</v>
      </c>
      <c r="K72" s="908">
        <f>ROUND(H72*I72*1,2)</f>
        <v>0</v>
      </c>
      <c r="M72" s="368">
        <f>M37</f>
        <v>0</v>
      </c>
      <c r="N72" s="904">
        <f>VLOOKUP(N69,'Capaciteiten &amp; forfaits'!$B$3:$H$76,4,FALSE)</f>
        <v>0</v>
      </c>
      <c r="O72" s="375">
        <f>'Overzicht BTA'!$O$38</f>
        <v>2.3958200000000001</v>
      </c>
      <c r="P72" s="378">
        <f>ROUND(M72*N72*O72,2)</f>
        <v>0</v>
      </c>
      <c r="Q72" s="908">
        <f>ROUND(N72*O72*1,2)</f>
        <v>0</v>
      </c>
    </row>
    <row r="73" spans="1:23" ht="15" outlineLevel="1" thickBot="1" x14ac:dyDescent="0.35">
      <c r="A73" s="5" t="s">
        <v>279</v>
      </c>
      <c r="B73" s="6"/>
      <c r="C73" s="2">
        <v>0.1</v>
      </c>
      <c r="D73" s="1">
        <f>ROUND(D72*C73,2)</f>
        <v>0</v>
      </c>
      <c r="G73" s="213" t="s">
        <v>279</v>
      </c>
      <c r="H73" s="214"/>
      <c r="I73" s="215">
        <v>0.1</v>
      </c>
      <c r="J73" s="1">
        <f>ROUND(J72*I73,2)</f>
        <v>0</v>
      </c>
      <c r="M73" s="213" t="s">
        <v>279</v>
      </c>
      <c r="N73" s="214"/>
      <c r="O73" s="215">
        <v>0.1</v>
      </c>
      <c r="P73" s="1">
        <f>ROUND(P72*O73,2)</f>
        <v>0</v>
      </c>
    </row>
    <row r="74" spans="1:23" ht="15" outlineLevel="1" thickBot="1" x14ac:dyDescent="0.35">
      <c r="A74" s="5" t="s">
        <v>64</v>
      </c>
      <c r="B74" s="6" t="s">
        <v>280</v>
      </c>
      <c r="C74" s="2">
        <v>0.21</v>
      </c>
      <c r="D74" s="1">
        <f>ROUND(D72*C74,2)</f>
        <v>0</v>
      </c>
      <c r="F74" s="150"/>
      <c r="G74" s="213" t="s">
        <v>64</v>
      </c>
      <c r="H74" s="214" t="s">
        <v>280</v>
      </c>
      <c r="I74" s="215">
        <v>0.21</v>
      </c>
      <c r="J74" s="1">
        <f>ROUND(J72*I74,2)</f>
        <v>0</v>
      </c>
      <c r="M74" s="213" t="s">
        <v>64</v>
      </c>
      <c r="N74" s="214" t="s">
        <v>280</v>
      </c>
      <c r="O74" s="215">
        <v>0.21</v>
      </c>
      <c r="P74" s="1">
        <f>ROUND(P72*O74,2)</f>
        <v>0</v>
      </c>
    </row>
    <row r="75" spans="1:23" ht="15" outlineLevel="1" thickBot="1" x14ac:dyDescent="0.35">
      <c r="A75" s="3" t="s">
        <v>64</v>
      </c>
      <c r="B75" s="18" t="s">
        <v>281</v>
      </c>
      <c r="C75" s="2">
        <v>0.21</v>
      </c>
      <c r="D75" s="4">
        <f>ROUND(D73*C75,2)</f>
        <v>0</v>
      </c>
      <c r="F75" s="149"/>
      <c r="G75" s="216" t="s">
        <v>64</v>
      </c>
      <c r="H75" s="18" t="s">
        <v>281</v>
      </c>
      <c r="I75" s="215">
        <v>0.21</v>
      </c>
      <c r="J75" s="4">
        <f>ROUND(J73*I75,2)</f>
        <v>0</v>
      </c>
      <c r="M75" s="216" t="s">
        <v>64</v>
      </c>
      <c r="N75" s="18" t="s">
        <v>281</v>
      </c>
      <c r="O75" s="215">
        <v>0.21</v>
      </c>
      <c r="P75" s="4">
        <f>ROUND(P73*O75,2)</f>
        <v>0</v>
      </c>
    </row>
    <row r="76" spans="1:23" ht="15" outlineLevel="1" thickBot="1" x14ac:dyDescent="0.35">
      <c r="A76" s="5" t="s">
        <v>282</v>
      </c>
      <c r="B76" s="6"/>
      <c r="C76" s="7"/>
      <c r="D76" s="1">
        <f>SUM(D72:D75)</f>
        <v>0</v>
      </c>
      <c r="E76" s="149"/>
      <c r="G76" s="213" t="s">
        <v>282</v>
      </c>
      <c r="H76" s="214"/>
      <c r="I76" s="217"/>
      <c r="J76" s="1">
        <f>SUM(J72:J75)</f>
        <v>0</v>
      </c>
      <c r="K76" s="149"/>
      <c r="M76" s="213" t="s">
        <v>282</v>
      </c>
      <c r="N76" s="214"/>
      <c r="O76" s="217"/>
      <c r="P76" s="1">
        <f>SUM(P72:P75)</f>
        <v>0</v>
      </c>
      <c r="Q76" s="149"/>
    </row>
    <row r="77" spans="1:23" ht="15" outlineLevel="1" thickBot="1" x14ac:dyDescent="0.35">
      <c r="A77" s="23"/>
      <c r="B77" s="23"/>
      <c r="C77" s="23"/>
      <c r="D77" s="496"/>
      <c r="E77" s="149"/>
      <c r="G77" s="243"/>
      <c r="H77" s="243"/>
      <c r="I77" s="243"/>
      <c r="J77" s="496"/>
      <c r="K77" s="149"/>
      <c r="M77" s="243"/>
      <c r="N77" s="243"/>
      <c r="O77" s="243"/>
      <c r="P77" s="496"/>
      <c r="Q77" s="149"/>
      <c r="S77" s="23"/>
      <c r="T77" s="23"/>
      <c r="U77" s="23"/>
      <c r="V77" s="496"/>
      <c r="W77" s="149"/>
    </row>
    <row r="78" spans="1:23" ht="15" outlineLevel="1" thickBot="1" x14ac:dyDescent="0.35">
      <c r="A78" s="376" t="s">
        <v>284</v>
      </c>
      <c r="B78" s="140"/>
      <c r="C78" s="140"/>
      <c r="D78" s="141"/>
      <c r="E78" s="141"/>
      <c r="G78" s="376" t="s">
        <v>284</v>
      </c>
      <c r="H78" s="140"/>
      <c r="I78" s="140"/>
      <c r="J78" s="141"/>
      <c r="K78" s="141"/>
      <c r="M78" s="376" t="s">
        <v>284</v>
      </c>
      <c r="N78" s="140"/>
      <c r="O78" s="140"/>
      <c r="P78" s="141"/>
      <c r="Q78" s="141"/>
      <c r="S78" s="23"/>
      <c r="T78" s="23"/>
      <c r="U78" s="23"/>
      <c r="V78" s="496"/>
      <c r="W78" s="149"/>
    </row>
    <row r="79" spans="1:23" ht="15" outlineLevel="1" thickBot="1" x14ac:dyDescent="0.35">
      <c r="A79" s="372" t="s">
        <v>274</v>
      </c>
      <c r="B79" s="370" t="s">
        <v>275</v>
      </c>
      <c r="C79" s="370" t="s">
        <v>276</v>
      </c>
      <c r="D79" s="370" t="s">
        <v>277</v>
      </c>
      <c r="E79" s="377" t="s">
        <v>278</v>
      </c>
      <c r="G79" s="372" t="s">
        <v>274</v>
      </c>
      <c r="H79" s="370" t="s">
        <v>275</v>
      </c>
      <c r="I79" s="370" t="s">
        <v>276</v>
      </c>
      <c r="J79" s="370" t="s">
        <v>277</v>
      </c>
      <c r="K79" s="377" t="s">
        <v>278</v>
      </c>
      <c r="M79" s="372" t="s">
        <v>274</v>
      </c>
      <c r="N79" s="370" t="s">
        <v>275</v>
      </c>
      <c r="O79" s="370" t="s">
        <v>276</v>
      </c>
      <c r="P79" s="370" t="s">
        <v>277</v>
      </c>
      <c r="Q79" s="377" t="s">
        <v>278</v>
      </c>
      <c r="S79" s="23"/>
      <c r="T79" s="23"/>
      <c r="U79" s="23"/>
      <c r="V79" s="496"/>
      <c r="W79" s="149"/>
    </row>
    <row r="80" spans="1:23" ht="15" outlineLevel="1" thickBot="1" x14ac:dyDescent="0.35">
      <c r="A80" s="1006">
        <f>A45</f>
        <v>0</v>
      </c>
      <c r="B80" s="1007">
        <f>B45</f>
        <v>0</v>
      </c>
      <c r="C80" s="1008">
        <f>C72</f>
        <v>2.3958200000000001</v>
      </c>
      <c r="D80" s="1009">
        <f>ROUND(A80*B80*C80,2)</f>
        <v>0</v>
      </c>
      <c r="E80" s="1010">
        <f>ROUND(B80*C80*1,2)</f>
        <v>0</v>
      </c>
      <c r="G80" s="1006">
        <f>G45</f>
        <v>0</v>
      </c>
      <c r="H80" s="1007">
        <f>H45</f>
        <v>0</v>
      </c>
      <c r="I80" s="1008">
        <f>I72</f>
        <v>2.3958200000000001</v>
      </c>
      <c r="J80" s="1009">
        <f>ROUND(G80*H80*I80,2)</f>
        <v>0</v>
      </c>
      <c r="K80" s="1010">
        <f>ROUND(H80*I80*1,2)</f>
        <v>0</v>
      </c>
      <c r="M80" s="1006">
        <f>M45</f>
        <v>0</v>
      </c>
      <c r="N80" s="1007">
        <f>N45</f>
        <v>0</v>
      </c>
      <c r="O80" s="1008">
        <f>O72</f>
        <v>2.3958200000000001</v>
      </c>
      <c r="P80" s="1009">
        <f>ROUND(M80*N80*O80,2)</f>
        <v>0</v>
      </c>
      <c r="Q80" s="1010">
        <f>ROUND(N80*O80*1,2)</f>
        <v>0</v>
      </c>
      <c r="S80" s="23"/>
      <c r="T80" s="23"/>
      <c r="U80" s="23"/>
      <c r="V80" s="496"/>
      <c r="W80" s="149"/>
    </row>
    <row r="81" spans="1:23" ht="15" outlineLevel="1" thickBot="1" x14ac:dyDescent="0.35">
      <c r="A81" s="1011" t="s">
        <v>285</v>
      </c>
      <c r="B81" s="1009">
        <f>'Bouwkost NB'!$E$52</f>
        <v>0</v>
      </c>
      <c r="C81" s="1012">
        <v>0.6</v>
      </c>
      <c r="D81" s="1009">
        <f>B81*C81</f>
        <v>0</v>
      </c>
      <c r="E81" s="1013"/>
      <c r="G81" s="1011" t="s">
        <v>285</v>
      </c>
      <c r="H81" s="1009">
        <f>'Bouwkost NB'!$E$52</f>
        <v>0</v>
      </c>
      <c r="I81" s="1012">
        <v>0.6</v>
      </c>
      <c r="J81" s="1009">
        <f>H81*I81</f>
        <v>0</v>
      </c>
      <c r="K81" s="1013"/>
      <c r="M81" s="1011" t="s">
        <v>285</v>
      </c>
      <c r="N81" s="1009">
        <f>'Bouwkost NB'!$E$52</f>
        <v>0</v>
      </c>
      <c r="O81" s="1012">
        <v>0.6</v>
      </c>
      <c r="P81" s="1009">
        <f>N81*O81</f>
        <v>0</v>
      </c>
      <c r="Q81" s="1013"/>
      <c r="S81" s="23"/>
      <c r="T81" s="23"/>
      <c r="U81" s="23"/>
      <c r="V81" s="496"/>
      <c r="W81" s="149"/>
    </row>
    <row r="82" spans="1:23" ht="15" outlineLevel="1" thickBot="1" x14ac:dyDescent="0.35">
      <c r="A82" s="1011" t="s">
        <v>286</v>
      </c>
      <c r="B82" s="1009">
        <f>'Bouwkost NB'!$C$58</f>
        <v>0</v>
      </c>
      <c r="C82" s="1012">
        <v>0.6</v>
      </c>
      <c r="D82" s="1009">
        <f>B82*C82</f>
        <v>0</v>
      </c>
      <c r="E82" s="1013"/>
      <c r="G82" s="65" t="s">
        <v>291</v>
      </c>
      <c r="H82" s="63">
        <f>'Bouwkost NB'!$C$58</f>
        <v>0</v>
      </c>
      <c r="I82" s="66">
        <v>0.6</v>
      </c>
      <c r="J82" s="982">
        <f>H82*I82</f>
        <v>0</v>
      </c>
      <c r="K82" s="68"/>
      <c r="M82" s="1011" t="s">
        <v>291</v>
      </c>
      <c r="N82" s="1009">
        <f>'Bouwkost NB'!$C$58</f>
        <v>0</v>
      </c>
      <c r="O82" s="1012">
        <v>0.6</v>
      </c>
      <c r="P82" s="1009">
        <f>N82*O82</f>
        <v>0</v>
      </c>
      <c r="Q82" s="1013"/>
      <c r="S82" s="23"/>
      <c r="T82" s="23"/>
      <c r="U82" s="23"/>
      <c r="V82" s="496"/>
      <c r="W82" s="149"/>
    </row>
    <row r="83" spans="1:23" ht="15" outlineLevel="1" thickBot="1" x14ac:dyDescent="0.35">
      <c r="A83" s="1220" t="s">
        <v>287</v>
      </c>
      <c r="B83" s="1221"/>
      <c r="C83" s="133"/>
      <c r="D83" s="96">
        <f>MIN(D80,D81+D82)</f>
        <v>0</v>
      </c>
      <c r="E83" s="51"/>
      <c r="G83" s="1220" t="s">
        <v>287</v>
      </c>
      <c r="H83" s="1221"/>
      <c r="I83" s="133"/>
      <c r="J83" s="96">
        <f>MIN(J80,J81+J82)</f>
        <v>0</v>
      </c>
      <c r="K83" s="51"/>
      <c r="M83" s="1220" t="s">
        <v>287</v>
      </c>
      <c r="N83" s="1221"/>
      <c r="O83" s="133"/>
      <c r="P83" s="96">
        <f>MIN(P80,P81+P82)</f>
        <v>0</v>
      </c>
      <c r="Q83" s="51"/>
    </row>
    <row r="84" spans="1:23" ht="15" outlineLevel="1" thickBot="1" x14ac:dyDescent="0.35">
      <c r="A84" s="5" t="s">
        <v>279</v>
      </c>
      <c r="B84" s="6"/>
      <c r="C84" s="2">
        <v>0.1</v>
      </c>
      <c r="D84" s="1">
        <f>ROUND(D83*C84,2)</f>
        <v>0</v>
      </c>
      <c r="G84" s="213" t="s">
        <v>279</v>
      </c>
      <c r="H84" s="214"/>
      <c r="I84" s="215">
        <v>0.1</v>
      </c>
      <c r="J84" s="1">
        <f>ROUND(J83*I84,2)</f>
        <v>0</v>
      </c>
      <c r="M84" s="213" t="s">
        <v>279</v>
      </c>
      <c r="N84" s="214"/>
      <c r="O84" s="215">
        <v>0.1</v>
      </c>
      <c r="P84" s="1">
        <f>ROUND(P83*O84,2)</f>
        <v>0</v>
      </c>
      <c r="S84" s="23"/>
      <c r="T84" s="23"/>
      <c r="U84" s="40"/>
      <c r="V84" s="496"/>
    </row>
    <row r="85" spans="1:23" ht="15" outlineLevel="1" thickBot="1" x14ac:dyDescent="0.35">
      <c r="A85" s="5" t="s">
        <v>64</v>
      </c>
      <c r="B85" s="6" t="s">
        <v>280</v>
      </c>
      <c r="C85" s="2">
        <v>0.21</v>
      </c>
      <c r="D85" s="1">
        <f>ROUND(D83*C85,2)</f>
        <v>0</v>
      </c>
      <c r="F85" s="150"/>
      <c r="G85" s="213" t="s">
        <v>64</v>
      </c>
      <c r="H85" s="214" t="s">
        <v>280</v>
      </c>
      <c r="I85" s="215">
        <v>0.21</v>
      </c>
      <c r="J85" s="1">
        <f>ROUND(J83*I85,2)</f>
        <v>0</v>
      </c>
      <c r="M85" s="213" t="s">
        <v>64</v>
      </c>
      <c r="N85" s="214" t="s">
        <v>280</v>
      </c>
      <c r="O85" s="215">
        <v>0.21</v>
      </c>
      <c r="P85" s="1">
        <f>ROUND(P83*O85,2)</f>
        <v>0</v>
      </c>
      <c r="S85" s="23"/>
      <c r="T85" s="23"/>
      <c r="U85" s="40"/>
      <c r="V85" s="496"/>
    </row>
    <row r="86" spans="1:23" ht="15" outlineLevel="1" thickBot="1" x14ac:dyDescent="0.35">
      <c r="A86" s="3" t="s">
        <v>64</v>
      </c>
      <c r="B86" s="18" t="s">
        <v>281</v>
      </c>
      <c r="C86" s="2">
        <v>0.21</v>
      </c>
      <c r="D86" s="4">
        <f>ROUND(D84*C86,2)</f>
        <v>0</v>
      </c>
      <c r="F86" s="149"/>
      <c r="G86" s="216" t="s">
        <v>64</v>
      </c>
      <c r="H86" s="18" t="s">
        <v>281</v>
      </c>
      <c r="I86" s="215">
        <v>0.21</v>
      </c>
      <c r="J86" s="4">
        <f>ROUND(J84*I86,2)</f>
        <v>0</v>
      </c>
      <c r="M86" s="216" t="s">
        <v>64</v>
      </c>
      <c r="N86" s="18" t="s">
        <v>281</v>
      </c>
      <c r="O86" s="215">
        <v>0.21</v>
      </c>
      <c r="P86" s="4">
        <f>ROUND(P84*O86,2)</f>
        <v>0</v>
      </c>
      <c r="S86" s="23"/>
      <c r="T86" s="18"/>
      <c r="U86" s="40"/>
      <c r="V86" s="496"/>
    </row>
    <row r="87" spans="1:23" ht="15" outlineLevel="1" thickBot="1" x14ac:dyDescent="0.35">
      <c r="A87" s="5" t="s">
        <v>282</v>
      </c>
      <c r="B87" s="6"/>
      <c r="C87" s="7"/>
      <c r="D87" s="1">
        <f>SUM(D83:D86)</f>
        <v>0</v>
      </c>
      <c r="E87" s="149"/>
      <c r="G87" s="213" t="s">
        <v>282</v>
      </c>
      <c r="H87" s="214"/>
      <c r="I87" s="217"/>
      <c r="J87" s="1">
        <f>SUM(J83:J86)</f>
        <v>0</v>
      </c>
      <c r="K87" s="149"/>
      <c r="M87" s="213" t="s">
        <v>282</v>
      </c>
      <c r="N87" s="214"/>
      <c r="O87" s="217"/>
      <c r="P87" s="1">
        <f>SUM(P83:P86)</f>
        <v>0</v>
      </c>
      <c r="Q87" s="149"/>
      <c r="S87" s="23"/>
      <c r="T87" s="23"/>
      <c r="U87" s="23"/>
      <c r="V87" s="496"/>
      <c r="W87" s="149"/>
    </row>
    <row r="88" spans="1:23" outlineLevel="1" x14ac:dyDescent="0.3">
      <c r="A88" s="981"/>
      <c r="B88" s="981"/>
      <c r="C88" s="851"/>
      <c r="D88" s="852"/>
      <c r="E88" s="51"/>
      <c r="G88" s="981"/>
      <c r="H88" s="981"/>
      <c r="I88" s="851"/>
      <c r="J88" s="852"/>
      <c r="K88" s="51"/>
      <c r="M88" s="981"/>
      <c r="N88" s="981"/>
      <c r="O88" s="851"/>
      <c r="P88" s="852"/>
      <c r="Q88" s="51"/>
    </row>
    <row r="89" spans="1:23" ht="15" outlineLevel="1" thickBot="1" x14ac:dyDescent="0.35">
      <c r="A89" s="981"/>
      <c r="B89" s="981"/>
      <c r="C89" s="851"/>
      <c r="D89" s="852"/>
      <c r="E89" s="51"/>
      <c r="G89" s="981"/>
      <c r="H89" s="981"/>
      <c r="I89" s="851"/>
      <c r="J89" s="852"/>
      <c r="K89" s="51"/>
      <c r="M89" s="981"/>
      <c r="N89" s="981"/>
      <c r="O89" s="851"/>
      <c r="P89" s="852"/>
      <c r="Q89" s="51"/>
    </row>
    <row r="90" spans="1:23" ht="15" outlineLevel="1" thickBot="1" x14ac:dyDescent="0.35">
      <c r="A90" s="5" t="s">
        <v>282</v>
      </c>
      <c r="B90" s="6"/>
      <c r="C90" s="7"/>
      <c r="D90" s="1">
        <f>D86+D75</f>
        <v>0</v>
      </c>
      <c r="E90" s="51"/>
      <c r="G90" s="5" t="s">
        <v>282</v>
      </c>
      <c r="H90" s="6"/>
      <c r="I90" s="7"/>
      <c r="J90" s="1">
        <f>J86+J75</f>
        <v>0</v>
      </c>
      <c r="K90" s="51"/>
      <c r="M90" s="5" t="s">
        <v>282</v>
      </c>
      <c r="N90" s="6"/>
      <c r="O90" s="7"/>
      <c r="P90" s="1">
        <f>P86+P75</f>
        <v>0</v>
      </c>
      <c r="Q90" s="51"/>
    </row>
    <row r="91" spans="1:23" ht="15" outlineLevel="1" thickBot="1" x14ac:dyDescent="0.35"/>
    <row r="92" spans="1:23" ht="15" outlineLevel="1" thickBot="1" x14ac:dyDescent="0.35">
      <c r="A92" s="5" t="s">
        <v>288</v>
      </c>
      <c r="B92" s="127">
        <f>D72+D83</f>
        <v>0</v>
      </c>
      <c r="C92" s="129" t="s">
        <v>289</v>
      </c>
      <c r="D92" s="492">
        <f>ROUND((D72+D83)*10/6,2)</f>
        <v>0</v>
      </c>
      <c r="E92" s="53">
        <f>ROUND(E72*10/6,2)</f>
        <v>0</v>
      </c>
      <c r="G92" s="213" t="s">
        <v>288</v>
      </c>
      <c r="H92" s="127">
        <f>J72+J83</f>
        <v>0</v>
      </c>
      <c r="I92" s="218" t="s">
        <v>289</v>
      </c>
      <c r="J92" s="492">
        <f>ROUND((J72+J83)*10/6,2)</f>
        <v>0</v>
      </c>
      <c r="K92" s="53">
        <f>ROUND(K72*10/6,2)</f>
        <v>0</v>
      </c>
      <c r="M92" s="213" t="s">
        <v>288</v>
      </c>
      <c r="N92" s="127">
        <f>P72+P83</f>
        <v>0</v>
      </c>
      <c r="O92" s="218" t="s">
        <v>289</v>
      </c>
      <c r="P92" s="492">
        <f>ROUND((P72+P83)*10/6,2)</f>
        <v>0</v>
      </c>
      <c r="Q92" s="53">
        <f>ROUND(Q72*10/6,2)</f>
        <v>0</v>
      </c>
    </row>
    <row r="93" spans="1:23" outlineLevel="1" x14ac:dyDescent="0.3"/>
  </sheetData>
  <mergeCells count="14">
    <mergeCell ref="M48:N48"/>
    <mergeCell ref="A83:B83"/>
    <mergeCell ref="G83:H83"/>
    <mergeCell ref="M83:N83"/>
    <mergeCell ref="H1:J1"/>
    <mergeCell ref="H69:J69"/>
    <mergeCell ref="A68:Q68"/>
    <mergeCell ref="A33:Q33"/>
    <mergeCell ref="H34:J34"/>
    <mergeCell ref="A15:B15"/>
    <mergeCell ref="G15:H15"/>
    <mergeCell ref="M15:N15"/>
    <mergeCell ref="A48:B48"/>
    <mergeCell ref="G48:H48"/>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41"/>
  <dimension ref="A1:W122"/>
  <sheetViews>
    <sheetView topLeftCell="A81" zoomScale="80" zoomScaleNormal="80" workbookViewId="0">
      <selection activeCell="E121" sqref="E121"/>
    </sheetView>
  </sheetViews>
  <sheetFormatPr defaultColWidth="9.109375" defaultRowHeight="13.8" outlineLevelRow="1" outlineLevelCol="1" x14ac:dyDescent="0.3"/>
  <cols>
    <col min="1" max="1" width="25.5546875" style="18" bestFit="1" customWidth="1"/>
    <col min="2" max="2" width="15.5546875" style="18" customWidth="1"/>
    <col min="3" max="3" width="14.6640625" style="18" bestFit="1" customWidth="1"/>
    <col min="4" max="4" width="5.88671875" style="18" customWidth="1"/>
    <col min="5" max="5" width="15.6640625" style="18" customWidth="1"/>
    <col min="6" max="6" width="2.33203125" style="18" customWidth="1"/>
    <col min="7" max="7" width="24.6640625" style="18" hidden="1" customWidth="1" outlineLevel="1"/>
    <col min="8" max="8" width="16.109375" style="18" hidden="1" customWidth="1" outlineLevel="1"/>
    <col min="9" max="9" width="11.33203125" style="18" hidden="1" customWidth="1" outlineLevel="1"/>
    <col min="10" max="10" width="5.33203125" style="18" hidden="1" customWidth="1" outlineLevel="1"/>
    <col min="11" max="11" width="15.6640625" style="18" hidden="1" customWidth="1" outlineLevel="1"/>
    <col min="12" max="12" width="2.33203125" style="18" customWidth="1" collapsed="1"/>
    <col min="13" max="13" width="24.6640625" style="18" hidden="1" customWidth="1" outlineLevel="1"/>
    <col min="14" max="14" width="16.109375" style="18" hidden="1" customWidth="1" outlineLevel="1"/>
    <col min="15" max="15" width="11.33203125" style="18" hidden="1" customWidth="1" outlineLevel="1"/>
    <col min="16" max="16" width="4.6640625" style="18" hidden="1" customWidth="1" outlineLevel="1"/>
    <col min="17" max="17" width="15.6640625" style="18" hidden="1" customWidth="1" outlineLevel="1"/>
    <col min="18" max="18" width="9.109375" style="18" customWidth="1" collapsed="1"/>
    <col min="19" max="16384" width="9.109375" style="18"/>
  </cols>
  <sheetData>
    <row r="1" spans="1:17" s="54" customFormat="1" ht="14.4" x14ac:dyDescent="0.3">
      <c r="A1" s="106" t="s">
        <v>292</v>
      </c>
      <c r="B1" s="106" t="str">
        <f>'Overzicht BTA'!C3</f>
        <v>Kies de zorgvorm</v>
      </c>
      <c r="G1" s="106" t="s">
        <v>292</v>
      </c>
      <c r="H1" s="106" t="str">
        <f>'Overzicht BTA'!H3</f>
        <v>Kies de zorgvorm</v>
      </c>
      <c r="I1" s="106"/>
      <c r="J1" s="106"/>
      <c r="M1" s="106" t="s">
        <v>292</v>
      </c>
      <c r="N1" s="106" t="str">
        <f>'Overzicht BTA'!N3</f>
        <v>Kies de zorgvorm</v>
      </c>
    </row>
    <row r="2" spans="1:17" ht="12.75" customHeight="1" x14ac:dyDescent="0.3">
      <c r="A2" s="521" t="s">
        <v>70</v>
      </c>
      <c r="B2" s="135"/>
      <c r="C2" s="135"/>
      <c r="D2" s="135"/>
      <c r="E2" s="136"/>
      <c r="F2" s="23"/>
      <c r="G2" s="521" t="s">
        <v>70</v>
      </c>
      <c r="H2" s="222"/>
      <c r="I2" s="222"/>
      <c r="J2" s="222"/>
      <c r="K2" s="223"/>
      <c r="M2" s="521" t="s">
        <v>70</v>
      </c>
      <c r="N2" s="222"/>
      <c r="O2" s="222"/>
      <c r="P2" s="222"/>
      <c r="Q2" s="223"/>
    </row>
    <row r="3" spans="1:17" ht="14.4" thickBot="1" x14ac:dyDescent="0.35">
      <c r="A3" s="372" t="s">
        <v>274</v>
      </c>
      <c r="B3" s="369" t="s">
        <v>275</v>
      </c>
      <c r="C3" s="369" t="s">
        <v>276</v>
      </c>
      <c r="D3" s="369"/>
      <c r="E3" s="369" t="s">
        <v>277</v>
      </c>
      <c r="F3" s="23"/>
      <c r="G3" s="373" t="s">
        <v>274</v>
      </c>
      <c r="H3" s="374" t="s">
        <v>275</v>
      </c>
      <c r="I3" s="374" t="s">
        <v>276</v>
      </c>
      <c r="J3" s="374"/>
      <c r="K3" s="374" t="s">
        <v>277</v>
      </c>
      <c r="M3" s="373" t="s">
        <v>274</v>
      </c>
      <c r="N3" s="374" t="s">
        <v>275</v>
      </c>
      <c r="O3" s="374" t="s">
        <v>276</v>
      </c>
      <c r="P3" s="374"/>
      <c r="Q3" s="374" t="s">
        <v>277</v>
      </c>
    </row>
    <row r="4" spans="1:17" ht="14.4" thickBot="1" x14ac:dyDescent="0.35">
      <c r="A4" s="368">
        <f>IF(ISNUMBER(MATCH(A2,'Overzicht BTA'!B7:B10,0)),MIN(VLOOKUP('Overzicht BTA'!B13,'Overzicht BTA'!B7:D10,3,FALSE),'Overzicht BTA'!D13),0)</f>
        <v>0</v>
      </c>
      <c r="B4" s="904">
        <f>VLOOKUP(B1,'Capaciteiten &amp; forfaits'!$B$3:$H$76,4,FALSE)</f>
        <v>0</v>
      </c>
      <c r="C4" s="370">
        <f>'Overzicht BTA'!$D$36</f>
        <v>2.3958200000000001</v>
      </c>
      <c r="D4" s="369"/>
      <c r="E4" s="220">
        <f>ROUND(A4*B4*C4,2)</f>
        <v>0</v>
      </c>
      <c r="F4" s="25"/>
      <c r="G4" s="368">
        <f>ROUND(IF(ISNUMBER(MATCH(G2,'Overzicht BTA'!H7:H10,0)),MIN(VLOOKUP('Overzicht BTA'!H13,'Overzicht BTA'!H7:J10,3,FALSE),'Overzicht BTA'!J13),0),2)</f>
        <v>0</v>
      </c>
      <c r="H4" s="904">
        <f>VLOOKUP(H1,'Capaciteiten &amp; forfaits'!$B$3:$H$76,4,FALSE)</f>
        <v>0</v>
      </c>
      <c r="I4" s="375">
        <f>'Overzicht BTA'!$I$36</f>
        <v>2.3958200000000001</v>
      </c>
      <c r="J4" s="374"/>
      <c r="K4" s="220">
        <f>ROUND(G4*H4*I4,2)</f>
        <v>0</v>
      </c>
      <c r="M4" s="368">
        <f>ROUND(IF(ISNUMBER(MATCH(M2,'Overzicht BTA'!N7:N10,0)),MIN(VLOOKUP('Overzicht BTA'!N13,'Overzicht BTA'!N7:P10,3,FALSE),'Overzicht BTA'!P13),0),2)</f>
        <v>0</v>
      </c>
      <c r="N4" s="904">
        <f>VLOOKUP(N1,'Capaciteiten &amp; forfaits'!$B$3:$H$76,4,FALSE)</f>
        <v>0</v>
      </c>
      <c r="O4" s="375">
        <f>'Overzicht BTA'!$O$36</f>
        <v>2.3958200000000001</v>
      </c>
      <c r="P4" s="374"/>
      <c r="Q4" s="220">
        <f>ROUND(M4*N4*O4,2)</f>
        <v>0</v>
      </c>
    </row>
    <row r="5" spans="1:17" ht="14.4" thickBot="1" x14ac:dyDescent="0.35">
      <c r="A5" s="5" t="s">
        <v>279</v>
      </c>
      <c r="B5" s="8"/>
      <c r="C5" s="9">
        <v>0.1</v>
      </c>
      <c r="D5" s="9"/>
      <c r="E5" s="24">
        <f>ROUND(E4*C5,2)</f>
        <v>0</v>
      </c>
      <c r="F5" s="25"/>
      <c r="G5" s="213" t="s">
        <v>279</v>
      </c>
      <c r="H5" s="221"/>
      <c r="I5" s="225">
        <v>0.1</v>
      </c>
      <c r="J5" s="225"/>
      <c r="K5" s="24">
        <f>ROUND(K4*I5,2)</f>
        <v>0</v>
      </c>
      <c r="M5" s="213" t="s">
        <v>279</v>
      </c>
      <c r="N5" s="221"/>
      <c r="O5" s="225">
        <v>0.1</v>
      </c>
      <c r="P5" s="225"/>
      <c r="Q5" s="24">
        <f>ROUND(Q4*O5,2)</f>
        <v>0</v>
      </c>
    </row>
    <row r="6" spans="1:17" x14ac:dyDescent="0.3">
      <c r="A6" s="8" t="s">
        <v>64</v>
      </c>
      <c r="B6" s="8" t="s">
        <v>293</v>
      </c>
      <c r="C6" s="97">
        <f>'Overzicht BTA'!C13</f>
        <v>0</v>
      </c>
      <c r="D6" s="9">
        <f>IFERROR(C40,0)</f>
        <v>0</v>
      </c>
      <c r="E6" s="24">
        <f>ROUND(E4*C6*D6,2)</f>
        <v>0</v>
      </c>
      <c r="F6" s="25"/>
      <c r="G6" s="221" t="s">
        <v>64</v>
      </c>
      <c r="H6" s="221" t="s">
        <v>293</v>
      </c>
      <c r="I6" s="97">
        <f>'Overzicht BTA'!I13</f>
        <v>0</v>
      </c>
      <c r="J6" s="9">
        <f>IFERROR(I40,0)</f>
        <v>0</v>
      </c>
      <c r="K6" s="24">
        <f>ROUND(K4*I6*J6,2)</f>
        <v>0</v>
      </c>
      <c r="M6" s="221" t="s">
        <v>64</v>
      </c>
      <c r="N6" s="221" t="s">
        <v>293</v>
      </c>
      <c r="O6" s="97">
        <f>'Overzicht BTA'!O13</f>
        <v>0</v>
      </c>
      <c r="P6" s="9">
        <f>IFERROR(O40,0)</f>
        <v>0</v>
      </c>
      <c r="Q6" s="24">
        <f>ROUND(Q4*O6*P6,2)</f>
        <v>0</v>
      </c>
    </row>
    <row r="7" spans="1:17" x14ac:dyDescent="0.3">
      <c r="A7" s="8" t="s">
        <v>294</v>
      </c>
      <c r="B7" s="8" t="s">
        <v>295</v>
      </c>
      <c r="C7" s="97">
        <v>0.21</v>
      </c>
      <c r="D7" s="9">
        <f>IFERROR(C41,0)</f>
        <v>0</v>
      </c>
      <c r="E7" s="24">
        <f>ROUND(E4*C7*D7,2)</f>
        <v>0</v>
      </c>
      <c r="F7" s="25"/>
      <c r="G7" s="221" t="s">
        <v>294</v>
      </c>
      <c r="H7" s="221" t="s">
        <v>295</v>
      </c>
      <c r="I7" s="226">
        <v>0.21</v>
      </c>
      <c r="J7" s="9">
        <f>IFERROR(I41,0)</f>
        <v>0</v>
      </c>
      <c r="K7" s="24">
        <f>ROUND(K4*I7*J7,2)</f>
        <v>0</v>
      </c>
      <c r="M7" s="221" t="s">
        <v>294</v>
      </c>
      <c r="N7" s="221" t="s">
        <v>295</v>
      </c>
      <c r="O7" s="226">
        <v>0.21</v>
      </c>
      <c r="P7" s="9">
        <f>IFERROR(O41,0)</f>
        <v>0</v>
      </c>
      <c r="Q7" s="24">
        <f>ROUND(Q4*O7*P7,2)</f>
        <v>0</v>
      </c>
    </row>
    <row r="8" spans="1:17" ht="14.4" thickBot="1" x14ac:dyDescent="0.35">
      <c r="A8" s="8" t="s">
        <v>64</v>
      </c>
      <c r="B8" s="50" t="s">
        <v>281</v>
      </c>
      <c r="C8" s="9">
        <v>0.21</v>
      </c>
      <c r="D8" s="26"/>
      <c r="E8" s="27">
        <f>ROUND(E5*C8,2)</f>
        <v>0</v>
      </c>
      <c r="F8" s="25"/>
      <c r="G8" s="221" t="s">
        <v>64</v>
      </c>
      <c r="H8" s="50" t="s">
        <v>281</v>
      </c>
      <c r="I8" s="225">
        <v>0.21</v>
      </c>
      <c r="J8" s="227"/>
      <c r="K8" s="27">
        <f>ROUND(K5*I8,2)</f>
        <v>0</v>
      </c>
      <c r="M8" s="221" t="s">
        <v>64</v>
      </c>
      <c r="N8" s="50" t="s">
        <v>281</v>
      </c>
      <c r="O8" s="225">
        <v>0.21</v>
      </c>
      <c r="P8" s="227"/>
      <c r="Q8" s="27">
        <f>ROUND(Q5*O8,2)</f>
        <v>0</v>
      </c>
    </row>
    <row r="9" spans="1:17" ht="14.4" thickTop="1" x14ac:dyDescent="0.3">
      <c r="A9" s="28" t="s">
        <v>282</v>
      </c>
      <c r="B9" s="29"/>
      <c r="C9" s="30"/>
      <c r="D9" s="31"/>
      <c r="E9" s="95">
        <f>SUM(E4:E8)</f>
        <v>0</v>
      </c>
      <c r="F9" s="25"/>
      <c r="G9" s="229" t="s">
        <v>282</v>
      </c>
      <c r="H9" s="230"/>
      <c r="I9" s="231"/>
      <c r="J9" s="232"/>
      <c r="K9" s="233">
        <f>SUM(K4:K8)</f>
        <v>0</v>
      </c>
      <c r="M9" s="229" t="s">
        <v>282</v>
      </c>
      <c r="N9" s="230"/>
      <c r="O9" s="231"/>
      <c r="P9" s="232"/>
      <c r="Q9" s="233">
        <f>SUM(Q4:Q8)</f>
        <v>0</v>
      </c>
    </row>
    <row r="10" spans="1:17" x14ac:dyDescent="0.3">
      <c r="A10" s="521" t="s">
        <v>70</v>
      </c>
      <c r="B10" s="138"/>
      <c r="C10" s="138"/>
      <c r="D10" s="138"/>
      <c r="E10" s="138"/>
      <c r="F10" s="25"/>
      <c r="G10" s="521" t="s">
        <v>70</v>
      </c>
      <c r="H10" s="138"/>
      <c r="I10" s="138"/>
      <c r="J10" s="138"/>
      <c r="K10" s="138"/>
      <c r="M10" s="521" t="s">
        <v>70</v>
      </c>
      <c r="N10" s="138"/>
      <c r="O10" s="138"/>
      <c r="P10" s="138"/>
      <c r="Q10" s="138"/>
    </row>
    <row r="11" spans="1:17" ht="14.4" thickBot="1" x14ac:dyDescent="0.35">
      <c r="A11" s="372" t="s">
        <v>274</v>
      </c>
      <c r="B11" s="369" t="s">
        <v>275</v>
      </c>
      <c r="C11" s="369" t="s">
        <v>276</v>
      </c>
      <c r="D11" s="369"/>
      <c r="E11" s="369" t="s">
        <v>277</v>
      </c>
      <c r="F11" s="25"/>
      <c r="G11" s="373" t="s">
        <v>274</v>
      </c>
      <c r="H11" s="374" t="s">
        <v>275</v>
      </c>
      <c r="I11" s="374" t="s">
        <v>276</v>
      </c>
      <c r="J11" s="374"/>
      <c r="K11" s="374" t="s">
        <v>277</v>
      </c>
      <c r="M11" s="373" t="s">
        <v>274</v>
      </c>
      <c r="N11" s="374" t="s">
        <v>275</v>
      </c>
      <c r="O11" s="374" t="s">
        <v>276</v>
      </c>
      <c r="P11" s="374"/>
      <c r="Q11" s="374" t="s">
        <v>277</v>
      </c>
    </row>
    <row r="12" spans="1:17" ht="14.4" thickBot="1" x14ac:dyDescent="0.35">
      <c r="A12" s="368">
        <f>IFERROR(ROUND(MAX(VLOOKUP('Overzicht BTA'!B13,'Overzicht BTA'!B7:D10,3,FALSE)-A4,0),2),0)</f>
        <v>0</v>
      </c>
      <c r="B12" s="904">
        <f>VLOOKUP(B1,'Capaciteiten &amp; forfaits'!$B$3:$H$76,4,FALSE)</f>
        <v>0</v>
      </c>
      <c r="C12" s="370">
        <f>C4</f>
        <v>2.3958200000000001</v>
      </c>
      <c r="D12" s="369"/>
      <c r="E12" s="220">
        <f>ROUND(A12*B12*C12,2)</f>
        <v>0</v>
      </c>
      <c r="F12" s="25"/>
      <c r="G12" s="368">
        <f>ROUND(MAX(VLOOKUP('Overzicht BTA'!H13,'Overzicht BTA'!H7:J10,3)-G4,0),2)</f>
        <v>0</v>
      </c>
      <c r="H12" s="904">
        <f>VLOOKUP(H1,'Capaciteiten &amp; forfaits'!$B$3:$H$76,4,FALSE)</f>
        <v>0</v>
      </c>
      <c r="I12" s="375">
        <f>I4</f>
        <v>2.3958200000000001</v>
      </c>
      <c r="J12" s="374"/>
      <c r="K12" s="220">
        <f>ROUND(G12*H12*I12,2)</f>
        <v>0</v>
      </c>
      <c r="M12" s="368">
        <f>ROUND(MAX(VLOOKUP('Overzicht BTA'!N13,'Overzicht BTA'!N7:P10,3)-M4,0),2)</f>
        <v>0</v>
      </c>
      <c r="N12" s="904">
        <f>VLOOKUP(N1,'Capaciteiten &amp; forfaits'!$B$3:$H$76,4,FALSE)</f>
        <v>0</v>
      </c>
      <c r="O12" s="375">
        <f>O4</f>
        <v>2.3958200000000001</v>
      </c>
      <c r="P12" s="374"/>
      <c r="Q12" s="220">
        <f>ROUND(M12*N12*O12,2)</f>
        <v>0</v>
      </c>
    </row>
    <row r="13" spans="1:17" ht="14.4" thickBot="1" x14ac:dyDescent="0.35">
      <c r="A13" s="5" t="s">
        <v>279</v>
      </c>
      <c r="B13" s="8"/>
      <c r="C13" s="9">
        <v>0.1</v>
      </c>
      <c r="D13" s="9"/>
      <c r="E13" s="24">
        <f>ROUND(E12*C13,2)</f>
        <v>0</v>
      </c>
      <c r="F13" s="25"/>
      <c r="G13" s="213" t="s">
        <v>279</v>
      </c>
      <c r="H13" s="221"/>
      <c r="I13" s="225">
        <v>0.1</v>
      </c>
      <c r="J13" s="225"/>
      <c r="K13" s="24">
        <f>ROUND(K12*I13,2)</f>
        <v>0</v>
      </c>
      <c r="M13" s="213" t="s">
        <v>279</v>
      </c>
      <c r="N13" s="221"/>
      <c r="O13" s="225">
        <v>0.1</v>
      </c>
      <c r="P13" s="225"/>
      <c r="Q13" s="24">
        <f>ROUND(Q12*O13,2)</f>
        <v>0</v>
      </c>
    </row>
    <row r="14" spans="1:17" x14ac:dyDescent="0.3">
      <c r="A14" s="8" t="s">
        <v>64</v>
      </c>
      <c r="B14" s="8" t="s">
        <v>293</v>
      </c>
      <c r="C14" s="97">
        <f>'Overzicht BTA'!E13</f>
        <v>0</v>
      </c>
      <c r="D14" s="9">
        <f>IFERROR(C40,0)</f>
        <v>0</v>
      </c>
      <c r="E14" s="24">
        <f>ROUND(E12*C14*D14,2)</f>
        <v>0</v>
      </c>
      <c r="F14" s="25"/>
      <c r="G14" s="221" t="s">
        <v>64</v>
      </c>
      <c r="H14" s="221" t="s">
        <v>293</v>
      </c>
      <c r="I14" s="97">
        <f>'Overzicht BTA'!K19</f>
        <v>0</v>
      </c>
      <c r="J14" s="9">
        <f>IFERROR(I40,0)</f>
        <v>0</v>
      </c>
      <c r="K14" s="24">
        <f>ROUND(K12*I14*J14,2)</f>
        <v>0</v>
      </c>
      <c r="M14" s="221" t="s">
        <v>64</v>
      </c>
      <c r="N14" s="221" t="s">
        <v>293</v>
      </c>
      <c r="O14" s="97">
        <f>'Overzicht BTA'!Q19</f>
        <v>0</v>
      </c>
      <c r="P14" s="9">
        <f>IFERROR(O40,0)</f>
        <v>0</v>
      </c>
      <c r="Q14" s="24">
        <f>ROUND(Q12*O14*P14,2)</f>
        <v>0</v>
      </c>
    </row>
    <row r="15" spans="1:17" x14ac:dyDescent="0.3">
      <c r="A15" s="8" t="s">
        <v>294</v>
      </c>
      <c r="B15" s="8" t="s">
        <v>295</v>
      </c>
      <c r="C15" s="97">
        <v>0.21</v>
      </c>
      <c r="D15" s="9">
        <f>IFERROR(C41,0)</f>
        <v>0</v>
      </c>
      <c r="E15" s="24">
        <f>ROUND(E12*C15*D15,2)</f>
        <v>0</v>
      </c>
      <c r="F15" s="25"/>
      <c r="G15" s="221" t="s">
        <v>294</v>
      </c>
      <c r="H15" s="221" t="s">
        <v>295</v>
      </c>
      <c r="I15" s="226">
        <v>0.21</v>
      </c>
      <c r="J15" s="9">
        <f>IFERROR(I41,0)</f>
        <v>0</v>
      </c>
      <c r="K15" s="24">
        <f>ROUND(K12*I15*J15,2)</f>
        <v>0</v>
      </c>
      <c r="M15" s="221" t="s">
        <v>294</v>
      </c>
      <c r="N15" s="221" t="s">
        <v>295</v>
      </c>
      <c r="O15" s="226">
        <v>0.21</v>
      </c>
      <c r="P15" s="9">
        <f>IFERROR(O41,0)</f>
        <v>0</v>
      </c>
      <c r="Q15" s="24">
        <f>ROUND(Q12*O15*P15,2)</f>
        <v>0</v>
      </c>
    </row>
    <row r="16" spans="1:17" ht="14.4" thickBot="1" x14ac:dyDescent="0.35">
      <c r="A16" s="8" t="s">
        <v>64</v>
      </c>
      <c r="B16" s="50" t="s">
        <v>281</v>
      </c>
      <c r="C16" s="9">
        <v>0.21</v>
      </c>
      <c r="D16" s="26"/>
      <c r="E16" s="27">
        <f>ROUND(E13*C16,2)</f>
        <v>0</v>
      </c>
      <c r="F16" s="25"/>
      <c r="G16" s="221" t="s">
        <v>64</v>
      </c>
      <c r="H16" s="50" t="s">
        <v>281</v>
      </c>
      <c r="I16" s="225">
        <v>0.21</v>
      </c>
      <c r="J16" s="227"/>
      <c r="K16" s="27">
        <f>ROUND(K13*I16,2)</f>
        <v>0</v>
      </c>
      <c r="M16" s="221" t="s">
        <v>64</v>
      </c>
      <c r="N16" s="50" t="s">
        <v>281</v>
      </c>
      <c r="O16" s="225">
        <v>0.21</v>
      </c>
      <c r="P16" s="227"/>
      <c r="Q16" s="27">
        <f>ROUND(Q13*O16,2)</f>
        <v>0</v>
      </c>
    </row>
    <row r="17" spans="1:23" ht="14.4" thickTop="1" x14ac:dyDescent="0.3">
      <c r="A17" s="28" t="s">
        <v>282</v>
      </c>
      <c r="B17" s="29"/>
      <c r="C17" s="30"/>
      <c r="D17" s="31"/>
      <c r="E17" s="95">
        <f>SUM(E12:E16)</f>
        <v>0</v>
      </c>
      <c r="F17" s="25"/>
      <c r="G17" s="229" t="s">
        <v>282</v>
      </c>
      <c r="H17" s="230"/>
      <c r="I17" s="231"/>
      <c r="J17" s="232"/>
      <c r="K17" s="233">
        <f>SUM(K12:K16)</f>
        <v>0</v>
      </c>
      <c r="M17" s="229" t="s">
        <v>282</v>
      </c>
      <c r="N17" s="230"/>
      <c r="O17" s="231"/>
      <c r="P17" s="232"/>
      <c r="Q17" s="233">
        <f>SUM(Q12:Q16)</f>
        <v>0</v>
      </c>
    </row>
    <row r="18" spans="1:23" outlineLevel="1" x14ac:dyDescent="0.3">
      <c r="A18" s="23" t="s">
        <v>110</v>
      </c>
      <c r="B18" s="23"/>
      <c r="C18" s="23"/>
      <c r="D18" s="23"/>
      <c r="E18" s="496">
        <f>E17+E9</f>
        <v>0</v>
      </c>
      <c r="F18" s="25"/>
      <c r="G18" s="23" t="s">
        <v>296</v>
      </c>
      <c r="H18" s="243"/>
      <c r="I18" s="243"/>
      <c r="J18" s="243"/>
      <c r="K18" s="497">
        <f>K9+K17</f>
        <v>0</v>
      </c>
      <c r="M18" s="23" t="s">
        <v>296</v>
      </c>
      <c r="N18" s="243"/>
      <c r="O18" s="243"/>
      <c r="P18" s="243"/>
      <c r="Q18" s="497">
        <f>Q9+Q17</f>
        <v>0</v>
      </c>
    </row>
    <row r="19" spans="1:23" ht="14.4" outlineLevel="1" thickBot="1" x14ac:dyDescent="0.35"/>
    <row r="20" spans="1:23" customFormat="1" ht="15" outlineLevel="1" thickBot="1" x14ac:dyDescent="0.35">
      <c r="A20" s="376" t="s">
        <v>283</v>
      </c>
      <c r="B20" s="140"/>
      <c r="C20" s="140"/>
      <c r="D20" s="141"/>
      <c r="E20" s="141"/>
      <c r="G20" s="376" t="s">
        <v>283</v>
      </c>
      <c r="H20" s="140"/>
      <c r="I20" s="140"/>
      <c r="J20" s="141"/>
      <c r="K20" s="141"/>
      <c r="M20" s="376" t="s">
        <v>283</v>
      </c>
      <c r="N20" s="140"/>
      <c r="O20" s="140"/>
      <c r="P20" s="141"/>
      <c r="Q20" s="141"/>
      <c r="S20" s="23"/>
      <c r="T20" s="23"/>
      <c r="U20" s="23"/>
      <c r="V20" s="496"/>
      <c r="W20" s="149"/>
    </row>
    <row r="21" spans="1:23" customFormat="1" ht="15" outlineLevel="1" thickBot="1" x14ac:dyDescent="0.35">
      <c r="A21" s="372" t="s">
        <v>274</v>
      </c>
      <c r="B21" s="370" t="s">
        <v>275</v>
      </c>
      <c r="C21" s="370" t="s">
        <v>276</v>
      </c>
      <c r="D21" s="369"/>
      <c r="E21" s="370" t="s">
        <v>277</v>
      </c>
      <c r="G21" s="372" t="s">
        <v>274</v>
      </c>
      <c r="H21" s="370" t="s">
        <v>275</v>
      </c>
      <c r="I21" s="370" t="s">
        <v>276</v>
      </c>
      <c r="J21" s="369"/>
      <c r="K21" s="370" t="s">
        <v>277</v>
      </c>
      <c r="M21" s="372" t="s">
        <v>274</v>
      </c>
      <c r="N21" s="370" t="s">
        <v>275</v>
      </c>
      <c r="O21" s="370" t="s">
        <v>276</v>
      </c>
      <c r="P21" s="369"/>
      <c r="Q21" s="370" t="s">
        <v>277</v>
      </c>
      <c r="S21" s="23"/>
      <c r="T21" s="23"/>
      <c r="U21" s="23"/>
      <c r="V21" s="496"/>
      <c r="W21" s="149"/>
    </row>
    <row r="22" spans="1:23" customFormat="1" ht="15" outlineLevel="1" thickBot="1" x14ac:dyDescent="0.35">
      <c r="A22" s="1002">
        <f>MIN($A$4,'Bouwkost NB'!$C$91)</f>
        <v>0</v>
      </c>
      <c r="B22" s="904">
        <f>IF($B$1=Bron!$E$40,55,0)</f>
        <v>0</v>
      </c>
      <c r="C22" s="370">
        <f>$C$4</f>
        <v>2.3958200000000001</v>
      </c>
      <c r="D22" s="369"/>
      <c r="E22" s="982">
        <f>ROUND(A22*B22*C22,2)</f>
        <v>0</v>
      </c>
      <c r="G22" s="1002">
        <f>MIN($G$4,'Bouwkost NB'!$C$91)</f>
        <v>0</v>
      </c>
      <c r="H22" s="904">
        <f>IF($H$1=Bron!$E$40,55,0)</f>
        <v>0</v>
      </c>
      <c r="I22" s="370">
        <f>$C$4</f>
        <v>2.3958200000000001</v>
      </c>
      <c r="J22" s="369"/>
      <c r="K22" s="982">
        <f>ROUND(G22*H22*I22,2)</f>
        <v>0</v>
      </c>
      <c r="M22" s="1002">
        <f>MIN($M$4,'Bouwkost NB'!$C$91)</f>
        <v>0</v>
      </c>
      <c r="N22" s="904">
        <f>IF($N$1=Bron!$E$40,55,0)</f>
        <v>0</v>
      </c>
      <c r="O22" s="370">
        <f>$C$4</f>
        <v>2.3958200000000001</v>
      </c>
      <c r="P22" s="369"/>
      <c r="Q22" s="982">
        <f>ROUND(M22*N22*O22,2)</f>
        <v>0</v>
      </c>
      <c r="S22" s="23"/>
      <c r="T22" s="23"/>
      <c r="U22" s="23"/>
      <c r="V22" s="496"/>
      <c r="W22" s="149"/>
    </row>
    <row r="23" spans="1:23" customFormat="1" ht="15" outlineLevel="1" thickBot="1" x14ac:dyDescent="0.35">
      <c r="A23" s="65" t="s">
        <v>285</v>
      </c>
      <c r="B23" s="63">
        <f>'Bouwkost NB'!$C$52</f>
        <v>0</v>
      </c>
      <c r="C23" s="66">
        <v>0.6</v>
      </c>
      <c r="D23" s="369"/>
      <c r="E23" s="982">
        <f>B23*C23</f>
        <v>0</v>
      </c>
      <c r="G23" s="65" t="s">
        <v>285</v>
      </c>
      <c r="H23" s="63">
        <f>'Bouwkost NB'!$N$52</f>
        <v>0</v>
      </c>
      <c r="I23" s="66">
        <v>0.6</v>
      </c>
      <c r="J23" s="369"/>
      <c r="K23" s="982">
        <f>H23*I23</f>
        <v>0</v>
      </c>
      <c r="M23" s="65" t="s">
        <v>285</v>
      </c>
      <c r="N23" s="63">
        <f>'Bouwkost NB'!$Y$52</f>
        <v>0</v>
      </c>
      <c r="O23" s="66">
        <v>0.6</v>
      </c>
      <c r="P23" s="369"/>
      <c r="Q23" s="982">
        <f>N23*O23</f>
        <v>0</v>
      </c>
      <c r="S23" s="23"/>
      <c r="T23" s="23"/>
      <c r="U23" s="23"/>
      <c r="V23" s="496"/>
      <c r="W23" s="149"/>
    </row>
    <row r="24" spans="1:23" customFormat="1" ht="15" outlineLevel="1" thickBot="1" x14ac:dyDescent="0.35">
      <c r="A24" s="368" t="s">
        <v>286</v>
      </c>
      <c r="B24" s="63">
        <f>'Bouwkost NB'!$C$58</f>
        <v>0</v>
      </c>
      <c r="C24" s="66">
        <v>0.6</v>
      </c>
      <c r="D24" s="369"/>
      <c r="E24" s="982">
        <f>B24*C24</f>
        <v>0</v>
      </c>
      <c r="G24" s="368" t="s">
        <v>286</v>
      </c>
      <c r="H24" s="63">
        <f>'Bouwkost NB'!$N$58</f>
        <v>0</v>
      </c>
      <c r="I24" s="66">
        <v>0.6</v>
      </c>
      <c r="J24" s="369"/>
      <c r="K24" s="982">
        <f>H24*I24</f>
        <v>0</v>
      </c>
      <c r="M24" s="368" t="s">
        <v>286</v>
      </c>
      <c r="N24" s="63">
        <f>'Bouwkost NB'!$Y$58</f>
        <v>0</v>
      </c>
      <c r="O24" s="66">
        <v>0.6</v>
      </c>
      <c r="P24" s="369"/>
      <c r="Q24" s="982">
        <f>N24*O24</f>
        <v>0</v>
      </c>
      <c r="S24" s="23"/>
      <c r="T24" s="23"/>
      <c r="U24" s="23"/>
      <c r="V24" s="496"/>
      <c r="W24" s="149"/>
    </row>
    <row r="25" spans="1:23" customFormat="1" ht="15" outlineLevel="1" thickBot="1" x14ac:dyDescent="0.35">
      <c r="A25" s="1220" t="s">
        <v>287</v>
      </c>
      <c r="B25" s="1221"/>
      <c r="C25" s="133"/>
      <c r="D25" s="18"/>
      <c r="E25" s="96">
        <f>MIN(E22,(E23+E24))</f>
        <v>0</v>
      </c>
      <c r="G25" s="1220" t="s">
        <v>287</v>
      </c>
      <c r="H25" s="1221"/>
      <c r="I25" s="133"/>
      <c r="J25" s="18"/>
      <c r="K25" s="96">
        <f>MIN(K22,(K23+K24))</f>
        <v>0</v>
      </c>
      <c r="M25" s="1220" t="s">
        <v>287</v>
      </c>
      <c r="N25" s="1221"/>
      <c r="O25" s="133"/>
      <c r="P25" s="18"/>
      <c r="Q25" s="96">
        <f>MIN(Q22,(Q23+Q24))</f>
        <v>0</v>
      </c>
    </row>
    <row r="26" spans="1:23" ht="14.4" outlineLevel="1" thickBot="1" x14ac:dyDescent="0.35">
      <c r="A26" s="213" t="s">
        <v>279</v>
      </c>
      <c r="B26" s="221"/>
      <c r="C26" s="225">
        <v>0.1</v>
      </c>
      <c r="D26" s="225"/>
      <c r="E26" s="224">
        <f>ROUND(E25*C26,2)</f>
        <v>0</v>
      </c>
      <c r="F26" s="246"/>
      <c r="G26" s="213" t="s">
        <v>279</v>
      </c>
      <c r="H26" s="221"/>
      <c r="I26" s="225">
        <v>0.1</v>
      </c>
      <c r="J26" s="225"/>
      <c r="K26" s="224">
        <f>ROUND(K25*I26,2)</f>
        <v>0</v>
      </c>
      <c r="M26" s="213" t="s">
        <v>279</v>
      </c>
      <c r="N26" s="221"/>
      <c r="O26" s="225">
        <v>0.1</v>
      </c>
      <c r="P26" s="225"/>
      <c r="Q26" s="224">
        <f>ROUND(Q25*O26,2)</f>
        <v>0</v>
      </c>
    </row>
    <row r="27" spans="1:23" outlineLevel="1" x14ac:dyDescent="0.3">
      <c r="A27" s="221" t="s">
        <v>64</v>
      </c>
      <c r="B27" s="221" t="s">
        <v>293</v>
      </c>
      <c r="C27" s="226">
        <f>'Overzicht BTA'!E32</f>
        <v>0</v>
      </c>
      <c r="D27" s="225">
        <f>D19</f>
        <v>0</v>
      </c>
      <c r="E27" s="224">
        <f>ROUND(E25*C27*D27,2)</f>
        <v>0</v>
      </c>
      <c r="F27" s="246"/>
      <c r="G27" s="221" t="s">
        <v>64</v>
      </c>
      <c r="H27" s="221" t="s">
        <v>293</v>
      </c>
      <c r="I27" s="226" t="str">
        <f>'Overzicht BTA'!K32</f>
        <v>per zorgvorm bekijken uit overzicht project</v>
      </c>
      <c r="J27" s="225">
        <f>J19</f>
        <v>0</v>
      </c>
      <c r="K27" s="224" t="e">
        <f>ROUND(K25*I27*J27,2)</f>
        <v>#VALUE!</v>
      </c>
      <c r="M27" s="221" t="s">
        <v>64</v>
      </c>
      <c r="N27" s="221" t="s">
        <v>293</v>
      </c>
      <c r="O27" s="226" t="str">
        <f>'Overzicht BTA'!Q32</f>
        <v>per zorgvorm bekijken uit overzicht project</v>
      </c>
      <c r="P27" s="225">
        <f>P19</f>
        <v>0</v>
      </c>
      <c r="Q27" s="224" t="e">
        <f>ROUND(Q25*O27*P27,2)</f>
        <v>#VALUE!</v>
      </c>
    </row>
    <row r="28" spans="1:23" outlineLevel="1" x14ac:dyDescent="0.3">
      <c r="A28" s="221" t="s">
        <v>294</v>
      </c>
      <c r="B28" s="221" t="s">
        <v>295</v>
      </c>
      <c r="C28" s="226">
        <v>0.21</v>
      </c>
      <c r="D28" s="225">
        <f>D20</f>
        <v>0</v>
      </c>
      <c r="E28" s="224">
        <f>ROUND(E25*C28*D28,2)</f>
        <v>0</v>
      </c>
      <c r="F28" s="246"/>
      <c r="G28" s="221" t="s">
        <v>294</v>
      </c>
      <c r="H28" s="221" t="s">
        <v>295</v>
      </c>
      <c r="I28" s="226">
        <v>0.21</v>
      </c>
      <c r="J28" s="225">
        <f>J20</f>
        <v>0</v>
      </c>
      <c r="K28" s="224">
        <f>ROUND(K25*I28*J28,2)</f>
        <v>0</v>
      </c>
      <c r="M28" s="221" t="s">
        <v>294</v>
      </c>
      <c r="N28" s="221" t="s">
        <v>295</v>
      </c>
      <c r="O28" s="226">
        <v>0.21</v>
      </c>
      <c r="P28" s="225">
        <f>P20</f>
        <v>0</v>
      </c>
      <c r="Q28" s="224">
        <f>ROUND(Q25*O28*P28,2)</f>
        <v>0</v>
      </c>
    </row>
    <row r="29" spans="1:23" ht="14.4" outlineLevel="1" thickBot="1" x14ac:dyDescent="0.35">
      <c r="A29" s="221" t="s">
        <v>64</v>
      </c>
      <c r="B29" s="50" t="s">
        <v>281</v>
      </c>
      <c r="C29" s="225">
        <v>0.21</v>
      </c>
      <c r="D29" s="227"/>
      <c r="E29" s="228">
        <f>ROUND(E26*C29,2)</f>
        <v>0</v>
      </c>
      <c r="F29" s="246"/>
      <c r="G29" s="221" t="s">
        <v>64</v>
      </c>
      <c r="H29" s="50" t="s">
        <v>281</v>
      </c>
      <c r="I29" s="225">
        <v>0.21</v>
      </c>
      <c r="J29" s="227"/>
      <c r="K29" s="228">
        <f>ROUND(K26*I29,2)</f>
        <v>0</v>
      </c>
      <c r="M29" s="221" t="s">
        <v>64</v>
      </c>
      <c r="N29" s="50" t="s">
        <v>281</v>
      </c>
      <c r="O29" s="225">
        <v>0.21</v>
      </c>
      <c r="P29" s="227"/>
      <c r="Q29" s="228">
        <f>ROUND(Q26*O29,2)</f>
        <v>0</v>
      </c>
    </row>
    <row r="30" spans="1:23" ht="14.4" outlineLevel="1" thickTop="1" x14ac:dyDescent="0.3">
      <c r="A30" s="229" t="s">
        <v>282</v>
      </c>
      <c r="B30" s="230"/>
      <c r="C30" s="231"/>
      <c r="D30" s="232"/>
      <c r="E30" s="233">
        <f>SUM(E25:E29)</f>
        <v>0</v>
      </c>
      <c r="F30" s="246"/>
      <c r="G30" s="229" t="s">
        <v>282</v>
      </c>
      <c r="H30" s="230"/>
      <c r="I30" s="231"/>
      <c r="J30" s="232"/>
      <c r="K30" s="233" t="e">
        <f>SUM(K25:K29)</f>
        <v>#VALUE!</v>
      </c>
      <c r="M30" s="229" t="s">
        <v>282</v>
      </c>
      <c r="N30" s="230"/>
      <c r="O30" s="231"/>
      <c r="P30" s="232"/>
      <c r="Q30" s="233" t="e">
        <f>SUM(Q25:Q29)</f>
        <v>#VALUE!</v>
      </c>
    </row>
    <row r="31" spans="1:23" customFormat="1" ht="15" thickBot="1" x14ac:dyDescent="0.35">
      <c r="A31" s="981"/>
      <c r="B31" s="981"/>
      <c r="C31" s="851"/>
      <c r="D31" s="852"/>
      <c r="E31" s="51"/>
      <c r="G31" s="981"/>
      <c r="H31" s="981"/>
      <c r="I31" s="851"/>
      <c r="J31" s="852"/>
      <c r="K31" s="51"/>
      <c r="M31" s="981"/>
      <c r="N31" s="981"/>
      <c r="O31" s="851"/>
      <c r="P31" s="852"/>
      <c r="Q31" s="51"/>
    </row>
    <row r="32" spans="1:23" customFormat="1" ht="15" thickBot="1" x14ac:dyDescent="0.35">
      <c r="A32" s="5" t="s">
        <v>297</v>
      </c>
      <c r="B32" s="6"/>
      <c r="C32" s="7"/>
      <c r="D32" s="18"/>
      <c r="E32" s="1">
        <f>E30+E17+E9</f>
        <v>0</v>
      </c>
      <c r="G32" s="5" t="s">
        <v>282</v>
      </c>
      <c r="H32" s="6"/>
      <c r="I32" s="7"/>
      <c r="J32" s="18"/>
      <c r="K32" s="1">
        <f>K25+K17+K9</f>
        <v>0</v>
      </c>
      <c r="M32" s="5" t="s">
        <v>282</v>
      </c>
      <c r="N32" s="6"/>
      <c r="O32" s="7"/>
      <c r="P32" s="18"/>
      <c r="Q32" s="1">
        <f>Q25+Q17+Q9</f>
        <v>0</v>
      </c>
    </row>
    <row r="33" spans="1:17" customFormat="1" ht="15" thickBot="1" x14ac:dyDescent="0.35">
      <c r="A33" s="981"/>
      <c r="B33" s="981"/>
      <c r="C33" s="851"/>
      <c r="D33" s="852"/>
      <c r="E33" s="51"/>
    </row>
    <row r="34" spans="1:17" ht="14.4" thickBot="1" x14ac:dyDescent="0.35">
      <c r="A34" s="1224" t="s">
        <v>298</v>
      </c>
      <c r="B34" s="1225"/>
      <c r="C34" s="130">
        <f>E4+E12+E25</f>
        <v>0</v>
      </c>
      <c r="D34" s="128" t="s">
        <v>289</v>
      </c>
      <c r="E34" s="492">
        <f>C34*10/6</f>
        <v>0</v>
      </c>
      <c r="G34" s="1226" t="s">
        <v>298</v>
      </c>
      <c r="H34" s="1227"/>
      <c r="I34" s="130">
        <f>K4+K12+K25</f>
        <v>0</v>
      </c>
      <c r="J34" s="235" t="s">
        <v>289</v>
      </c>
      <c r="K34" s="494">
        <f>I34*10/6</f>
        <v>0</v>
      </c>
      <c r="M34" s="1226" t="s">
        <v>298</v>
      </c>
      <c r="N34" s="1227"/>
      <c r="O34" s="130">
        <f>Q4+Q12+Q25</f>
        <v>0</v>
      </c>
      <c r="P34" s="235" t="s">
        <v>289</v>
      </c>
      <c r="Q34" s="494">
        <f>O34*10/6</f>
        <v>0</v>
      </c>
    </row>
    <row r="35" spans="1:17" x14ac:dyDescent="0.3">
      <c r="D35" s="40"/>
    </row>
    <row r="36" spans="1:17" ht="14.4" x14ac:dyDescent="0.3">
      <c r="A36" s="237" t="s">
        <v>290</v>
      </c>
      <c r="B36" s="8"/>
      <c r="C36" s="8"/>
      <c r="D36" s="40"/>
      <c r="G36" s="237" t="s">
        <v>290</v>
      </c>
      <c r="H36" s="8"/>
      <c r="I36" s="8"/>
      <c r="J36"/>
      <c r="K36"/>
      <c r="L36"/>
      <c r="M36" s="237" t="s">
        <v>290</v>
      </c>
      <c r="N36" s="8"/>
      <c r="O36" s="8"/>
    </row>
    <row r="37" spans="1:17" ht="14.4" x14ac:dyDescent="0.3">
      <c r="A37" s="8" t="s">
        <v>123</v>
      </c>
      <c r="B37" s="10">
        <f>IF('Overzicht BTA'!$D$13=0,0,IF(MATCH(Bron!$B$9,'uitgebreide raming'!$B$2:$I$2,0)=1,'uitgebreide raming'!$B6,IF(MATCH(Bron!$B$9,'uitgebreide raming'!$B$2:$I$2,0)=3,'uitgebreide raming'!$D6,IF(MATCH(Bron!$B$9,'uitgebreide raming'!$B$2:$I$2,0)=5,'uitgebreide raming'!$F6,IF(MATCH(Bron!$B$9,'uitgebreide raming'!$B$2:$I$2,0)=7,'uitgebreide raming'!$H6,0)))))</f>
        <v>0</v>
      </c>
      <c r="C37" s="9" t="e">
        <f>ROUND(B37/$B$42,2)</f>
        <v>#DIV/0!</v>
      </c>
      <c r="D37" s="40"/>
      <c r="G37" s="8" t="s">
        <v>123</v>
      </c>
      <c r="H37" s="10">
        <f>IF('Overzicht BTA'!$J$13=0,0,IF(MATCH(Bron!$B$9,'uitgebreide raming'!$B$29:$I$29,0)=1,'uitgebreide raming'!B33,IF(MATCH(Bron!$B$9,'uitgebreide raming'!$B$29:$I$29,0)=3,'uitgebreide raming'!D33,IF(MATCH(Bron!$B$9,'uitgebreide raming'!$B$29:$I$29,0)=5,'uitgebreide raming'!F33,IF(MATCH(Bron!$B$9,'uitgebreide raming'!$B$29:$I$29,0)=7,'uitgebreide raming'!H33,0)))))</f>
        <v>0</v>
      </c>
      <c r="I37" s="9" t="e">
        <f>ROUND(H37/$H$42,2)</f>
        <v>#DIV/0!</v>
      </c>
      <c r="J37"/>
      <c r="K37"/>
      <c r="L37"/>
      <c r="M37" s="8" t="s">
        <v>123</v>
      </c>
      <c r="N37" s="10">
        <f>IF('Overzicht BTA'!$P$13=0,0,IF(MATCH(Bron!$B$9,'uitgebreide raming'!$B$56:$I$56,0)=1,'uitgebreide raming'!B60,IF(MATCH(Bron!$B$9,'uitgebreide raming'!$B$56:$I$56,0)=3,'uitgebreide raming'!D60,IF(MATCH(Bron!$B$9,'uitgebreide raming'!$B$56:$I$56,0)=5,'uitgebreide raming'!F60,IF(MATCH(Bron!$B$9,'uitgebreide raming'!$B$56:$I$56,0)=7,'uitgebreide raming'!H60,0)))))</f>
        <v>0</v>
      </c>
      <c r="O37" s="9" t="e">
        <f>ROUND(N37/$N$42,2)</f>
        <v>#DIV/0!</v>
      </c>
    </row>
    <row r="38" spans="1:17" ht="14.4" x14ac:dyDescent="0.3">
      <c r="A38" s="8" t="s">
        <v>124</v>
      </c>
      <c r="B38" s="10">
        <f>IF('Overzicht BTA'!$D$13=0,0,IF(MATCH(Bron!$B$9,'uitgebreide raming'!$B$2:$I$2,0)=1,'uitgebreide raming'!$B7,IF(MATCH(Bron!$B$9,'uitgebreide raming'!$B$2:$I$2,0)=3,'uitgebreide raming'!$D7,IF(MATCH(Bron!$B$9,'uitgebreide raming'!$B$2:$I$2,0)=5,'uitgebreide raming'!$F7,IF(MATCH(Bron!$B$9,'uitgebreide raming'!$B$2:$I$2,0)=7,'uitgebreide raming'!$H7,0)))))</f>
        <v>0</v>
      </c>
      <c r="C38" s="9" t="e">
        <f t="shared" ref="C38:C42" si="0">ROUND(B38/$B$42,2)</f>
        <v>#DIV/0!</v>
      </c>
      <c r="D38" s="40"/>
      <c r="G38" s="8" t="s">
        <v>124</v>
      </c>
      <c r="H38" s="10">
        <f>IF('Overzicht BTA'!$J$13=0,0,IF(MATCH(Bron!$B$9,'uitgebreide raming'!$B$29:$I$29,0)=1,'uitgebreide raming'!B34,IF(MATCH(Bron!$B$9,'uitgebreide raming'!$B$29:$I$29,0)=3,'uitgebreide raming'!D34,IF(MATCH(Bron!$B$9,'uitgebreide raming'!$B$29:$I$29,0)=5,'uitgebreide raming'!F34,IF(MATCH(Bron!$B$9,'uitgebreide raming'!$B$29:$I$29,0)=7,'uitgebreide raming'!H34,0)))))</f>
        <v>0</v>
      </c>
      <c r="I38" s="9" t="e">
        <f t="shared" ref="I38:I42" si="1">ROUND(H38/$H$42,2)</f>
        <v>#DIV/0!</v>
      </c>
      <c r="J38"/>
      <c r="K38"/>
      <c r="L38"/>
      <c r="M38" s="8" t="s">
        <v>124</v>
      </c>
      <c r="N38" s="10">
        <f>IF('Overzicht BTA'!$P$13=0,0,IF(MATCH(Bron!$B$9,'uitgebreide raming'!$B$56:$I$56,0)=1,'uitgebreide raming'!B61,IF(MATCH(Bron!$B$9,'uitgebreide raming'!$B$56:$I$56,0)=3,'uitgebreide raming'!D61,IF(MATCH(Bron!$B$9,'uitgebreide raming'!$B$56:$I$56,0)=5,'uitgebreide raming'!F61,IF(MATCH(Bron!$B$9,'uitgebreide raming'!$B$56:$I$56,0)=7,'uitgebreide raming'!H61,0)))))</f>
        <v>0</v>
      </c>
      <c r="O38" s="9" t="e">
        <f t="shared" ref="O38:O42" si="2">ROUND(N38/$N$42,2)</f>
        <v>#DIV/0!</v>
      </c>
    </row>
    <row r="39" spans="1:17" ht="14.4" x14ac:dyDescent="0.3">
      <c r="A39" s="8" t="s">
        <v>125</v>
      </c>
      <c r="B39" s="10">
        <f>IF('Overzicht BTA'!$D$13=0,0,IF(MATCH(Bron!$B$9,'uitgebreide raming'!$B$2:$I$2,0)=1,'uitgebreide raming'!$B8,IF(MATCH(Bron!$B$9,'uitgebreide raming'!$B$2:$I$2,0)=3,'uitgebreide raming'!$D8,IF(MATCH(Bron!$B$9,'uitgebreide raming'!$B$2:$I$2,0)=5,'uitgebreide raming'!$F8,IF(MATCH(Bron!$B$9,'uitgebreide raming'!$B$2:$I$2,0)=7,'uitgebreide raming'!$H8,0)))))</f>
        <v>0</v>
      </c>
      <c r="C39" s="9" t="e">
        <f t="shared" si="0"/>
        <v>#DIV/0!</v>
      </c>
      <c r="D39" s="40"/>
      <c r="G39" s="8" t="s">
        <v>125</v>
      </c>
      <c r="H39" s="10">
        <f>IF('Overzicht BTA'!$J$13=0,0,IF(MATCH(Bron!$B$9,'uitgebreide raming'!$B$29:$I$29,0)=1,'uitgebreide raming'!B35,IF(MATCH(Bron!$B$9,'uitgebreide raming'!$B$29:$I$29,0)=3,'uitgebreide raming'!D35,IF(MATCH(Bron!$B$9,'uitgebreide raming'!$B$29:$I$29,0)=5,'uitgebreide raming'!F35,IF(MATCH(Bron!$B$9,'uitgebreide raming'!$B$29:$I$29,0)=7,'uitgebreide raming'!H35,0)))))</f>
        <v>0</v>
      </c>
      <c r="I39" s="9" t="e">
        <f t="shared" si="1"/>
        <v>#DIV/0!</v>
      </c>
      <c r="J39"/>
      <c r="K39"/>
      <c r="L39"/>
      <c r="M39" s="8" t="s">
        <v>125</v>
      </c>
      <c r="N39" s="10">
        <f>IF('Overzicht BTA'!$P$13=0,0,IF(MATCH(Bron!$B$9,'uitgebreide raming'!$B$56:$I$56,0)=1,'uitgebreide raming'!B62,IF(MATCH(Bron!$B$9,'uitgebreide raming'!$B$56:$I$56,0)=3,'uitgebreide raming'!D62,IF(MATCH(Bron!$B$9,'uitgebreide raming'!$B$56:$I$56,0)=5,'uitgebreide raming'!F62,IF(MATCH(Bron!$B$9,'uitgebreide raming'!$B$56:$I$56,0)=7,'uitgebreide raming'!H62,0)))))</f>
        <v>0</v>
      </c>
      <c r="O39" s="9" t="e">
        <f t="shared" si="2"/>
        <v>#DIV/0!</v>
      </c>
    </row>
    <row r="40" spans="1:17" ht="14.4" x14ac:dyDescent="0.3">
      <c r="A40" s="8" t="s">
        <v>126</v>
      </c>
      <c r="B40" s="10">
        <f>IF('Overzicht BTA'!$D$13=0,0,IF(MATCH(Bron!$B$9,'uitgebreide raming'!$B$2:$I$2,0)=1,'uitgebreide raming'!$B9,IF(MATCH(Bron!$B$9,'uitgebreide raming'!$B$2:$I$2,0)=3,'uitgebreide raming'!$D9,IF(MATCH(Bron!$B$9,'uitgebreide raming'!$B$2:$I$2,0)=5,'uitgebreide raming'!$F9,IF(MATCH(Bron!$B$9,'uitgebreide raming'!$B$2:$I$2,0)=7,'uitgebreide raming'!$H9,0)))))</f>
        <v>0</v>
      </c>
      <c r="C40" s="9" t="e">
        <f t="shared" si="0"/>
        <v>#DIV/0!</v>
      </c>
      <c r="D40" s="40"/>
      <c r="G40" s="8" t="s">
        <v>126</v>
      </c>
      <c r="H40" s="10">
        <f>IF('Overzicht BTA'!$J$13=0,0,IF(MATCH(Bron!$B$9,'uitgebreide raming'!$B$29:$I$29,0)=1,'uitgebreide raming'!B36,IF(MATCH(Bron!$B$9,'uitgebreide raming'!$B$29:$I$29,0)=3,'uitgebreide raming'!D36,IF(MATCH(Bron!$B$9,'uitgebreide raming'!$B$29:$I$29,0)=5,'uitgebreide raming'!F36,IF(MATCH(Bron!$B$9,'uitgebreide raming'!$B$29:$I$29,0)=7,'uitgebreide raming'!H36,0)))))</f>
        <v>0</v>
      </c>
      <c r="I40" s="9" t="e">
        <f t="shared" si="1"/>
        <v>#DIV/0!</v>
      </c>
      <c r="J40"/>
      <c r="K40"/>
      <c r="L40"/>
      <c r="M40" s="8" t="s">
        <v>126</v>
      </c>
      <c r="N40" s="10">
        <f>IF('Overzicht BTA'!$P$13=0,0,IF(MATCH(Bron!$B$9,'uitgebreide raming'!$B$56:$I$56,0)=1,'uitgebreide raming'!B63,IF(MATCH(Bron!$B$9,'uitgebreide raming'!$B$56:$I$56,0)=3,'uitgebreide raming'!D63,IF(MATCH(Bron!$B$9,'uitgebreide raming'!$B$56:$I$56,0)=5,'uitgebreide raming'!F63,IF(MATCH(Bron!$B$9,'uitgebreide raming'!$B$56:$I$56,0)=7,'uitgebreide raming'!H63,0)))))</f>
        <v>0</v>
      </c>
      <c r="O40" s="9" t="e">
        <f t="shared" si="2"/>
        <v>#DIV/0!</v>
      </c>
    </row>
    <row r="41" spans="1:17" ht="27.6" x14ac:dyDescent="0.3">
      <c r="A41" s="8" t="s">
        <v>127</v>
      </c>
      <c r="B41" s="10">
        <f>IF('Overzicht BTA'!$D$13=0,0,IF(MATCH(Bron!$B$9,'uitgebreide raming'!$B$2:$I$2,0)=1,'uitgebreide raming'!$B10,IF(MATCH(Bron!$B$9,'uitgebreide raming'!$B$2:$I$2,0)=3,'uitgebreide raming'!$D10,IF(MATCH(Bron!$B$9,'uitgebreide raming'!$B$2:$I$2,0)=5,'uitgebreide raming'!$F10,IF(MATCH(Bron!$B$9,'uitgebreide raming'!$B$2:$I$2,0)=7,'uitgebreide raming'!$H10,0)))))</f>
        <v>0</v>
      </c>
      <c r="C41" s="9" t="e">
        <f t="shared" si="0"/>
        <v>#DIV/0!</v>
      </c>
      <c r="G41" s="8" t="s">
        <v>127</v>
      </c>
      <c r="H41" s="10">
        <f>IF('Overzicht BTA'!$J$13=0,0,IF(MATCH(Bron!$B$9,'uitgebreide raming'!$B$29:$I$29,0)=1,'uitgebreide raming'!B37,IF(MATCH(Bron!$B$9,'uitgebreide raming'!$B$29:$I$29,0)=3,'uitgebreide raming'!D37,IF(MATCH(Bron!$B$9,'uitgebreide raming'!$B$29:$I$29,0)=5,'uitgebreide raming'!F37,IF(MATCH(Bron!$B$9,'uitgebreide raming'!$B$29:$I$29,0)=7,'uitgebreide raming'!H37,0)))))</f>
        <v>0</v>
      </c>
      <c r="I41" s="9" t="e">
        <f t="shared" si="1"/>
        <v>#DIV/0!</v>
      </c>
      <c r="J41"/>
      <c r="K41"/>
      <c r="L41"/>
      <c r="M41" s="8" t="s">
        <v>127</v>
      </c>
      <c r="N41" s="10">
        <f>IF('Overzicht BTA'!$P$13=0,0,IF(MATCH(Bron!$B$9,'uitgebreide raming'!$B$56:$I$56,0)=1,'uitgebreide raming'!B64,IF(MATCH(Bron!$B$9,'uitgebreide raming'!$B$56:$I$56,0)=3,'uitgebreide raming'!D64,IF(MATCH(Bron!$B$9,'uitgebreide raming'!$B$56:$I$56,0)=5,'uitgebreide raming'!F64,IF(MATCH(Bron!$B$9,'uitgebreide raming'!$B$56:$I$56,0)=7,'uitgebreide raming'!H64,0)))))</f>
        <v>0</v>
      </c>
      <c r="O41" s="9" t="e">
        <f t="shared" si="2"/>
        <v>#DIV/0!</v>
      </c>
    </row>
    <row r="42" spans="1:17" ht="14.4" x14ac:dyDescent="0.3">
      <c r="A42" s="8" t="s">
        <v>110</v>
      </c>
      <c r="B42" s="10">
        <f>IF('Overzicht BTA'!$D$13=0,0,IF(MATCH(Bron!$B$9,'uitgebreide raming'!$B$2:$I$2,0)=1,'uitgebreide raming'!$B11,IF(MATCH(Bron!$B$9,'uitgebreide raming'!$B$2:$I$2,0)=3,'uitgebreide raming'!$D11,IF(MATCH(Bron!$B$9,'uitgebreide raming'!$B$2:$I$2,0)=5,'uitgebreide raming'!$F11,IF(MATCH(Bron!$B$9,'uitgebreide raming'!$B$2:$I$2,0)=7,'uitgebreide raming'!$H11,0)))))</f>
        <v>0</v>
      </c>
      <c r="C42" s="9" t="e">
        <f t="shared" si="0"/>
        <v>#DIV/0!</v>
      </c>
      <c r="G42" s="8" t="s">
        <v>110</v>
      </c>
      <c r="H42" s="10">
        <f>IF('Overzicht BTA'!$J$13=0,0,IF(MATCH(Bron!$B$9,'uitgebreide raming'!$B$29:$I$29,0)=1,'uitgebreide raming'!B38,IF(MATCH(Bron!$B$9,'uitgebreide raming'!$B$29:$I$29,0)=3,'uitgebreide raming'!D38,IF(MATCH(Bron!$B$9,'uitgebreide raming'!$B$29:$I$29,0)=5,'uitgebreide raming'!F38,IF(MATCH(Bron!$B$9,'uitgebreide raming'!$B$29:$I$29,0)=7,'uitgebreide raming'!H38,0)))))</f>
        <v>0</v>
      </c>
      <c r="I42" s="9" t="e">
        <f t="shared" si="1"/>
        <v>#DIV/0!</v>
      </c>
      <c r="J42"/>
      <c r="K42"/>
      <c r="L42"/>
      <c r="M42" s="8" t="s">
        <v>110</v>
      </c>
      <c r="N42" s="10">
        <f>IF('Overzicht BTA'!$P$13=0,0,IF(MATCH(Bron!$B$9,'uitgebreide raming'!$B$56:$I$56,0)=1,'uitgebreide raming'!B65,IF(MATCH(Bron!$B$9,'uitgebreide raming'!$B$56:$I$56,0)=3,'uitgebreide raming'!D65,IF(MATCH(Bron!$B$9,'uitgebreide raming'!$B$56:$I$56,0)=5,'uitgebreide raming'!F65,IF(MATCH(Bron!$B$9,'uitgebreide raming'!$B$56:$I$56,0)=7,'uitgebreide raming'!H65,0)))))</f>
        <v>0</v>
      </c>
      <c r="O42" s="9" t="e">
        <f t="shared" si="2"/>
        <v>#DIV/0!</v>
      </c>
    </row>
    <row r="44" spans="1:17" ht="18" x14ac:dyDescent="0.3">
      <c r="A44" s="1223" t="s">
        <v>91</v>
      </c>
      <c r="B44" s="1223"/>
      <c r="C44" s="1223"/>
      <c r="D44" s="1223"/>
      <c r="E44" s="1223"/>
      <c r="F44" s="1223"/>
      <c r="G44" s="1223"/>
      <c r="H44" s="1223"/>
      <c r="I44" s="1223"/>
      <c r="J44" s="1223"/>
      <c r="K44" s="1223"/>
      <c r="L44" s="1223"/>
      <c r="M44" s="1223"/>
      <c r="N44" s="1223"/>
      <c r="O44" s="1223"/>
      <c r="P44" s="1223"/>
      <c r="Q44" s="1223"/>
    </row>
    <row r="45" spans="1:17" ht="14.4" outlineLevel="1" x14ac:dyDescent="0.3">
      <c r="A45" s="106" t="s">
        <v>292</v>
      </c>
      <c r="B45" s="106" t="str">
        <f>B1</f>
        <v>Kies de zorgvorm</v>
      </c>
      <c r="C45" s="54"/>
      <c r="D45" s="54"/>
      <c r="E45" s="54"/>
      <c r="F45" s="54"/>
      <c r="G45" s="106" t="s">
        <v>292</v>
      </c>
      <c r="H45" s="106" t="str">
        <f>H1</f>
        <v>Kies de zorgvorm</v>
      </c>
      <c r="I45" s="106"/>
      <c r="J45" s="106"/>
      <c r="K45" s="54"/>
      <c r="L45" s="54"/>
      <c r="M45" s="106" t="s">
        <v>292</v>
      </c>
      <c r="N45" s="106" t="str">
        <f>N1</f>
        <v>Kies de zorgvorm</v>
      </c>
      <c r="O45" s="54"/>
      <c r="P45" s="54"/>
      <c r="Q45" s="54"/>
    </row>
    <row r="46" spans="1:17" outlineLevel="1" x14ac:dyDescent="0.3">
      <c r="A46" s="521" t="s">
        <v>70</v>
      </c>
      <c r="B46" s="135"/>
      <c r="C46" s="135"/>
      <c r="D46" s="135"/>
      <c r="E46" s="136"/>
      <c r="F46" s="23"/>
      <c r="G46" s="521" t="s">
        <v>70</v>
      </c>
      <c r="H46" s="222"/>
      <c r="I46" s="222"/>
      <c r="J46" s="222"/>
      <c r="K46" s="223"/>
      <c r="M46" s="521" t="s">
        <v>70</v>
      </c>
      <c r="N46" s="222"/>
      <c r="O46" s="222"/>
      <c r="P46" s="222"/>
      <c r="Q46" s="223"/>
    </row>
    <row r="47" spans="1:17" ht="14.4" outlineLevel="1" thickBot="1" x14ac:dyDescent="0.35">
      <c r="A47" s="372" t="s">
        <v>274</v>
      </c>
      <c r="B47" s="369" t="s">
        <v>275</v>
      </c>
      <c r="C47" s="369" t="s">
        <v>276</v>
      </c>
      <c r="D47" s="369"/>
      <c r="E47" s="369" t="s">
        <v>277</v>
      </c>
      <c r="F47" s="23"/>
      <c r="G47" s="373" t="s">
        <v>274</v>
      </c>
      <c r="H47" s="374" t="s">
        <v>275</v>
      </c>
      <c r="I47" s="374" t="s">
        <v>276</v>
      </c>
      <c r="J47" s="374"/>
      <c r="K47" s="374" t="s">
        <v>277</v>
      </c>
      <c r="M47" s="373" t="s">
        <v>274</v>
      </c>
      <c r="N47" s="374" t="s">
        <v>275</v>
      </c>
      <c r="O47" s="374" t="s">
        <v>276</v>
      </c>
      <c r="P47" s="374"/>
      <c r="Q47" s="374" t="s">
        <v>277</v>
      </c>
    </row>
    <row r="48" spans="1:17" ht="14.4" outlineLevel="1" thickBot="1" x14ac:dyDescent="0.35">
      <c r="A48" s="368">
        <f>ROUND(IF(ISNUMBER(MATCH(A46,'Overzicht BTA'!B51:B54,0)),MIN(VLOOKUP('Overzicht BTA'!B57,'Overzicht BTA'!B51:D54,3,FALSE),'Overzicht BTA'!D57),0),2)</f>
        <v>0</v>
      </c>
      <c r="B48" s="904">
        <f>VLOOKUP(B45,'Capaciteiten &amp; forfaits'!$B$3:$H$76,4,FALSE)</f>
        <v>0</v>
      </c>
      <c r="C48" s="370">
        <f>'Overzicht BTA'!$D$37</f>
        <v>2.3958200000000001</v>
      </c>
      <c r="D48" s="369"/>
      <c r="E48" s="220">
        <f>ROUND(A48*B48*C48,2)</f>
        <v>0</v>
      </c>
      <c r="F48" s="25"/>
      <c r="G48" s="368">
        <f>ROUND(IF(ISNUMBER(MATCH(G46,'Overzicht BTA'!H51:H54,0)),MIN(VLOOKUP('Overzicht BTA'!H57,'Overzicht BTA'!H51:J54,3,FALSE),'Overzicht BTA'!J57),0),2)</f>
        <v>0</v>
      </c>
      <c r="H48" s="904">
        <f>VLOOKUP(H45,'Capaciteiten &amp; forfaits'!$B$3:$H$76,4,FALSE)</f>
        <v>0</v>
      </c>
      <c r="I48" s="375">
        <f>'Overzicht BTA'!$I$37</f>
        <v>2.3958200000000001</v>
      </c>
      <c r="J48" s="374"/>
      <c r="K48" s="220">
        <f>ROUND(G48*H48*I48,2)</f>
        <v>0</v>
      </c>
      <c r="M48" s="368">
        <f>ROUND(IF(ISNUMBER(MATCH(M46,'Overzicht BTA'!N51:N54,0)),MIN(VLOOKUP('Overzicht BTA'!N57,'Overzicht BTA'!N51:P54,3,FALSE),'Overzicht BTA'!P57),0),2)</f>
        <v>0</v>
      </c>
      <c r="N48" s="904">
        <f>VLOOKUP(N45,'Capaciteiten &amp; forfaits'!$B$3:$H$76,4,FALSE)</f>
        <v>0</v>
      </c>
      <c r="O48" s="375">
        <f>'Overzicht BTA'!$O$37</f>
        <v>2.3958200000000001</v>
      </c>
      <c r="P48" s="374"/>
      <c r="Q48" s="220">
        <f>ROUND(M48*N48*O48,2)</f>
        <v>0</v>
      </c>
    </row>
    <row r="49" spans="1:23" ht="14.4" outlineLevel="1" thickBot="1" x14ac:dyDescent="0.35">
      <c r="A49" s="5" t="s">
        <v>279</v>
      </c>
      <c r="B49" s="8"/>
      <c r="C49" s="9">
        <v>0.1</v>
      </c>
      <c r="D49" s="9"/>
      <c r="E49" s="24">
        <f>ROUND(E48*C49,2)</f>
        <v>0</v>
      </c>
      <c r="F49" s="25"/>
      <c r="G49" s="213" t="s">
        <v>279</v>
      </c>
      <c r="H49" s="221"/>
      <c r="I49" s="225">
        <v>0.1</v>
      </c>
      <c r="J49" s="225"/>
      <c r="K49" s="24">
        <f>ROUND(K48*I49,2)</f>
        <v>0</v>
      </c>
      <c r="M49" s="213" t="s">
        <v>279</v>
      </c>
      <c r="N49" s="221"/>
      <c r="O49" s="225">
        <v>0.1</v>
      </c>
      <c r="P49" s="225"/>
      <c r="Q49" s="24">
        <f>ROUND(Q48*O49,2)</f>
        <v>0</v>
      </c>
    </row>
    <row r="50" spans="1:23" outlineLevel="1" x14ac:dyDescent="0.3">
      <c r="A50" s="8" t="s">
        <v>64</v>
      </c>
      <c r="B50" s="8" t="s">
        <v>293</v>
      </c>
      <c r="C50" s="97">
        <f>'Overzicht BTA'!C57</f>
        <v>0</v>
      </c>
      <c r="D50" s="9">
        <f>IFERROR(C84,0)</f>
        <v>0</v>
      </c>
      <c r="E50" s="24">
        <f>ROUND(E48*C50*D50,2)</f>
        <v>0</v>
      </c>
      <c r="F50" s="25"/>
      <c r="G50" s="221" t="s">
        <v>64</v>
      </c>
      <c r="H50" s="221" t="s">
        <v>293</v>
      </c>
      <c r="I50" s="97">
        <f>'Overzicht BTA'!I57</f>
        <v>0</v>
      </c>
      <c r="J50" s="9">
        <f>IFERROR(I84,0)</f>
        <v>0</v>
      </c>
      <c r="K50" s="24">
        <f>ROUND(K48*I50*J50,2)</f>
        <v>0</v>
      </c>
      <c r="M50" s="221" t="s">
        <v>64</v>
      </c>
      <c r="N50" s="221" t="s">
        <v>293</v>
      </c>
      <c r="O50" s="97">
        <f>'Overzicht BTA'!O57</f>
        <v>0</v>
      </c>
      <c r="P50" s="9">
        <f>IFERROR(O84,0)</f>
        <v>0</v>
      </c>
      <c r="Q50" s="24">
        <f>ROUND(Q48*O50*P50,2)</f>
        <v>0</v>
      </c>
    </row>
    <row r="51" spans="1:23" outlineLevel="1" x14ac:dyDescent="0.3">
      <c r="A51" s="8" t="s">
        <v>294</v>
      </c>
      <c r="B51" s="8" t="s">
        <v>295</v>
      </c>
      <c r="C51" s="97">
        <v>0.21</v>
      </c>
      <c r="D51" s="9">
        <f>IFERROR(C85,0)</f>
        <v>0</v>
      </c>
      <c r="E51" s="24">
        <f>ROUND(E48*C51*D51,2)</f>
        <v>0</v>
      </c>
      <c r="F51" s="25"/>
      <c r="G51" s="221" t="s">
        <v>294</v>
      </c>
      <c r="H51" s="221" t="s">
        <v>295</v>
      </c>
      <c r="I51" s="226">
        <v>0.21</v>
      </c>
      <c r="J51" s="9">
        <f>IFERROR(I85,0)</f>
        <v>0</v>
      </c>
      <c r="K51" s="24">
        <f>ROUND(K48*I51*J51,2)</f>
        <v>0</v>
      </c>
      <c r="M51" s="221" t="s">
        <v>294</v>
      </c>
      <c r="N51" s="221" t="s">
        <v>295</v>
      </c>
      <c r="O51" s="226">
        <v>0.21</v>
      </c>
      <c r="P51" s="9">
        <f>IFERROR(O85,0)</f>
        <v>0</v>
      </c>
      <c r="Q51" s="24">
        <f>ROUND(Q48*O51*P51,2)</f>
        <v>0</v>
      </c>
    </row>
    <row r="52" spans="1:23" ht="14.4" outlineLevel="1" thickBot="1" x14ac:dyDescent="0.35">
      <c r="A52" s="8" t="s">
        <v>64</v>
      </c>
      <c r="B52" s="50" t="s">
        <v>281</v>
      </c>
      <c r="C52" s="9">
        <v>0.21</v>
      </c>
      <c r="D52" s="26"/>
      <c r="E52" s="27">
        <f>ROUND(E49*C52,2)</f>
        <v>0</v>
      </c>
      <c r="F52" s="25"/>
      <c r="G52" s="221" t="s">
        <v>64</v>
      </c>
      <c r="H52" s="50" t="s">
        <v>281</v>
      </c>
      <c r="I52" s="225">
        <v>0.21</v>
      </c>
      <c r="J52" s="227"/>
      <c r="K52" s="27">
        <f>ROUND(K49*I52,2)</f>
        <v>0</v>
      </c>
      <c r="M52" s="221" t="s">
        <v>64</v>
      </c>
      <c r="N52" s="50" t="s">
        <v>281</v>
      </c>
      <c r="O52" s="225">
        <v>0.21</v>
      </c>
      <c r="P52" s="227"/>
      <c r="Q52" s="27">
        <f>ROUND(Q49*O52,2)</f>
        <v>0</v>
      </c>
    </row>
    <row r="53" spans="1:23" ht="14.4" outlineLevel="1" thickTop="1" x14ac:dyDescent="0.3">
      <c r="A53" s="28" t="s">
        <v>282</v>
      </c>
      <c r="B53" s="29"/>
      <c r="C53" s="30"/>
      <c r="D53" s="31"/>
      <c r="E53" s="95">
        <f>SUM(E48:E52)</f>
        <v>0</v>
      </c>
      <c r="F53" s="25"/>
      <c r="G53" s="229" t="s">
        <v>282</v>
      </c>
      <c r="H53" s="230"/>
      <c r="I53" s="231"/>
      <c r="J53" s="232"/>
      <c r="K53" s="233">
        <f>SUM(K48:K52)</f>
        <v>0</v>
      </c>
      <c r="M53" s="229" t="s">
        <v>282</v>
      </c>
      <c r="N53" s="230"/>
      <c r="O53" s="231"/>
      <c r="P53" s="232"/>
      <c r="Q53" s="233">
        <f>SUM(Q48:Q52)</f>
        <v>0</v>
      </c>
    </row>
    <row r="54" spans="1:23" outlineLevel="1" x14ac:dyDescent="0.3">
      <c r="A54" s="521" t="s">
        <v>70</v>
      </c>
      <c r="B54" s="138"/>
      <c r="C54" s="138"/>
      <c r="D54" s="138"/>
      <c r="E54" s="138"/>
      <c r="F54" s="25"/>
      <c r="G54" s="521" t="s">
        <v>70</v>
      </c>
      <c r="H54" s="138"/>
      <c r="I54" s="138"/>
      <c r="J54" s="138"/>
      <c r="K54" s="138"/>
      <c r="M54" s="521" t="s">
        <v>70</v>
      </c>
      <c r="N54" s="138"/>
      <c r="O54" s="138"/>
      <c r="P54" s="138"/>
      <c r="Q54" s="138"/>
    </row>
    <row r="55" spans="1:23" ht="14.4" outlineLevel="1" thickBot="1" x14ac:dyDescent="0.35">
      <c r="A55" s="372" t="s">
        <v>274</v>
      </c>
      <c r="B55" s="369" t="s">
        <v>275</v>
      </c>
      <c r="C55" s="369" t="s">
        <v>276</v>
      </c>
      <c r="D55" s="369"/>
      <c r="E55" s="369" t="s">
        <v>277</v>
      </c>
      <c r="F55" s="25"/>
      <c r="G55" s="373" t="s">
        <v>274</v>
      </c>
      <c r="H55" s="374" t="s">
        <v>275</v>
      </c>
      <c r="I55" s="374" t="s">
        <v>276</v>
      </c>
      <c r="J55" s="374"/>
      <c r="K55" s="374" t="s">
        <v>277</v>
      </c>
      <c r="M55" s="373" t="s">
        <v>274</v>
      </c>
      <c r="N55" s="374" t="s">
        <v>275</v>
      </c>
      <c r="O55" s="374" t="s">
        <v>276</v>
      </c>
      <c r="P55" s="374"/>
      <c r="Q55" s="374" t="s">
        <v>277</v>
      </c>
    </row>
    <row r="56" spans="1:23" ht="14.4" outlineLevel="1" thickBot="1" x14ac:dyDescent="0.35">
      <c r="A56" s="368">
        <f>IFERROR(ROUND(MAX(VLOOKUP('Overzicht BTA'!B57,'Overzicht BTA'!B51:D54,3,FALSE)-A48,0),2),0)</f>
        <v>0</v>
      </c>
      <c r="B56" s="904">
        <f>VLOOKUP(B45,'Capaciteiten &amp; forfaits'!$B$3:$H$76,4,FALSE)</f>
        <v>0</v>
      </c>
      <c r="C56" s="375">
        <f>'Overzicht BTA'!$O$37</f>
        <v>2.3958200000000001</v>
      </c>
      <c r="D56" s="369"/>
      <c r="E56" s="220">
        <f>ROUND(A56*B56*C56,2)</f>
        <v>0</v>
      </c>
      <c r="F56" s="25"/>
      <c r="G56" s="368">
        <f>ROUND(MAX(VLOOKUP('Overzicht BTA'!H57,'Overzicht BTA'!H51:J54,3)-G48,0),2)</f>
        <v>0</v>
      </c>
      <c r="H56" s="904">
        <f>VLOOKUP(H45,'Capaciteiten &amp; forfaits'!$B$3:$H$76,4,FALSE)</f>
        <v>0</v>
      </c>
      <c r="I56" s="375">
        <f>'Overzicht BTA'!$O$37</f>
        <v>2.3958200000000001</v>
      </c>
      <c r="J56" s="374"/>
      <c r="K56" s="220">
        <f>ROUND(G56*H56*I56,2)</f>
        <v>0</v>
      </c>
      <c r="M56" s="368">
        <f>ROUND(MAX(VLOOKUP('Overzicht BTA'!N57,'Overzicht BTA'!N51:P54,3)-M48,0),2)</f>
        <v>0</v>
      </c>
      <c r="N56" s="904">
        <f>VLOOKUP(N45,'Capaciteiten &amp; forfaits'!$B$3:$H$76,4,FALSE)</f>
        <v>0</v>
      </c>
      <c r="O56" s="375">
        <f>'Overzicht BTA'!$O$37</f>
        <v>2.3958200000000001</v>
      </c>
      <c r="P56" s="374"/>
      <c r="Q56" s="220">
        <f>ROUND(M56*N56*O56,2)</f>
        <v>0</v>
      </c>
    </row>
    <row r="57" spans="1:23" ht="14.4" outlineLevel="1" thickBot="1" x14ac:dyDescent="0.35">
      <c r="A57" s="5" t="s">
        <v>279</v>
      </c>
      <c r="B57" s="8"/>
      <c r="C57" s="9">
        <v>0.1</v>
      </c>
      <c r="D57" s="9"/>
      <c r="E57" s="24">
        <f>ROUND(E56*C57,2)</f>
        <v>0</v>
      </c>
      <c r="F57" s="25"/>
      <c r="G57" s="213" t="s">
        <v>279</v>
      </c>
      <c r="H57" s="221"/>
      <c r="I57" s="225">
        <v>0.1</v>
      </c>
      <c r="J57" s="225"/>
      <c r="K57" s="24">
        <f>ROUND(K56*I57,2)</f>
        <v>0</v>
      </c>
      <c r="M57" s="213" t="s">
        <v>279</v>
      </c>
      <c r="N57" s="221"/>
      <c r="O57" s="225">
        <v>0.1</v>
      </c>
      <c r="P57" s="225"/>
      <c r="Q57" s="24">
        <f>ROUND(Q56*O57,2)</f>
        <v>0</v>
      </c>
    </row>
    <row r="58" spans="1:23" outlineLevel="1" x14ac:dyDescent="0.3">
      <c r="A58" s="8" t="s">
        <v>64</v>
      </c>
      <c r="B58" s="8" t="s">
        <v>293</v>
      </c>
      <c r="C58" s="97">
        <f>'Overzicht BTA'!E63</f>
        <v>0</v>
      </c>
      <c r="D58" s="9">
        <f>IFERROR(C84,0)</f>
        <v>0</v>
      </c>
      <c r="E58" s="24">
        <f>ROUND(E56*C58*D58,2)</f>
        <v>0</v>
      </c>
      <c r="F58" s="25"/>
      <c r="G58" s="221" t="s">
        <v>64</v>
      </c>
      <c r="H58" s="221" t="s">
        <v>293</v>
      </c>
      <c r="I58" s="97">
        <f>'Overzicht BTA'!K63</f>
        <v>0</v>
      </c>
      <c r="J58" s="9">
        <f>IFERROR(I84,0)</f>
        <v>0</v>
      </c>
      <c r="K58" s="24">
        <f>ROUND(K56*I58*J58,2)</f>
        <v>0</v>
      </c>
      <c r="M58" s="221" t="s">
        <v>64</v>
      </c>
      <c r="N58" s="221" t="s">
        <v>293</v>
      </c>
      <c r="O58" s="97">
        <f>'Overzicht BTA'!Q63</f>
        <v>0</v>
      </c>
      <c r="P58" s="9">
        <f>IFERROR(O84,0)</f>
        <v>0</v>
      </c>
      <c r="Q58" s="24">
        <f>ROUND(Q56*O58*P58,2)</f>
        <v>0</v>
      </c>
    </row>
    <row r="59" spans="1:23" outlineLevel="1" x14ac:dyDescent="0.3">
      <c r="A59" s="8" t="s">
        <v>294</v>
      </c>
      <c r="B59" s="8" t="s">
        <v>295</v>
      </c>
      <c r="C59" s="97">
        <v>0.21</v>
      </c>
      <c r="D59" s="9">
        <f>IFERROR(C85,0)</f>
        <v>0</v>
      </c>
      <c r="E59" s="24">
        <f>ROUND(E56*C59*D59,2)</f>
        <v>0</v>
      </c>
      <c r="F59" s="25"/>
      <c r="G59" s="221" t="s">
        <v>294</v>
      </c>
      <c r="H59" s="221" t="s">
        <v>295</v>
      </c>
      <c r="I59" s="226">
        <v>0.21</v>
      </c>
      <c r="J59" s="9">
        <f>IFERROR(I85,0)</f>
        <v>0</v>
      </c>
      <c r="K59" s="24">
        <f>ROUND(K56*I59*J59,2)</f>
        <v>0</v>
      </c>
      <c r="M59" s="221" t="s">
        <v>294</v>
      </c>
      <c r="N59" s="221" t="s">
        <v>295</v>
      </c>
      <c r="O59" s="226">
        <v>0.21</v>
      </c>
      <c r="P59" s="9">
        <f>IFERROR(O85,0)</f>
        <v>0</v>
      </c>
      <c r="Q59" s="24">
        <f>ROUND(Q56*O59*P59,2)</f>
        <v>0</v>
      </c>
    </row>
    <row r="60" spans="1:23" ht="14.4" outlineLevel="1" thickBot="1" x14ac:dyDescent="0.35">
      <c r="A60" s="8" t="s">
        <v>64</v>
      </c>
      <c r="B60" s="50" t="s">
        <v>281</v>
      </c>
      <c r="C60" s="9">
        <v>0.21</v>
      </c>
      <c r="D60" s="26"/>
      <c r="E60" s="27">
        <f>ROUND(E57*C60,2)</f>
        <v>0</v>
      </c>
      <c r="F60" s="25"/>
      <c r="G60" s="221" t="s">
        <v>64</v>
      </c>
      <c r="H60" s="50" t="s">
        <v>281</v>
      </c>
      <c r="I60" s="225">
        <v>0.21</v>
      </c>
      <c r="J60" s="227"/>
      <c r="K60" s="27">
        <f>ROUND(K57*I60,2)</f>
        <v>0</v>
      </c>
      <c r="M60" s="221" t="s">
        <v>64</v>
      </c>
      <c r="N60" s="50" t="s">
        <v>281</v>
      </c>
      <c r="O60" s="225">
        <v>0.21</v>
      </c>
      <c r="P60" s="227"/>
      <c r="Q60" s="27">
        <f>ROUND(Q57*O60,2)</f>
        <v>0</v>
      </c>
    </row>
    <row r="61" spans="1:23" ht="14.4" outlineLevel="1" thickTop="1" x14ac:dyDescent="0.3">
      <c r="A61" s="28" t="s">
        <v>282</v>
      </c>
      <c r="B61" s="29"/>
      <c r="C61" s="30"/>
      <c r="D61" s="31"/>
      <c r="E61" s="95">
        <f>SUM(E56:E60)</f>
        <v>0</v>
      </c>
      <c r="F61" s="25"/>
      <c r="G61" s="229" t="s">
        <v>282</v>
      </c>
      <c r="H61" s="230"/>
      <c r="I61" s="231"/>
      <c r="J61" s="232"/>
      <c r="K61" s="233">
        <f>SUM(K56:K60)</f>
        <v>0</v>
      </c>
      <c r="M61" s="229" t="s">
        <v>282</v>
      </c>
      <c r="N61" s="230"/>
      <c r="O61" s="231"/>
      <c r="P61" s="232"/>
      <c r="Q61" s="233">
        <f>SUM(Q56:Q60)</f>
        <v>0</v>
      </c>
    </row>
    <row r="62" spans="1:23" outlineLevel="1" x14ac:dyDescent="0.3">
      <c r="A62" s="23" t="s">
        <v>110</v>
      </c>
      <c r="B62" s="23"/>
      <c r="C62" s="23"/>
      <c r="D62" s="23"/>
      <c r="E62" s="496">
        <f>E61+E53</f>
        <v>0</v>
      </c>
      <c r="F62" s="25"/>
      <c r="G62" s="23" t="s">
        <v>110</v>
      </c>
      <c r="H62" s="243"/>
      <c r="I62" s="243"/>
      <c r="J62" s="243"/>
      <c r="K62" s="497">
        <f>K53+K61</f>
        <v>0</v>
      </c>
      <c r="M62" s="23" t="s">
        <v>110</v>
      </c>
      <c r="N62" s="243"/>
      <c r="O62" s="243"/>
      <c r="P62" s="243"/>
      <c r="Q62" s="497">
        <f>Q53+Q61</f>
        <v>0</v>
      </c>
    </row>
    <row r="63" spans="1:23" ht="14.4" outlineLevel="1" thickBot="1" x14ac:dyDescent="0.35"/>
    <row r="64" spans="1:23" customFormat="1" ht="15" outlineLevel="1" thickBot="1" x14ac:dyDescent="0.35">
      <c r="A64" s="376" t="s">
        <v>283</v>
      </c>
      <c r="B64" s="140"/>
      <c r="C64" s="140"/>
      <c r="D64" s="141"/>
      <c r="E64" s="141"/>
      <c r="G64" s="376" t="s">
        <v>283</v>
      </c>
      <c r="H64" s="140"/>
      <c r="I64" s="140"/>
      <c r="J64" s="141"/>
      <c r="K64" s="141"/>
      <c r="M64" s="376" t="s">
        <v>283</v>
      </c>
      <c r="N64" s="140"/>
      <c r="O64" s="140"/>
      <c r="P64" s="141"/>
      <c r="Q64" s="141"/>
      <c r="S64" s="23"/>
      <c r="T64" s="23"/>
      <c r="U64" s="23"/>
      <c r="V64" s="496"/>
      <c r="W64" s="149"/>
    </row>
    <row r="65" spans="1:23" customFormat="1" ht="15" outlineLevel="1" thickBot="1" x14ac:dyDescent="0.35">
      <c r="A65" s="372" t="s">
        <v>274</v>
      </c>
      <c r="B65" s="370" t="s">
        <v>275</v>
      </c>
      <c r="C65" s="370" t="s">
        <v>276</v>
      </c>
      <c r="D65" s="369"/>
      <c r="E65" s="370" t="s">
        <v>277</v>
      </c>
      <c r="G65" s="372" t="s">
        <v>274</v>
      </c>
      <c r="H65" s="370" t="s">
        <v>275</v>
      </c>
      <c r="I65" s="370" t="s">
        <v>276</v>
      </c>
      <c r="J65" s="369"/>
      <c r="K65" s="370" t="s">
        <v>277</v>
      </c>
      <c r="M65" s="372" t="s">
        <v>274</v>
      </c>
      <c r="N65" s="370" t="s">
        <v>275</v>
      </c>
      <c r="O65" s="370" t="s">
        <v>276</v>
      </c>
      <c r="P65" s="369"/>
      <c r="Q65" s="370" t="s">
        <v>277</v>
      </c>
      <c r="S65" s="23"/>
      <c r="T65" s="23"/>
      <c r="U65" s="23"/>
      <c r="V65" s="496"/>
      <c r="W65" s="149"/>
    </row>
    <row r="66" spans="1:23" customFormat="1" ht="15" outlineLevel="1" thickBot="1" x14ac:dyDescent="0.35">
      <c r="A66" s="1001">
        <f>MIN($A$4,'Bouwkost NB'!$E$91)</f>
        <v>0</v>
      </c>
      <c r="B66" s="904">
        <f>IF(B45=Bron!$E$40,55,0)</f>
        <v>0</v>
      </c>
      <c r="C66" s="370">
        <f>C48</f>
        <v>2.3958200000000001</v>
      </c>
      <c r="D66" s="369"/>
      <c r="E66" s="982">
        <f>ROUND(A66*B66*C66,2)</f>
        <v>0</v>
      </c>
      <c r="G66" s="1002">
        <f>MIN($G$4,'Bouwkost NB'!$N$91)</f>
        <v>0</v>
      </c>
      <c r="H66" s="904">
        <f>IF(H45=Bron!$E$40,55,0)</f>
        <v>0</v>
      </c>
      <c r="I66" s="370">
        <f>I48</f>
        <v>2.3958200000000001</v>
      </c>
      <c r="J66" s="369"/>
      <c r="K66" s="982">
        <f>ROUND(G66*H66*I66,2)</f>
        <v>0</v>
      </c>
      <c r="M66" s="1002">
        <f>MIN($M$4,'Bouwkost NB'!$Y$91)</f>
        <v>0</v>
      </c>
      <c r="N66" s="904">
        <f>IF(N45=Bron!$E$40,55,0)</f>
        <v>0</v>
      </c>
      <c r="O66" s="370">
        <f>O48</f>
        <v>2.3958200000000001</v>
      </c>
      <c r="P66" s="369"/>
      <c r="Q66" s="982">
        <f>ROUND(M66*N66*O66,2)</f>
        <v>0</v>
      </c>
      <c r="S66" s="23"/>
      <c r="T66" s="23"/>
      <c r="U66" s="23"/>
      <c r="V66" s="496"/>
      <c r="W66" s="149"/>
    </row>
    <row r="67" spans="1:23" customFormat="1" ht="15" outlineLevel="1" thickBot="1" x14ac:dyDescent="0.35">
      <c r="A67" s="368" t="s">
        <v>285</v>
      </c>
      <c r="B67" s="63">
        <f>'Bouwkost NB'!$E$52</f>
        <v>0</v>
      </c>
      <c r="C67" s="66">
        <v>0.6</v>
      </c>
      <c r="D67" s="369"/>
      <c r="E67" s="982">
        <f>B67*C67</f>
        <v>0</v>
      </c>
      <c r="G67" s="65" t="s">
        <v>285</v>
      </c>
      <c r="H67" s="63">
        <f>'Bouwkost NB'!$N$52</f>
        <v>0</v>
      </c>
      <c r="I67" s="66">
        <v>0.6</v>
      </c>
      <c r="J67" s="369"/>
      <c r="K67" s="982">
        <f>H67*I67</f>
        <v>0</v>
      </c>
      <c r="M67" s="65" t="s">
        <v>285</v>
      </c>
      <c r="N67" s="63">
        <f>'Bouwkost NB'!$Y$52</f>
        <v>0</v>
      </c>
      <c r="O67" s="66">
        <v>0.6</v>
      </c>
      <c r="P67" s="369"/>
      <c r="Q67" s="982">
        <f>N67*O67</f>
        <v>0</v>
      </c>
      <c r="S67" s="23"/>
      <c r="T67" s="23"/>
      <c r="U67" s="23"/>
      <c r="V67" s="496"/>
      <c r="W67" s="149"/>
    </row>
    <row r="68" spans="1:23" customFormat="1" ht="15" outlineLevel="1" thickBot="1" x14ac:dyDescent="0.35">
      <c r="A68" s="65" t="s">
        <v>286</v>
      </c>
      <c r="B68" s="63">
        <f>'Bouwkost NB'!$C$58</f>
        <v>0</v>
      </c>
      <c r="C68" s="66">
        <v>0.6</v>
      </c>
      <c r="D68" s="369"/>
      <c r="E68" s="982">
        <f>B68*C68</f>
        <v>0</v>
      </c>
      <c r="G68" s="65" t="s">
        <v>286</v>
      </c>
      <c r="H68" s="63">
        <f>'Bouwkost NB'!$N$58</f>
        <v>0</v>
      </c>
      <c r="I68" s="66">
        <v>0.6</v>
      </c>
      <c r="J68" s="369"/>
      <c r="K68" s="982">
        <f>H68*I68</f>
        <v>0</v>
      </c>
      <c r="M68" s="65" t="s">
        <v>286</v>
      </c>
      <c r="N68" s="63">
        <f>'Bouwkost NB'!$Y$58</f>
        <v>0</v>
      </c>
      <c r="O68" s="66">
        <v>0.6</v>
      </c>
      <c r="P68" s="369"/>
      <c r="Q68" s="982">
        <f>N68*O68</f>
        <v>0</v>
      </c>
      <c r="S68" s="23"/>
      <c r="T68" s="23"/>
      <c r="U68" s="23"/>
      <c r="V68" s="496"/>
      <c r="W68" s="149"/>
    </row>
    <row r="69" spans="1:23" customFormat="1" ht="15" outlineLevel="1" thickBot="1" x14ac:dyDescent="0.35">
      <c r="A69" s="1220" t="s">
        <v>287</v>
      </c>
      <c r="B69" s="1221"/>
      <c r="C69" s="133"/>
      <c r="D69" s="18"/>
      <c r="E69" s="96">
        <f>MIN(E66,(E67+E68))</f>
        <v>0</v>
      </c>
      <c r="G69" s="1220" t="s">
        <v>287</v>
      </c>
      <c r="H69" s="1221"/>
      <c r="I69" s="133"/>
      <c r="J69" s="18"/>
      <c r="K69" s="96">
        <f>MIN(K66,(K67+K68))</f>
        <v>0</v>
      </c>
      <c r="M69" s="1220" t="s">
        <v>287</v>
      </c>
      <c r="N69" s="1221"/>
      <c r="O69" s="133"/>
      <c r="P69" s="18"/>
      <c r="Q69" s="96">
        <f>MIN(Q66,(Q67+Q68))</f>
        <v>0</v>
      </c>
    </row>
    <row r="70" spans="1:23" ht="14.4" outlineLevel="1" thickBot="1" x14ac:dyDescent="0.35">
      <c r="A70" s="213" t="s">
        <v>279</v>
      </c>
      <c r="B70" s="221"/>
      <c r="C70" s="225">
        <v>0.1</v>
      </c>
      <c r="D70" s="225"/>
      <c r="E70" s="224">
        <f>ROUND(E69*C70,2)</f>
        <v>0</v>
      </c>
      <c r="F70" s="246"/>
      <c r="G70" s="213" t="s">
        <v>279</v>
      </c>
      <c r="H70" s="221"/>
      <c r="I70" s="225">
        <v>0.1</v>
      </c>
      <c r="J70" s="225"/>
      <c r="K70" s="224">
        <f>ROUND(K69*I70,2)</f>
        <v>0</v>
      </c>
      <c r="M70" s="213" t="s">
        <v>279</v>
      </c>
      <c r="N70" s="221"/>
      <c r="O70" s="225">
        <v>0.1</v>
      </c>
      <c r="P70" s="225"/>
      <c r="Q70" s="224">
        <f>ROUND(Q69*O70,2)</f>
        <v>0</v>
      </c>
    </row>
    <row r="71" spans="1:23" outlineLevel="1" x14ac:dyDescent="0.3">
      <c r="A71" s="221" t="s">
        <v>64</v>
      </c>
      <c r="B71" s="221" t="s">
        <v>293</v>
      </c>
      <c r="C71" s="226">
        <f>'Overzicht BTA'!E76</f>
        <v>0</v>
      </c>
      <c r="D71" s="225">
        <f>D63</f>
        <v>0</v>
      </c>
      <c r="E71" s="224">
        <f>ROUND(E69*C71*D71,2)</f>
        <v>0</v>
      </c>
      <c r="F71" s="246"/>
      <c r="G71" s="221" t="s">
        <v>64</v>
      </c>
      <c r="H71" s="221" t="s">
        <v>293</v>
      </c>
      <c r="I71" s="226">
        <f>'Overzicht BTA'!K76</f>
        <v>0</v>
      </c>
      <c r="J71" s="225">
        <f>J63</f>
        <v>0</v>
      </c>
      <c r="K71" s="224">
        <f>ROUND(K69*I71*J71,2)</f>
        <v>0</v>
      </c>
      <c r="M71" s="221" t="s">
        <v>64</v>
      </c>
      <c r="N71" s="221" t="s">
        <v>293</v>
      </c>
      <c r="O71" s="226">
        <f>'Overzicht BTA'!Q76</f>
        <v>0</v>
      </c>
      <c r="P71" s="225">
        <f>P63</f>
        <v>0</v>
      </c>
      <c r="Q71" s="224">
        <f>ROUND(Q69*O71*P71,2)</f>
        <v>0</v>
      </c>
    </row>
    <row r="72" spans="1:23" outlineLevel="1" x14ac:dyDescent="0.3">
      <c r="A72" s="221" t="s">
        <v>294</v>
      </c>
      <c r="B72" s="221" t="s">
        <v>295</v>
      </c>
      <c r="C72" s="226">
        <v>0.21</v>
      </c>
      <c r="D72" s="225">
        <f>D64</f>
        <v>0</v>
      </c>
      <c r="E72" s="224">
        <f>ROUND(E69*C72*D72,2)</f>
        <v>0</v>
      </c>
      <c r="F72" s="246"/>
      <c r="G72" s="221" t="s">
        <v>294</v>
      </c>
      <c r="H72" s="221" t="s">
        <v>295</v>
      </c>
      <c r="I72" s="226">
        <v>0.21</v>
      </c>
      <c r="J72" s="225">
        <f>J64</f>
        <v>0</v>
      </c>
      <c r="K72" s="224">
        <f>ROUND(K69*I72*J72,2)</f>
        <v>0</v>
      </c>
      <c r="M72" s="221" t="s">
        <v>294</v>
      </c>
      <c r="N72" s="221" t="s">
        <v>295</v>
      </c>
      <c r="O72" s="226">
        <v>0.21</v>
      </c>
      <c r="P72" s="225">
        <f>P64</f>
        <v>0</v>
      </c>
      <c r="Q72" s="224">
        <f>ROUND(Q69*O72*P72,2)</f>
        <v>0</v>
      </c>
    </row>
    <row r="73" spans="1:23" ht="14.4" outlineLevel="1" thickBot="1" x14ac:dyDescent="0.35">
      <c r="A73" s="221" t="s">
        <v>64</v>
      </c>
      <c r="B73" s="50" t="s">
        <v>281</v>
      </c>
      <c r="C73" s="225">
        <v>0.21</v>
      </c>
      <c r="D73" s="227"/>
      <c r="E73" s="228">
        <f>ROUND(E70*C73,2)</f>
        <v>0</v>
      </c>
      <c r="F73" s="246"/>
      <c r="G73" s="221" t="s">
        <v>64</v>
      </c>
      <c r="H73" s="50" t="s">
        <v>281</v>
      </c>
      <c r="I73" s="225">
        <v>0.21</v>
      </c>
      <c r="J73" s="227"/>
      <c r="K73" s="228">
        <f>ROUND(K70*I73,2)</f>
        <v>0</v>
      </c>
      <c r="M73" s="221" t="s">
        <v>64</v>
      </c>
      <c r="N73" s="50" t="s">
        <v>281</v>
      </c>
      <c r="O73" s="225">
        <v>0.21</v>
      </c>
      <c r="P73" s="227"/>
      <c r="Q73" s="228">
        <f>ROUND(Q70*O73,2)</f>
        <v>0</v>
      </c>
    </row>
    <row r="74" spans="1:23" ht="14.4" outlineLevel="1" thickTop="1" x14ac:dyDescent="0.3">
      <c r="A74" s="229" t="s">
        <v>282</v>
      </c>
      <c r="B74" s="230"/>
      <c r="C74" s="231"/>
      <c r="D74" s="232"/>
      <c r="E74" s="233">
        <f>SUM(E69:E73)</f>
        <v>0</v>
      </c>
      <c r="F74" s="246"/>
      <c r="G74" s="229" t="s">
        <v>282</v>
      </c>
      <c r="H74" s="230"/>
      <c r="I74" s="231"/>
      <c r="J74" s="232"/>
      <c r="K74" s="233">
        <f>SUM(K69:K73)</f>
        <v>0</v>
      </c>
      <c r="M74" s="229" t="s">
        <v>282</v>
      </c>
      <c r="N74" s="230"/>
      <c r="O74" s="231"/>
      <c r="P74" s="232"/>
      <c r="Q74" s="233">
        <f>SUM(Q69:Q73)</f>
        <v>0</v>
      </c>
    </row>
    <row r="75" spans="1:23" customFormat="1" ht="15" outlineLevel="1" thickBot="1" x14ac:dyDescent="0.35">
      <c r="A75" s="981"/>
      <c r="B75" s="981"/>
      <c r="C75" s="851"/>
      <c r="D75" s="852"/>
      <c r="E75" s="51"/>
      <c r="G75" s="981"/>
      <c r="H75" s="981"/>
      <c r="I75" s="851"/>
      <c r="J75" s="852"/>
      <c r="K75" s="51"/>
      <c r="M75" s="981"/>
      <c r="N75" s="981"/>
      <c r="O75" s="851"/>
      <c r="P75" s="852"/>
      <c r="Q75" s="51"/>
    </row>
    <row r="76" spans="1:23" customFormat="1" ht="15" outlineLevel="1" thickBot="1" x14ac:dyDescent="0.35">
      <c r="A76" s="5" t="s">
        <v>297</v>
      </c>
      <c r="B76" s="6"/>
      <c r="C76" s="7"/>
      <c r="D76" s="18"/>
      <c r="E76" s="1">
        <f>E74+E61+E53</f>
        <v>0</v>
      </c>
      <c r="G76" s="5" t="s">
        <v>297</v>
      </c>
      <c r="H76" s="6"/>
      <c r="I76" s="7"/>
      <c r="J76" s="18"/>
      <c r="K76" s="1">
        <f>K69+K61+K53</f>
        <v>0</v>
      </c>
      <c r="M76" s="5" t="s">
        <v>297</v>
      </c>
      <c r="N76" s="6"/>
      <c r="O76" s="7"/>
      <c r="P76" s="18"/>
      <c r="Q76" s="1">
        <f>Q69+Q61+Q53</f>
        <v>0</v>
      </c>
    </row>
    <row r="77" spans="1:23" ht="14.4" outlineLevel="1" thickBot="1" x14ac:dyDescent="0.35">
      <c r="C77" s="851"/>
      <c r="D77" s="852"/>
      <c r="E77" s="51"/>
      <c r="I77" s="851"/>
      <c r="J77" s="852"/>
      <c r="K77" s="51"/>
      <c r="O77" s="851"/>
      <c r="P77" s="852"/>
      <c r="Q77" s="51"/>
    </row>
    <row r="78" spans="1:23" ht="28.2" outlineLevel="1" thickBot="1" x14ac:dyDescent="0.35">
      <c r="A78" s="1224" t="s">
        <v>298</v>
      </c>
      <c r="B78" s="1225"/>
      <c r="C78" s="130">
        <f>E48+E56+E69</f>
        <v>0</v>
      </c>
      <c r="D78" s="128" t="s">
        <v>289</v>
      </c>
      <c r="E78" s="492">
        <f>C78*10/6</f>
        <v>0</v>
      </c>
      <c r="G78" s="1226" t="s">
        <v>298</v>
      </c>
      <c r="H78" s="1227"/>
      <c r="I78" s="130">
        <f>K48+K56+K69</f>
        <v>0</v>
      </c>
      <c r="J78" s="128" t="s">
        <v>289</v>
      </c>
      <c r="K78" s="492">
        <f>I78*10/6</f>
        <v>0</v>
      </c>
      <c r="M78" s="1226" t="s">
        <v>298</v>
      </c>
      <c r="N78" s="1227"/>
      <c r="O78" s="130">
        <f>Q48+Q56+Q69</f>
        <v>0</v>
      </c>
      <c r="P78" s="128" t="s">
        <v>289</v>
      </c>
      <c r="Q78" s="492">
        <f>O78*10/6</f>
        <v>0</v>
      </c>
    </row>
    <row r="79" spans="1:23" outlineLevel="1" x14ac:dyDescent="0.3">
      <c r="D79" s="40"/>
    </row>
    <row r="80" spans="1:23" ht="14.4" outlineLevel="1" x14ac:dyDescent="0.3">
      <c r="A80" s="237" t="s">
        <v>290</v>
      </c>
      <c r="B80" s="8"/>
      <c r="C80" s="8"/>
      <c r="D80" s="40"/>
      <c r="G80" s="237" t="s">
        <v>290</v>
      </c>
      <c r="H80" s="8"/>
      <c r="I80" s="8"/>
      <c r="J80"/>
      <c r="K80"/>
      <c r="L80"/>
      <c r="M80" s="237" t="s">
        <v>290</v>
      </c>
      <c r="N80" s="8"/>
      <c r="O80" s="8"/>
    </row>
    <row r="81" spans="1:17" ht="14.4" outlineLevel="1" x14ac:dyDescent="0.3">
      <c r="A81" s="8" t="s">
        <v>123</v>
      </c>
      <c r="B81" s="10">
        <f>IF('Overzicht BTA'!$D$13=0,0,IF(MATCH(Bron!$B$9,'uitgebreide raming_gewijzigd'!$B$2:$I$2,0)=1,'uitgebreide raming_gewijzigd'!$B6,IF(MATCH(Bron!$B$9,'uitgebreide raming_gewijzigd'!$B$2:$I$2,0)=3,'uitgebreide raming_gewijzigd'!$D6,IF(MATCH(Bron!$B$9,'uitgebreide raming_gewijzigd'!$B$2:$I$2,0)=5,'uitgebreide raming_gewijzigd'!$F6,IF(MATCH(Bron!$B$9,'uitgebreide raming_gewijzigd'!$B$2:$I$2,0)=7,'uitgebreide raming_gewijzigd'!$H6,0)))))</f>
        <v>0</v>
      </c>
      <c r="C81" s="9" t="e">
        <f>ROUND(B81/$B$86,2)</f>
        <v>#DIV/0!</v>
      </c>
      <c r="D81" s="40"/>
      <c r="G81" s="8" t="s">
        <v>123</v>
      </c>
      <c r="H81" s="10">
        <f>IF('Overzicht BTA'!$J$13=0,0,IF(MATCH(Bron!$B$9,'uitgebreide raming_gewijzigd'!$B$29:$I$29,0)=1,'uitgebreide raming_gewijzigd'!B33,IF(MATCH(Bron!$B$9,'uitgebreide raming_gewijzigd'!$B$29:$I$29,0)=3,'uitgebreide raming_gewijzigd'!D33,IF(MATCH(Bron!$B$9,'uitgebreide raming_gewijzigd'!$B$29:$I$29,0)=5,'uitgebreide raming_gewijzigd'!F33,IF(MATCH(Bron!$B$9,'uitgebreide raming_gewijzigd'!$B$29:$I$29,0)=7,'uitgebreide raming_gewijzigd'!H33,0)))))</f>
        <v>0</v>
      </c>
      <c r="I81" s="9" t="e">
        <f>ROUND(H81/$H$86,2)</f>
        <v>#DIV/0!</v>
      </c>
      <c r="J81"/>
      <c r="K81"/>
      <c r="L81"/>
      <c r="M81" s="8" t="s">
        <v>123</v>
      </c>
      <c r="N81" s="10">
        <f>IF('Overzicht BTA'!$P$13=0,0,IF(MATCH(Bron!$B$9,'uitgebreide raming_gewijzigd'!$B$56:$I$56,0)=1,'uitgebreide raming_gewijzigd'!B60,IF(MATCH(Bron!$B$9,'uitgebreide raming_gewijzigd'!$B$56:$I$56,0)=3,'uitgebreide raming_gewijzigd'!D60,IF(MATCH(Bron!$B$9,'uitgebreide raming_gewijzigd'!$B$56:$I$56,0)=5,'uitgebreide raming_gewijzigd'!F60,IF(MATCH(Bron!$B$9,'uitgebreide raming_gewijzigd'!$B$56:$I$56,0)=7,'uitgebreide raming_gewijzigd'!H60,0)))))</f>
        <v>0</v>
      </c>
      <c r="O81" s="9" t="e">
        <f>ROUND(N81/$N$86,2)</f>
        <v>#DIV/0!</v>
      </c>
    </row>
    <row r="82" spans="1:17" ht="14.4" outlineLevel="1" x14ac:dyDescent="0.3">
      <c r="A82" s="8" t="s">
        <v>124</v>
      </c>
      <c r="B82" s="10">
        <f>IF('Overzicht BTA'!$D$13=0,0,IF(MATCH(Bron!$B$9,'uitgebreide raming_gewijzigd'!$B$2:$I$2,0)=1,'uitgebreide raming_gewijzigd'!$B7,IF(MATCH(Bron!$B$9,'uitgebreide raming_gewijzigd'!$B$2:$I$2,0)=3,'uitgebreide raming_gewijzigd'!$D7,IF(MATCH(Bron!$B$9,'uitgebreide raming_gewijzigd'!$B$2:$I$2,0)=5,'uitgebreide raming_gewijzigd'!$F7,IF(MATCH(Bron!$B$9,'uitgebreide raming_gewijzigd'!$B$2:$I$2,0)=7,'uitgebreide raming_gewijzigd'!$H7,0)))))</f>
        <v>0</v>
      </c>
      <c r="C82" s="9" t="e">
        <f t="shared" ref="C82:C86" si="3">ROUND(B82/$B$86,2)</f>
        <v>#DIV/0!</v>
      </c>
      <c r="D82" s="40"/>
      <c r="G82" s="8" t="s">
        <v>124</v>
      </c>
      <c r="H82" s="10">
        <f>IF('Overzicht BTA'!$J$13=0,0,IF(MATCH(Bron!$B$9,'uitgebreide raming_gewijzigd'!$B$29:$I$29,0)=1,'uitgebreide raming_gewijzigd'!B34,IF(MATCH(Bron!$B$9,'uitgebreide raming_gewijzigd'!$B$29:$I$29,0)=3,'uitgebreide raming_gewijzigd'!D34,IF(MATCH(Bron!$B$9,'uitgebreide raming_gewijzigd'!$B$29:$I$29,0)=5,'uitgebreide raming_gewijzigd'!F34,IF(MATCH(Bron!$B$9,'uitgebreide raming_gewijzigd'!$B$29:$I$29,0)=7,'uitgebreide raming_gewijzigd'!H34,0)))))</f>
        <v>0</v>
      </c>
      <c r="I82" s="9" t="e">
        <f t="shared" ref="I82:I86" si="4">ROUND(H82/$H$86,2)</f>
        <v>#DIV/0!</v>
      </c>
      <c r="J82"/>
      <c r="K82"/>
      <c r="L82"/>
      <c r="M82" s="8" t="s">
        <v>124</v>
      </c>
      <c r="N82" s="10">
        <f>IF('Overzicht BTA'!$P$13=0,0,IF(MATCH(Bron!$B$9,'uitgebreide raming_gewijzigd'!$B$56:$I$56,0)=1,'uitgebreide raming_gewijzigd'!B61,IF(MATCH(Bron!$B$9,'uitgebreide raming_gewijzigd'!$B$56:$I$56,0)=3,'uitgebreide raming_gewijzigd'!D61,IF(MATCH(Bron!$B$9,'uitgebreide raming_gewijzigd'!$B$56:$I$56,0)=5,'uitgebreide raming_gewijzigd'!F61,IF(MATCH(Bron!$B$9,'uitgebreide raming_gewijzigd'!$B$56:$I$56,0)=7,'uitgebreide raming_gewijzigd'!H61,0)))))</f>
        <v>0</v>
      </c>
      <c r="O82" s="9" t="e">
        <f t="shared" ref="O82:O86" si="5">ROUND(N82/$N$86,2)</f>
        <v>#DIV/0!</v>
      </c>
    </row>
    <row r="83" spans="1:17" ht="14.4" outlineLevel="1" x14ac:dyDescent="0.3">
      <c r="A83" s="8" t="s">
        <v>125</v>
      </c>
      <c r="B83" s="10">
        <f>IF('Overzicht BTA'!$D$13=0,0,IF(MATCH(Bron!$B$9,'uitgebreide raming_gewijzigd'!$B$2:$I$2,0)=1,'uitgebreide raming_gewijzigd'!$B8,IF(MATCH(Bron!$B$9,'uitgebreide raming_gewijzigd'!$B$2:$I$2,0)=3,'uitgebreide raming_gewijzigd'!$D8,IF(MATCH(Bron!$B$9,'uitgebreide raming_gewijzigd'!$B$2:$I$2,0)=5,'uitgebreide raming_gewijzigd'!$F8,IF(MATCH(Bron!$B$9,'uitgebreide raming_gewijzigd'!$B$2:$I$2,0)=7,'uitgebreide raming_gewijzigd'!$H8,0)))))</f>
        <v>0</v>
      </c>
      <c r="C83" s="9" t="e">
        <f t="shared" si="3"/>
        <v>#DIV/0!</v>
      </c>
      <c r="D83" s="40"/>
      <c r="G83" s="8" t="s">
        <v>125</v>
      </c>
      <c r="H83" s="10">
        <f>IF('Overzicht BTA'!$J$13=0,0,IF(MATCH(Bron!$B$9,'uitgebreide raming_gewijzigd'!$B$29:$I$29,0)=1,'uitgebreide raming_gewijzigd'!B35,IF(MATCH(Bron!$B$9,'uitgebreide raming_gewijzigd'!$B$29:$I$29,0)=3,'uitgebreide raming_gewijzigd'!D35,IF(MATCH(Bron!$B$9,'uitgebreide raming_gewijzigd'!$B$29:$I$29,0)=5,'uitgebreide raming_gewijzigd'!F35,IF(MATCH(Bron!$B$9,'uitgebreide raming_gewijzigd'!$B$29:$I$29,0)=7,'uitgebreide raming_gewijzigd'!H35,0)))))</f>
        <v>0</v>
      </c>
      <c r="I83" s="9" t="e">
        <f t="shared" si="4"/>
        <v>#DIV/0!</v>
      </c>
      <c r="J83"/>
      <c r="K83"/>
      <c r="L83"/>
      <c r="M83" s="8" t="s">
        <v>125</v>
      </c>
      <c r="N83" s="10">
        <f>IF('Overzicht BTA'!$P$13=0,0,IF(MATCH(Bron!$B$9,'uitgebreide raming_gewijzigd'!$B$56:$I$56,0)=1,'uitgebreide raming_gewijzigd'!B62,IF(MATCH(Bron!$B$9,'uitgebreide raming_gewijzigd'!$B$56:$I$56,0)=3,'uitgebreide raming_gewijzigd'!D62,IF(MATCH(Bron!$B$9,'uitgebreide raming_gewijzigd'!$B$56:$I$56,0)=5,'uitgebreide raming_gewijzigd'!F62,IF(MATCH(Bron!$B$9,'uitgebreide raming_gewijzigd'!$B$56:$I$56,0)=7,'uitgebreide raming_gewijzigd'!H62,0)))))</f>
        <v>0</v>
      </c>
      <c r="O83" s="9" t="e">
        <f t="shared" si="5"/>
        <v>#DIV/0!</v>
      </c>
    </row>
    <row r="84" spans="1:17" ht="14.4" outlineLevel="1" x14ac:dyDescent="0.3">
      <c r="A84" s="8" t="s">
        <v>126</v>
      </c>
      <c r="B84" s="10">
        <f>IF('Overzicht BTA'!$D$13=0,0,IF(MATCH(Bron!$B$9,'uitgebreide raming_gewijzigd'!$B$2:$I$2,0)=1,'uitgebreide raming_gewijzigd'!$B9,IF(MATCH(Bron!$B$9,'uitgebreide raming_gewijzigd'!$B$2:$I$2,0)=3,'uitgebreide raming_gewijzigd'!$D9,IF(MATCH(Bron!$B$9,'uitgebreide raming_gewijzigd'!$B$2:$I$2,0)=5,'uitgebreide raming_gewijzigd'!$F9,IF(MATCH(Bron!$B$9,'uitgebreide raming_gewijzigd'!$B$2:$I$2,0)=7,'uitgebreide raming_gewijzigd'!$H9,0)))))</f>
        <v>0</v>
      </c>
      <c r="C84" s="9" t="e">
        <f t="shared" si="3"/>
        <v>#DIV/0!</v>
      </c>
      <c r="D84" s="40"/>
      <c r="G84" s="8" t="s">
        <v>126</v>
      </c>
      <c r="H84" s="10">
        <f>IF('Overzicht BTA'!$J$13=0,0,IF(MATCH(Bron!$B$9,'uitgebreide raming_gewijzigd'!$B$29:$I$29,0)=1,'uitgebreide raming_gewijzigd'!B36,IF(MATCH(Bron!$B$9,'uitgebreide raming_gewijzigd'!$B$29:$I$29,0)=3,'uitgebreide raming_gewijzigd'!D36,IF(MATCH(Bron!$B$9,'uitgebreide raming_gewijzigd'!$B$29:$I$29,0)=5,'uitgebreide raming_gewijzigd'!F36,IF(MATCH(Bron!$B$9,'uitgebreide raming_gewijzigd'!$B$29:$I$29,0)=7,'uitgebreide raming_gewijzigd'!H36,0)))))</f>
        <v>0</v>
      </c>
      <c r="I84" s="9" t="e">
        <f t="shared" si="4"/>
        <v>#DIV/0!</v>
      </c>
      <c r="J84"/>
      <c r="K84"/>
      <c r="L84"/>
      <c r="M84" s="8" t="s">
        <v>126</v>
      </c>
      <c r="N84" s="10">
        <f>IF('Overzicht BTA'!$P$13=0,0,IF(MATCH(Bron!$B$9,'uitgebreide raming_gewijzigd'!$B$56:$I$56,0)=1,'uitgebreide raming_gewijzigd'!B63,IF(MATCH(Bron!$B$9,'uitgebreide raming_gewijzigd'!$B$56:$I$56,0)=3,'uitgebreide raming_gewijzigd'!D63,IF(MATCH(Bron!$B$9,'uitgebreide raming_gewijzigd'!$B$56:$I$56,0)=5,'uitgebreide raming_gewijzigd'!F63,IF(MATCH(Bron!$B$9,'uitgebreide raming_gewijzigd'!$B$56:$I$56,0)=7,'uitgebreide raming_gewijzigd'!H63,0)))))</f>
        <v>0</v>
      </c>
      <c r="O84" s="9" t="e">
        <f t="shared" si="5"/>
        <v>#DIV/0!</v>
      </c>
    </row>
    <row r="85" spans="1:17" ht="27.6" outlineLevel="1" x14ac:dyDescent="0.3">
      <c r="A85" s="8" t="s">
        <v>127</v>
      </c>
      <c r="B85" s="10">
        <f>IF('Overzicht BTA'!$D$13=0,0,IF(MATCH(Bron!$B$9,'uitgebreide raming_gewijzigd'!$B$2:$I$2,0)=1,'uitgebreide raming_gewijzigd'!$B10,IF(MATCH(Bron!$B$9,'uitgebreide raming_gewijzigd'!$B$2:$I$2,0)=3,'uitgebreide raming_gewijzigd'!$D10,IF(MATCH(Bron!$B$9,'uitgebreide raming_gewijzigd'!$B$2:$I$2,0)=5,'uitgebreide raming_gewijzigd'!$F10,IF(MATCH(Bron!$B$9,'uitgebreide raming_gewijzigd'!$B$2:$I$2,0)=7,'uitgebreide raming_gewijzigd'!$H10,0)))))</f>
        <v>0</v>
      </c>
      <c r="C85" s="9" t="e">
        <f t="shared" si="3"/>
        <v>#DIV/0!</v>
      </c>
      <c r="G85" s="8" t="s">
        <v>127</v>
      </c>
      <c r="H85" s="10">
        <f>IF('Overzicht BTA'!$J$13=0,0,IF(MATCH(Bron!$B$9,'uitgebreide raming_gewijzigd'!$B$29:$I$29,0)=1,'uitgebreide raming_gewijzigd'!B37,IF(MATCH(Bron!$B$9,'uitgebreide raming_gewijzigd'!$B$29:$I$29,0)=3,'uitgebreide raming_gewijzigd'!D37,IF(MATCH(Bron!$B$9,'uitgebreide raming_gewijzigd'!$B$29:$I$29,0)=5,'uitgebreide raming_gewijzigd'!F37,IF(MATCH(Bron!$B$9,'uitgebreide raming_gewijzigd'!$B$29:$I$29,0)=7,'uitgebreide raming_gewijzigd'!H37,0)))))</f>
        <v>0</v>
      </c>
      <c r="I85" s="9" t="e">
        <f t="shared" si="4"/>
        <v>#DIV/0!</v>
      </c>
      <c r="J85"/>
      <c r="K85"/>
      <c r="L85"/>
      <c r="M85" s="8" t="s">
        <v>127</v>
      </c>
      <c r="N85" s="10">
        <f>IF('Overzicht BTA'!$P$13=0,0,IF(MATCH(Bron!$B$9,'uitgebreide raming_gewijzigd'!$B$56:$I$56,0)=1,'uitgebreide raming_gewijzigd'!B64,IF(MATCH(Bron!$B$9,'uitgebreide raming_gewijzigd'!$B$56:$I$56,0)=3,'uitgebreide raming_gewijzigd'!D64,IF(MATCH(Bron!$B$9,'uitgebreide raming_gewijzigd'!$B$56:$I$56,0)=5,'uitgebreide raming_gewijzigd'!F64,IF(MATCH(Bron!$B$9,'uitgebreide raming_gewijzigd'!$B$56:$I$56,0)=7,'uitgebreide raming_gewijzigd'!H64,0)))))</f>
        <v>0</v>
      </c>
      <c r="O85" s="9" t="e">
        <f t="shared" si="5"/>
        <v>#DIV/0!</v>
      </c>
    </row>
    <row r="86" spans="1:17" ht="14.4" outlineLevel="1" x14ac:dyDescent="0.3">
      <c r="A86" s="8" t="s">
        <v>110</v>
      </c>
      <c r="B86" s="10">
        <f>IF('Overzicht BTA'!$D$13=0,0,IF(MATCH(Bron!$B$9,'uitgebreide raming_gewijzigd'!$B$2:$I$2,0)=1,'uitgebreide raming_gewijzigd'!$B11,IF(MATCH(Bron!$B$9,'uitgebreide raming_gewijzigd'!$B$2:$I$2,0)=3,'uitgebreide raming_gewijzigd'!$D11,IF(MATCH(Bron!$B$9,'uitgebreide raming_gewijzigd'!$B$2:$I$2,0)=5,'uitgebreide raming_gewijzigd'!$F11,IF(MATCH(Bron!$B$9,'uitgebreide raming_gewijzigd'!$B$2:$I$2,0)=7,'uitgebreide raming_gewijzigd'!$H11,0)))))</f>
        <v>0</v>
      </c>
      <c r="C86" s="9" t="e">
        <f t="shared" si="3"/>
        <v>#DIV/0!</v>
      </c>
      <c r="G86" s="8" t="s">
        <v>110</v>
      </c>
      <c r="H86" s="10">
        <f>IF('Overzicht BTA'!$J$13=0,0,IF(MATCH(Bron!$B$9,'uitgebreide raming_gewijzigd'!$B$29:$I$29,0)=1,'uitgebreide raming_gewijzigd'!B38,IF(MATCH(Bron!$B$9,'uitgebreide raming_gewijzigd'!$B$29:$I$29,0)=3,'uitgebreide raming_gewijzigd'!D38,IF(MATCH(Bron!$B$9,'uitgebreide raming_gewijzigd'!$B$29:$I$29,0)=5,'uitgebreide raming_gewijzigd'!F38,IF(MATCH(Bron!$B$9,'uitgebreide raming_gewijzigd'!$B$29:$I$29,0)=7,'uitgebreide raming_gewijzigd'!H38,0)))))</f>
        <v>0</v>
      </c>
      <c r="I86" s="9" t="e">
        <f t="shared" si="4"/>
        <v>#DIV/0!</v>
      </c>
      <c r="J86"/>
      <c r="K86"/>
      <c r="L86"/>
      <c r="M86" s="8" t="s">
        <v>110</v>
      </c>
      <c r="N86" s="10">
        <f>IF('Overzicht BTA'!$P$13=0,0,IF(MATCH(Bron!$B$9,'uitgebreide raming_gewijzigd'!$B$56:$I$56,0)=1,'uitgebreide raming_gewijzigd'!B65,IF(MATCH(Bron!$B$9,'uitgebreide raming_gewijzigd'!$B$56:$I$56,0)=3,'uitgebreide raming_gewijzigd'!D65,IF(MATCH(Bron!$B$9,'uitgebreide raming_gewijzigd'!$B$56:$I$56,0)=5,'uitgebreide raming_gewijzigd'!F65,IF(MATCH(Bron!$B$9,'uitgebreide raming_gewijzigd'!$B$56:$I$56,0)=7,'uitgebreide raming_gewijzigd'!H65,0)))))</f>
        <v>0</v>
      </c>
      <c r="O86" s="9" t="e">
        <f t="shared" si="5"/>
        <v>#DIV/0!</v>
      </c>
    </row>
    <row r="88" spans="1:17" ht="18" x14ac:dyDescent="0.3">
      <c r="A88" s="1223" t="s">
        <v>92</v>
      </c>
      <c r="B88" s="1223"/>
      <c r="C88" s="1223"/>
      <c r="D88" s="1223"/>
      <c r="E88" s="1223"/>
      <c r="F88" s="1223"/>
      <c r="G88" s="1223"/>
      <c r="H88" s="1223"/>
      <c r="I88" s="1223"/>
      <c r="J88" s="1223"/>
      <c r="K88" s="1223"/>
      <c r="L88" s="1223"/>
      <c r="M88" s="1223"/>
      <c r="N88" s="1223"/>
      <c r="O88" s="1223"/>
      <c r="P88" s="1223"/>
      <c r="Q88" s="1223"/>
    </row>
    <row r="89" spans="1:17" ht="14.4" outlineLevel="1" x14ac:dyDescent="0.3">
      <c r="A89" s="106" t="s">
        <v>292</v>
      </c>
      <c r="B89" s="106" t="str">
        <f>B45</f>
        <v>Kies de zorgvorm</v>
      </c>
      <c r="C89" s="54"/>
      <c r="D89" s="54"/>
      <c r="E89" s="54"/>
      <c r="F89" s="54"/>
      <c r="G89" s="106" t="s">
        <v>292</v>
      </c>
      <c r="H89" s="106" t="str">
        <f>H45</f>
        <v>Kies de zorgvorm</v>
      </c>
      <c r="I89" s="106"/>
      <c r="J89" s="106"/>
      <c r="K89" s="54"/>
      <c r="L89" s="54"/>
      <c r="M89" s="106" t="s">
        <v>292</v>
      </c>
      <c r="N89" s="106" t="str">
        <f>N45</f>
        <v>Kies de zorgvorm</v>
      </c>
      <c r="O89" s="54"/>
      <c r="P89" s="54"/>
      <c r="Q89" s="54"/>
    </row>
    <row r="90" spans="1:17" outlineLevel="1" x14ac:dyDescent="0.3">
      <c r="A90" s="521" t="s">
        <v>70</v>
      </c>
      <c r="B90" s="135"/>
      <c r="C90" s="135"/>
      <c r="D90" s="135"/>
      <c r="E90" s="136"/>
      <c r="F90" s="23"/>
      <c r="G90" s="521" t="s">
        <v>70</v>
      </c>
      <c r="H90" s="222"/>
      <c r="I90" s="222"/>
      <c r="J90" s="222"/>
      <c r="K90" s="223"/>
      <c r="M90" s="521" t="s">
        <v>70</v>
      </c>
      <c r="N90" s="222"/>
      <c r="O90" s="222"/>
      <c r="P90" s="222"/>
      <c r="Q90" s="223"/>
    </row>
    <row r="91" spans="1:17" ht="14.4" outlineLevel="1" thickBot="1" x14ac:dyDescent="0.35">
      <c r="A91" s="372" t="s">
        <v>274</v>
      </c>
      <c r="B91" s="369" t="s">
        <v>275</v>
      </c>
      <c r="C91" s="369" t="s">
        <v>276</v>
      </c>
      <c r="D91" s="369"/>
      <c r="E91" s="369" t="s">
        <v>277</v>
      </c>
      <c r="F91" s="23"/>
      <c r="G91" s="373" t="s">
        <v>274</v>
      </c>
      <c r="H91" s="374" t="s">
        <v>275</v>
      </c>
      <c r="I91" s="374" t="s">
        <v>276</v>
      </c>
      <c r="J91" s="374"/>
      <c r="K91" s="374" t="s">
        <v>277</v>
      </c>
      <c r="M91" s="373" t="s">
        <v>274</v>
      </c>
      <c r="N91" s="374" t="s">
        <v>275</v>
      </c>
      <c r="O91" s="374" t="s">
        <v>276</v>
      </c>
      <c r="P91" s="374"/>
      <c r="Q91" s="374" t="s">
        <v>277</v>
      </c>
    </row>
    <row r="92" spans="1:17" ht="14.4" outlineLevel="1" thickBot="1" x14ac:dyDescent="0.35">
      <c r="A92" s="368">
        <f>A48</f>
        <v>0</v>
      </c>
      <c r="B92" s="904">
        <f>VLOOKUP(B89,'Capaciteiten &amp; forfaits'!$B$3:$H$76,4,FALSE)</f>
        <v>0</v>
      </c>
      <c r="C92" s="370">
        <f>'Overzicht BTA'!$D$38</f>
        <v>2.3958200000000001</v>
      </c>
      <c r="D92" s="369"/>
      <c r="E92" s="220">
        <f>ROUND(A92*B92*C92,2)</f>
        <v>0</v>
      </c>
      <c r="F92" s="25"/>
      <c r="G92" s="368">
        <f>G48</f>
        <v>0</v>
      </c>
      <c r="H92" s="904">
        <f>VLOOKUP(H89,'Capaciteiten &amp; forfaits'!$B$3:$H$76,4,FALSE)</f>
        <v>0</v>
      </c>
      <c r="I92" s="370">
        <f>'Overzicht BTA'!$D$38</f>
        <v>2.3958200000000001</v>
      </c>
      <c r="J92" s="374"/>
      <c r="K92" s="220">
        <f>ROUND(G92*H92*I92,2)</f>
        <v>0</v>
      </c>
      <c r="M92" s="368">
        <f>M48</f>
        <v>0</v>
      </c>
      <c r="N92" s="904">
        <f>VLOOKUP(N89,'Capaciteiten &amp; forfaits'!$B$3:$H$76,4,FALSE)</f>
        <v>0</v>
      </c>
      <c r="O92" s="370">
        <f>'Overzicht BTA'!$D$38</f>
        <v>2.3958200000000001</v>
      </c>
      <c r="P92" s="374"/>
      <c r="Q92" s="220">
        <f>ROUND(M92*N92*O92,2)</f>
        <v>0</v>
      </c>
    </row>
    <row r="93" spans="1:17" ht="14.4" outlineLevel="1" thickBot="1" x14ac:dyDescent="0.35">
      <c r="A93" s="5" t="s">
        <v>279</v>
      </c>
      <c r="B93" s="8"/>
      <c r="C93" s="9">
        <v>0.1</v>
      </c>
      <c r="D93" s="9"/>
      <c r="E93" s="24">
        <f>ROUND(E92*C93,2)</f>
        <v>0</v>
      </c>
      <c r="F93" s="25"/>
      <c r="G93" s="213" t="s">
        <v>279</v>
      </c>
      <c r="H93" s="221"/>
      <c r="I93" s="225">
        <v>0.1</v>
      </c>
      <c r="J93" s="225"/>
      <c r="K93" s="24">
        <f>ROUND(K92*I93,2)</f>
        <v>0</v>
      </c>
      <c r="M93" s="213" t="s">
        <v>279</v>
      </c>
      <c r="N93" s="221"/>
      <c r="O93" s="225">
        <v>0.1</v>
      </c>
      <c r="P93" s="225"/>
      <c r="Q93" s="24">
        <f>ROUND(Q92*O93,2)</f>
        <v>0</v>
      </c>
    </row>
    <row r="94" spans="1:17" outlineLevel="1" x14ac:dyDescent="0.3">
      <c r="A94" s="8" t="s">
        <v>64</v>
      </c>
      <c r="B94" s="8" t="s">
        <v>293</v>
      </c>
      <c r="C94" s="97">
        <f>C50</f>
        <v>0</v>
      </c>
      <c r="D94" s="9">
        <f>D58</f>
        <v>0</v>
      </c>
      <c r="E94" s="24">
        <f>ROUND(E92*C94*D94,2)</f>
        <v>0</v>
      </c>
      <c r="F94" s="25"/>
      <c r="G94" s="221" t="s">
        <v>64</v>
      </c>
      <c r="H94" s="221" t="s">
        <v>293</v>
      </c>
      <c r="I94" s="97">
        <f>I50</f>
        <v>0</v>
      </c>
      <c r="J94" s="9">
        <f>J58</f>
        <v>0</v>
      </c>
      <c r="K94" s="24">
        <f>ROUND(K92*I94*J94,2)</f>
        <v>0</v>
      </c>
      <c r="M94" s="221" t="s">
        <v>64</v>
      </c>
      <c r="N94" s="221" t="s">
        <v>293</v>
      </c>
      <c r="O94" s="97">
        <f>O50</f>
        <v>0</v>
      </c>
      <c r="P94" s="9">
        <f>P58</f>
        <v>0</v>
      </c>
      <c r="Q94" s="24">
        <f>ROUND(Q92*O94*P94,2)</f>
        <v>0</v>
      </c>
    </row>
    <row r="95" spans="1:17" outlineLevel="1" x14ac:dyDescent="0.3">
      <c r="A95" s="8" t="s">
        <v>294</v>
      </c>
      <c r="B95" s="8" t="s">
        <v>295</v>
      </c>
      <c r="C95" s="97">
        <v>0.21</v>
      </c>
      <c r="D95" s="9">
        <f>D59</f>
        <v>0</v>
      </c>
      <c r="E95" s="24">
        <f>ROUND(E92*C95*D95,2)</f>
        <v>0</v>
      </c>
      <c r="F95" s="25"/>
      <c r="G95" s="221" t="s">
        <v>294</v>
      </c>
      <c r="H95" s="221" t="s">
        <v>295</v>
      </c>
      <c r="I95" s="226">
        <v>0.21</v>
      </c>
      <c r="J95" s="9">
        <f>J59</f>
        <v>0</v>
      </c>
      <c r="K95" s="24">
        <f>ROUND(K92*I95*J95,2)</f>
        <v>0</v>
      </c>
      <c r="M95" s="221" t="s">
        <v>294</v>
      </c>
      <c r="N95" s="221" t="s">
        <v>295</v>
      </c>
      <c r="O95" s="226">
        <v>0.21</v>
      </c>
      <c r="P95" s="9">
        <f>P59</f>
        <v>0</v>
      </c>
      <c r="Q95" s="24">
        <f>ROUND(Q92*O95*P95,2)</f>
        <v>0</v>
      </c>
    </row>
    <row r="96" spans="1:17" ht="14.4" outlineLevel="1" thickBot="1" x14ac:dyDescent="0.35">
      <c r="A96" s="8" t="s">
        <v>64</v>
      </c>
      <c r="B96" s="50" t="s">
        <v>281</v>
      </c>
      <c r="C96" s="9">
        <v>0.21</v>
      </c>
      <c r="D96" s="26"/>
      <c r="E96" s="27">
        <f>ROUND(E93*C96,2)</f>
        <v>0</v>
      </c>
      <c r="F96" s="25"/>
      <c r="G96" s="221" t="s">
        <v>64</v>
      </c>
      <c r="H96" s="50" t="s">
        <v>281</v>
      </c>
      <c r="I96" s="225">
        <v>0.21</v>
      </c>
      <c r="J96" s="227"/>
      <c r="K96" s="27">
        <f>ROUND(K93*I96,2)</f>
        <v>0</v>
      </c>
      <c r="M96" s="221" t="s">
        <v>64</v>
      </c>
      <c r="N96" s="50" t="s">
        <v>281</v>
      </c>
      <c r="O96" s="225">
        <v>0.21</v>
      </c>
      <c r="P96" s="227"/>
      <c r="Q96" s="27">
        <f>ROUND(Q93*O96,2)</f>
        <v>0</v>
      </c>
    </row>
    <row r="97" spans="1:23" ht="14.4" outlineLevel="1" thickTop="1" x14ac:dyDescent="0.3">
      <c r="A97" s="28" t="s">
        <v>282</v>
      </c>
      <c r="B97" s="29"/>
      <c r="C97" s="30"/>
      <c r="D97" s="31"/>
      <c r="E97" s="95">
        <f>SUM(E92:E96)</f>
        <v>0</v>
      </c>
      <c r="F97" s="25"/>
      <c r="G97" s="229" t="s">
        <v>282</v>
      </c>
      <c r="H97" s="230"/>
      <c r="I97" s="231"/>
      <c r="J97" s="232"/>
      <c r="K97" s="233">
        <f>SUM(K92:K96)</f>
        <v>0</v>
      </c>
      <c r="M97" s="229" t="s">
        <v>282</v>
      </c>
      <c r="N97" s="230"/>
      <c r="O97" s="231"/>
      <c r="P97" s="232"/>
      <c r="Q97" s="233">
        <f>SUM(Q92:Q96)</f>
        <v>0</v>
      </c>
    </row>
    <row r="98" spans="1:23" outlineLevel="1" x14ac:dyDescent="0.3">
      <c r="A98" s="521" t="s">
        <v>70</v>
      </c>
      <c r="B98" s="138"/>
      <c r="C98" s="138"/>
      <c r="D98" s="138"/>
      <c r="E98" s="138"/>
      <c r="F98" s="25"/>
      <c r="G98" s="521" t="s">
        <v>70</v>
      </c>
      <c r="H98" s="138"/>
      <c r="I98" s="138"/>
      <c r="J98" s="138"/>
      <c r="K98" s="138"/>
      <c r="M98" s="521" t="s">
        <v>70</v>
      </c>
      <c r="N98" s="138"/>
      <c r="O98" s="138"/>
      <c r="P98" s="138"/>
      <c r="Q98" s="138"/>
    </row>
    <row r="99" spans="1:23" ht="14.4" outlineLevel="1" thickBot="1" x14ac:dyDescent="0.35">
      <c r="A99" s="372" t="s">
        <v>274</v>
      </c>
      <c r="B99" s="369" t="s">
        <v>275</v>
      </c>
      <c r="C99" s="369" t="s">
        <v>276</v>
      </c>
      <c r="D99" s="369"/>
      <c r="E99" s="369" t="s">
        <v>277</v>
      </c>
      <c r="F99" s="25"/>
      <c r="G99" s="373" t="s">
        <v>274</v>
      </c>
      <c r="H99" s="374" t="s">
        <v>275</v>
      </c>
      <c r="I99" s="374" t="s">
        <v>276</v>
      </c>
      <c r="J99" s="374"/>
      <c r="K99" s="374" t="s">
        <v>277</v>
      </c>
      <c r="M99" s="373" t="s">
        <v>274</v>
      </c>
      <c r="N99" s="374" t="s">
        <v>275</v>
      </c>
      <c r="O99" s="374" t="s">
        <v>276</v>
      </c>
      <c r="P99" s="374"/>
      <c r="Q99" s="374" t="s">
        <v>277</v>
      </c>
    </row>
    <row r="100" spans="1:23" ht="14.4" outlineLevel="1" thickBot="1" x14ac:dyDescent="0.35">
      <c r="A100" s="368">
        <f>A56</f>
        <v>0</v>
      </c>
      <c r="B100" s="904">
        <f>VLOOKUP(B89,'Capaciteiten &amp; forfaits'!$B$3:$H$76,4,FALSE)</f>
        <v>0</v>
      </c>
      <c r="C100" s="370">
        <f>'Overzicht BTA'!$D$38</f>
        <v>2.3958200000000001</v>
      </c>
      <c r="D100" s="369"/>
      <c r="E100" s="220">
        <f>ROUND(A100*B100*C100,2)</f>
        <v>0</v>
      </c>
      <c r="F100" s="25"/>
      <c r="G100" s="368">
        <f>G56</f>
        <v>0</v>
      </c>
      <c r="H100" s="904">
        <f>VLOOKUP(H89,'Capaciteiten &amp; forfaits'!$B$3:$H$76,4,FALSE)</f>
        <v>0</v>
      </c>
      <c r="I100" s="370">
        <f>'Overzicht BTA'!$D$38</f>
        <v>2.3958200000000001</v>
      </c>
      <c r="J100" s="374"/>
      <c r="K100" s="220">
        <f>ROUND(G100*H100*I100,2)</f>
        <v>0</v>
      </c>
      <c r="M100" s="368">
        <f>M56</f>
        <v>0</v>
      </c>
      <c r="N100" s="904">
        <f>VLOOKUP(N89,'Capaciteiten &amp; forfaits'!$B$3:$H$76,4,FALSE)</f>
        <v>0</v>
      </c>
      <c r="O100" s="370">
        <f>'Overzicht BTA'!$D$38</f>
        <v>2.3958200000000001</v>
      </c>
      <c r="P100" s="374"/>
      <c r="Q100" s="220">
        <f>ROUND(M100*N100*O100,2)</f>
        <v>0</v>
      </c>
    </row>
    <row r="101" spans="1:23" ht="14.4" outlineLevel="1" thickBot="1" x14ac:dyDescent="0.35">
      <c r="A101" s="5" t="s">
        <v>279</v>
      </c>
      <c r="B101" s="8"/>
      <c r="C101" s="9">
        <v>0.1</v>
      </c>
      <c r="D101" s="9"/>
      <c r="E101" s="24">
        <f>ROUND(E100*C101,2)</f>
        <v>0</v>
      </c>
      <c r="F101" s="25"/>
      <c r="G101" s="213" t="s">
        <v>279</v>
      </c>
      <c r="H101" s="221"/>
      <c r="I101" s="225">
        <v>0.1</v>
      </c>
      <c r="J101" s="225"/>
      <c r="K101" s="24">
        <f>ROUND(K100*I101,2)</f>
        <v>0</v>
      </c>
      <c r="M101" s="213" t="s">
        <v>279</v>
      </c>
      <c r="N101" s="221"/>
      <c r="O101" s="225">
        <v>0.1</v>
      </c>
      <c r="P101" s="225"/>
      <c r="Q101" s="24">
        <f>ROUND(Q100*O101,2)</f>
        <v>0</v>
      </c>
    </row>
    <row r="102" spans="1:23" outlineLevel="1" x14ac:dyDescent="0.3">
      <c r="A102" s="8" t="s">
        <v>64</v>
      </c>
      <c r="B102" s="8" t="s">
        <v>293</v>
      </c>
      <c r="C102" s="97">
        <f>C58</f>
        <v>0</v>
      </c>
      <c r="D102" s="9">
        <f>D94</f>
        <v>0</v>
      </c>
      <c r="E102" s="24">
        <f>ROUND(E100*C102*D102,2)</f>
        <v>0</v>
      </c>
      <c r="F102" s="25"/>
      <c r="G102" s="221" t="s">
        <v>64</v>
      </c>
      <c r="H102" s="221" t="s">
        <v>293</v>
      </c>
      <c r="I102" s="97">
        <f>I58</f>
        <v>0</v>
      </c>
      <c r="J102" s="9">
        <f>J94</f>
        <v>0</v>
      </c>
      <c r="K102" s="24">
        <f>ROUND(K100*I102*J102,2)</f>
        <v>0</v>
      </c>
      <c r="M102" s="221" t="s">
        <v>64</v>
      </c>
      <c r="N102" s="221" t="s">
        <v>293</v>
      </c>
      <c r="O102" s="97">
        <f>O58</f>
        <v>0</v>
      </c>
      <c r="P102" s="9">
        <f>P94</f>
        <v>0</v>
      </c>
      <c r="Q102" s="24">
        <f>ROUND(Q100*O102*P102,2)</f>
        <v>0</v>
      </c>
    </row>
    <row r="103" spans="1:23" outlineLevel="1" x14ac:dyDescent="0.3">
      <c r="A103" s="8" t="s">
        <v>294</v>
      </c>
      <c r="B103" s="8" t="s">
        <v>295</v>
      </c>
      <c r="C103" s="97">
        <v>0.21</v>
      </c>
      <c r="D103" s="9">
        <f>D95</f>
        <v>0</v>
      </c>
      <c r="E103" s="24">
        <f>ROUND(E100*C103*D103,2)</f>
        <v>0</v>
      </c>
      <c r="F103" s="25"/>
      <c r="G103" s="221" t="s">
        <v>294</v>
      </c>
      <c r="H103" s="221" t="s">
        <v>295</v>
      </c>
      <c r="I103" s="226">
        <v>0.21</v>
      </c>
      <c r="J103" s="9">
        <f>J95</f>
        <v>0</v>
      </c>
      <c r="K103" s="24">
        <f>ROUND(K100*I103*J103,2)</f>
        <v>0</v>
      </c>
      <c r="M103" s="221" t="s">
        <v>294</v>
      </c>
      <c r="N103" s="221" t="s">
        <v>295</v>
      </c>
      <c r="O103" s="226">
        <v>0.21</v>
      </c>
      <c r="P103" s="9">
        <f>P95</f>
        <v>0</v>
      </c>
      <c r="Q103" s="24">
        <f>ROUND(Q100*O103*P103,2)</f>
        <v>0</v>
      </c>
    </row>
    <row r="104" spans="1:23" ht="14.4" outlineLevel="1" thickBot="1" x14ac:dyDescent="0.35">
      <c r="A104" s="8" t="s">
        <v>64</v>
      </c>
      <c r="B104" s="50" t="s">
        <v>281</v>
      </c>
      <c r="C104" s="9">
        <v>0.21</v>
      </c>
      <c r="D104" s="26"/>
      <c r="E104" s="27">
        <f>ROUND(E101*C104,2)</f>
        <v>0</v>
      </c>
      <c r="F104" s="25"/>
      <c r="G104" s="221" t="s">
        <v>64</v>
      </c>
      <c r="H104" s="50" t="s">
        <v>281</v>
      </c>
      <c r="I104" s="225">
        <v>0.21</v>
      </c>
      <c r="J104" s="227"/>
      <c r="K104" s="27">
        <f>ROUND(K101*I104,2)</f>
        <v>0</v>
      </c>
      <c r="M104" s="221" t="s">
        <v>64</v>
      </c>
      <c r="N104" s="50" t="s">
        <v>281</v>
      </c>
      <c r="O104" s="225">
        <v>0.21</v>
      </c>
      <c r="P104" s="227"/>
      <c r="Q104" s="27">
        <f>ROUND(Q101*O104,2)</f>
        <v>0</v>
      </c>
    </row>
    <row r="105" spans="1:23" ht="14.4" outlineLevel="1" thickTop="1" x14ac:dyDescent="0.3">
      <c r="A105" s="28" t="s">
        <v>282</v>
      </c>
      <c r="B105" s="29"/>
      <c r="C105" s="30"/>
      <c r="D105" s="31"/>
      <c r="E105" s="95">
        <f>SUM(E100:E104)</f>
        <v>0</v>
      </c>
      <c r="F105" s="25"/>
      <c r="G105" s="229" t="s">
        <v>282</v>
      </c>
      <c r="H105" s="230"/>
      <c r="I105" s="231"/>
      <c r="J105" s="232"/>
      <c r="K105" s="233">
        <f>SUM(K100:K104)</f>
        <v>0</v>
      </c>
      <c r="M105" s="229" t="s">
        <v>282</v>
      </c>
      <c r="N105" s="230"/>
      <c r="O105" s="231"/>
      <c r="P105" s="232"/>
      <c r="Q105" s="233">
        <f>SUM(Q100:Q104)</f>
        <v>0</v>
      </c>
    </row>
    <row r="106" spans="1:23" outlineLevel="1" x14ac:dyDescent="0.3">
      <c r="A106" s="23" t="s">
        <v>110</v>
      </c>
      <c r="B106" s="23"/>
      <c r="C106" s="23"/>
      <c r="D106" s="23"/>
      <c r="E106" s="496">
        <f>E105+E97</f>
        <v>0</v>
      </c>
      <c r="F106" s="25"/>
      <c r="G106" s="23" t="s">
        <v>110</v>
      </c>
      <c r="H106" s="243"/>
      <c r="I106" s="243"/>
      <c r="J106" s="243"/>
      <c r="K106" s="497">
        <f>K97+K105</f>
        <v>0</v>
      </c>
      <c r="M106" s="23" t="s">
        <v>110</v>
      </c>
      <c r="N106" s="243"/>
      <c r="O106" s="243"/>
      <c r="P106" s="243"/>
      <c r="Q106" s="497">
        <f>Q97+Q105</f>
        <v>0</v>
      </c>
    </row>
    <row r="107" spans="1:23" ht="14.4" outlineLevel="1" thickBot="1" x14ac:dyDescent="0.35"/>
    <row r="108" spans="1:23" customFormat="1" ht="15" outlineLevel="1" thickBot="1" x14ac:dyDescent="0.35">
      <c r="A108" s="376" t="s">
        <v>283</v>
      </c>
      <c r="B108" s="140"/>
      <c r="C108" s="140"/>
      <c r="D108" s="141"/>
      <c r="E108" s="141"/>
      <c r="G108" s="376" t="s">
        <v>283</v>
      </c>
      <c r="H108" s="140"/>
      <c r="I108" s="140"/>
      <c r="J108" s="141"/>
      <c r="K108" s="141"/>
      <c r="M108" s="376" t="s">
        <v>283</v>
      </c>
      <c r="N108" s="140"/>
      <c r="O108" s="140"/>
      <c r="P108" s="141"/>
      <c r="Q108" s="141"/>
      <c r="S108" s="23"/>
      <c r="T108" s="23"/>
      <c r="U108" s="23"/>
      <c r="V108" s="496"/>
      <c r="W108" s="149"/>
    </row>
    <row r="109" spans="1:23" customFormat="1" ht="15" outlineLevel="1" thickBot="1" x14ac:dyDescent="0.35">
      <c r="A109" s="372" t="s">
        <v>274</v>
      </c>
      <c r="B109" s="370" t="s">
        <v>275</v>
      </c>
      <c r="C109" s="370" t="s">
        <v>276</v>
      </c>
      <c r="D109" s="369"/>
      <c r="E109" s="370" t="s">
        <v>277</v>
      </c>
      <c r="G109" s="372" t="s">
        <v>274</v>
      </c>
      <c r="H109" s="370" t="s">
        <v>275</v>
      </c>
      <c r="I109" s="370" t="s">
        <v>276</v>
      </c>
      <c r="J109" s="369"/>
      <c r="K109" s="370" t="s">
        <v>277</v>
      </c>
      <c r="M109" s="372" t="s">
        <v>274</v>
      </c>
      <c r="N109" s="370" t="s">
        <v>275</v>
      </c>
      <c r="O109" s="370" t="s">
        <v>276</v>
      </c>
      <c r="P109" s="369"/>
      <c r="Q109" s="370" t="s">
        <v>277</v>
      </c>
      <c r="S109" s="23"/>
      <c r="T109" s="23"/>
      <c r="U109" s="23"/>
      <c r="V109" s="496"/>
      <c r="W109" s="149"/>
    </row>
    <row r="110" spans="1:23" customFormat="1" ht="15" outlineLevel="1" thickBot="1" x14ac:dyDescent="0.35">
      <c r="A110" s="1001">
        <f>A66</f>
        <v>0</v>
      </c>
      <c r="B110" s="904">
        <f>IF(B89=Bron!$E$40,55,0)</f>
        <v>0</v>
      </c>
      <c r="C110" s="370">
        <f>C100</f>
        <v>2.3958200000000001</v>
      </c>
      <c r="D110" s="369"/>
      <c r="E110" s="982">
        <f>ROUND(A110*B110*C110,2)</f>
        <v>0</v>
      </c>
      <c r="G110" s="1001">
        <f>G66</f>
        <v>0</v>
      </c>
      <c r="H110" s="904">
        <f>IF(H99=Bron!$E$40,55,0)</f>
        <v>0</v>
      </c>
      <c r="I110" s="370">
        <f>I100</f>
        <v>2.3958200000000001</v>
      </c>
      <c r="J110" s="369"/>
      <c r="K110" s="982">
        <f>ROUND(G110*H110*I110,2)</f>
        <v>0</v>
      </c>
      <c r="M110" s="1001">
        <f>M66</f>
        <v>0</v>
      </c>
      <c r="N110" s="904">
        <f>IF(N99=Bron!$E$40,55,0)</f>
        <v>0</v>
      </c>
      <c r="O110" s="370">
        <f>O100</f>
        <v>2.3958200000000001</v>
      </c>
      <c r="P110" s="369"/>
      <c r="Q110" s="982">
        <f>ROUND(M110*N110*O110,2)</f>
        <v>0</v>
      </c>
      <c r="S110" s="23"/>
      <c r="T110" s="23"/>
      <c r="U110" s="23"/>
      <c r="V110" s="496"/>
      <c r="W110" s="149"/>
    </row>
    <row r="111" spans="1:23" customFormat="1" ht="15" outlineLevel="1" thickBot="1" x14ac:dyDescent="0.35">
      <c r="A111" s="368" t="s">
        <v>285</v>
      </c>
      <c r="B111" s="63">
        <f>'Bouwkost NB'!$E$52</f>
        <v>0</v>
      </c>
      <c r="C111" s="66">
        <v>0.6</v>
      </c>
      <c r="D111" s="369"/>
      <c r="E111" s="982">
        <f>B111*C111</f>
        <v>0</v>
      </c>
      <c r="G111" s="65" t="s">
        <v>285</v>
      </c>
      <c r="H111" s="63">
        <f>'Bouwkost NB'!$N$52</f>
        <v>0</v>
      </c>
      <c r="I111" s="66">
        <v>0.6</v>
      </c>
      <c r="J111" s="369"/>
      <c r="K111" s="982">
        <f>H111*I111</f>
        <v>0</v>
      </c>
      <c r="M111" s="65" t="s">
        <v>285</v>
      </c>
      <c r="N111" s="63">
        <f>'Bouwkost NB'!$Y$52</f>
        <v>0</v>
      </c>
      <c r="O111" s="66">
        <v>0.6</v>
      </c>
      <c r="P111" s="369"/>
      <c r="Q111" s="982">
        <f>N111*O111</f>
        <v>0</v>
      </c>
      <c r="S111" s="23"/>
      <c r="T111" s="23"/>
      <c r="U111" s="23"/>
      <c r="V111" s="496"/>
      <c r="W111" s="149"/>
    </row>
    <row r="112" spans="1:23" customFormat="1" ht="15" outlineLevel="1" thickBot="1" x14ac:dyDescent="0.35">
      <c r="A112" s="65" t="s">
        <v>286</v>
      </c>
      <c r="B112" s="63">
        <f>'Bouwkost NB'!$C$58</f>
        <v>0</v>
      </c>
      <c r="C112" s="66">
        <v>0.6</v>
      </c>
      <c r="D112" s="369"/>
      <c r="E112" s="982">
        <f>B112*C112</f>
        <v>0</v>
      </c>
      <c r="G112" s="65" t="s">
        <v>286</v>
      </c>
      <c r="H112" s="63">
        <f>'Bouwkost NB'!$N$58</f>
        <v>0</v>
      </c>
      <c r="I112" s="66">
        <v>0.6</v>
      </c>
      <c r="J112" s="369"/>
      <c r="K112" s="982">
        <f>H112*I112</f>
        <v>0</v>
      </c>
      <c r="M112" s="65" t="s">
        <v>286</v>
      </c>
      <c r="N112" s="63">
        <f>'Bouwkost NB'!$Y$58</f>
        <v>0</v>
      </c>
      <c r="O112" s="66">
        <v>0.6</v>
      </c>
      <c r="P112" s="369"/>
      <c r="Q112" s="982">
        <f>N112*O112</f>
        <v>0</v>
      </c>
      <c r="S112" s="23"/>
      <c r="T112" s="23"/>
      <c r="U112" s="23"/>
      <c r="V112" s="496"/>
      <c r="W112" s="149"/>
    </row>
    <row r="113" spans="1:17" customFormat="1" ht="15" outlineLevel="1" thickBot="1" x14ac:dyDescent="0.35">
      <c r="A113" s="1220" t="s">
        <v>287</v>
      </c>
      <c r="B113" s="1221"/>
      <c r="C113" s="133"/>
      <c r="D113" s="18"/>
      <c r="E113" s="96">
        <f>MIN(E110,(E111+E112))</f>
        <v>0</v>
      </c>
      <c r="G113" s="1220" t="s">
        <v>287</v>
      </c>
      <c r="H113" s="1221"/>
      <c r="I113" s="133"/>
      <c r="J113" s="18"/>
      <c r="K113" s="96">
        <f>MIN(K110,(K111+K112))</f>
        <v>0</v>
      </c>
      <c r="M113" s="1220" t="s">
        <v>287</v>
      </c>
      <c r="N113" s="1221"/>
      <c r="O113" s="133"/>
      <c r="P113" s="18"/>
      <c r="Q113" s="96">
        <f>MIN(Q110,(Q111+Q112))</f>
        <v>0</v>
      </c>
    </row>
    <row r="114" spans="1:17" ht="14.4" outlineLevel="1" thickBot="1" x14ac:dyDescent="0.35">
      <c r="A114" s="213" t="s">
        <v>279</v>
      </c>
      <c r="B114" s="221"/>
      <c r="C114" s="225">
        <v>0.1</v>
      </c>
      <c r="D114" s="225"/>
      <c r="E114" s="224">
        <f>ROUND(E113*C114,2)</f>
        <v>0</v>
      </c>
      <c r="F114" s="246"/>
      <c r="G114" s="213" t="s">
        <v>279</v>
      </c>
      <c r="H114" s="221"/>
      <c r="I114" s="225">
        <v>0.1</v>
      </c>
      <c r="J114" s="225"/>
      <c r="K114" s="224">
        <f>ROUND(K113*I114,2)</f>
        <v>0</v>
      </c>
      <c r="M114" s="213" t="s">
        <v>279</v>
      </c>
      <c r="N114" s="221"/>
      <c r="O114" s="225">
        <v>0.1</v>
      </c>
      <c r="P114" s="225"/>
      <c r="Q114" s="224">
        <f>ROUND(Q113*O114,2)</f>
        <v>0</v>
      </c>
    </row>
    <row r="115" spans="1:17" outlineLevel="1" x14ac:dyDescent="0.3">
      <c r="A115" s="221" t="s">
        <v>64</v>
      </c>
      <c r="B115" s="221" t="s">
        <v>293</v>
      </c>
      <c r="C115" s="226">
        <f>'Overzicht BTA'!E120</f>
        <v>0</v>
      </c>
      <c r="D115" s="225">
        <f>D107</f>
        <v>0</v>
      </c>
      <c r="E115" s="224">
        <f>ROUND(E113*C115*D115,2)</f>
        <v>0</v>
      </c>
      <c r="F115" s="246"/>
      <c r="G115" s="221" t="s">
        <v>64</v>
      </c>
      <c r="H115" s="221" t="s">
        <v>293</v>
      </c>
      <c r="I115" s="226">
        <f>'Overzicht BTA'!K120</f>
        <v>0</v>
      </c>
      <c r="J115" s="225">
        <f>J107</f>
        <v>0</v>
      </c>
      <c r="K115" s="224">
        <f>ROUND(K113*I115*J115,2)</f>
        <v>0</v>
      </c>
      <c r="M115" s="221" t="s">
        <v>64</v>
      </c>
      <c r="N115" s="221" t="s">
        <v>293</v>
      </c>
      <c r="O115" s="226">
        <f>'Overzicht BTA'!Q120</f>
        <v>0</v>
      </c>
      <c r="P115" s="225">
        <f>P107</f>
        <v>0</v>
      </c>
      <c r="Q115" s="224">
        <f>ROUND(Q113*O115*P115,2)</f>
        <v>0</v>
      </c>
    </row>
    <row r="116" spans="1:17" outlineLevel="1" x14ac:dyDescent="0.3">
      <c r="A116" s="221" t="s">
        <v>294</v>
      </c>
      <c r="B116" s="221" t="s">
        <v>295</v>
      </c>
      <c r="C116" s="226">
        <v>0.21</v>
      </c>
      <c r="D116" s="225">
        <f>D108</f>
        <v>0</v>
      </c>
      <c r="E116" s="224">
        <f>ROUND(E113*C116*D116,2)</f>
        <v>0</v>
      </c>
      <c r="F116" s="246"/>
      <c r="G116" s="221" t="s">
        <v>294</v>
      </c>
      <c r="H116" s="221" t="s">
        <v>295</v>
      </c>
      <c r="I116" s="226">
        <v>0.21</v>
      </c>
      <c r="J116" s="225">
        <f>J108</f>
        <v>0</v>
      </c>
      <c r="K116" s="224">
        <f>ROUND(K113*I116*J116,2)</f>
        <v>0</v>
      </c>
      <c r="M116" s="221" t="s">
        <v>294</v>
      </c>
      <c r="N116" s="221" t="s">
        <v>295</v>
      </c>
      <c r="O116" s="226">
        <v>0.21</v>
      </c>
      <c r="P116" s="225">
        <f>P108</f>
        <v>0</v>
      </c>
      <c r="Q116" s="224">
        <f>ROUND(Q113*O116*P116,2)</f>
        <v>0</v>
      </c>
    </row>
    <row r="117" spans="1:17" ht="14.4" outlineLevel="1" thickBot="1" x14ac:dyDescent="0.35">
      <c r="A117" s="221" t="s">
        <v>64</v>
      </c>
      <c r="B117" s="50" t="s">
        <v>281</v>
      </c>
      <c r="C117" s="225">
        <v>0.21</v>
      </c>
      <c r="D117" s="227"/>
      <c r="E117" s="228">
        <f>ROUND(E114*C117,2)</f>
        <v>0</v>
      </c>
      <c r="F117" s="246"/>
      <c r="G117" s="221" t="s">
        <v>64</v>
      </c>
      <c r="H117" s="50" t="s">
        <v>281</v>
      </c>
      <c r="I117" s="225">
        <v>0.21</v>
      </c>
      <c r="J117" s="227"/>
      <c r="K117" s="228">
        <f>ROUND(K114*I117,2)</f>
        <v>0</v>
      </c>
      <c r="M117" s="221" t="s">
        <v>64</v>
      </c>
      <c r="N117" s="50" t="s">
        <v>281</v>
      </c>
      <c r="O117" s="225">
        <v>0.21</v>
      </c>
      <c r="P117" s="227"/>
      <c r="Q117" s="228">
        <f>ROUND(Q114*O117,2)</f>
        <v>0</v>
      </c>
    </row>
    <row r="118" spans="1:17" ht="14.4" outlineLevel="1" thickTop="1" x14ac:dyDescent="0.3">
      <c r="A118" s="229" t="s">
        <v>282</v>
      </c>
      <c r="B118" s="230"/>
      <c r="C118" s="231"/>
      <c r="D118" s="232"/>
      <c r="E118" s="233">
        <f>SUM(E113:E117)</f>
        <v>0</v>
      </c>
      <c r="F118" s="246"/>
      <c r="G118" s="229" t="s">
        <v>282</v>
      </c>
      <c r="H118" s="230"/>
      <c r="I118" s="231"/>
      <c r="J118" s="232"/>
      <c r="K118" s="233">
        <f>SUM(K113:K117)</f>
        <v>0</v>
      </c>
      <c r="M118" s="229" t="s">
        <v>282</v>
      </c>
      <c r="N118" s="230"/>
      <c r="O118" s="231"/>
      <c r="P118" s="232"/>
      <c r="Q118" s="233">
        <f>SUM(Q113:Q117)</f>
        <v>0</v>
      </c>
    </row>
    <row r="119" spans="1:17" customFormat="1" ht="15" outlineLevel="1" thickBot="1" x14ac:dyDescent="0.35">
      <c r="A119" s="981"/>
      <c r="B119" s="981"/>
      <c r="C119" s="851"/>
      <c r="D119" s="18"/>
      <c r="E119" s="852"/>
      <c r="G119" s="981"/>
      <c r="H119" s="981"/>
      <c r="I119" s="851"/>
      <c r="J119" s="18"/>
      <c r="K119" s="852"/>
      <c r="M119" s="981"/>
      <c r="N119" s="981"/>
      <c r="O119" s="851"/>
      <c r="P119" s="18"/>
      <c r="Q119" s="852"/>
    </row>
    <row r="120" spans="1:17" customFormat="1" ht="15" outlineLevel="1" thickBot="1" x14ac:dyDescent="0.35">
      <c r="A120" s="5" t="s">
        <v>297</v>
      </c>
      <c r="B120" s="6"/>
      <c r="C120" s="7"/>
      <c r="D120" s="18"/>
      <c r="E120" s="1">
        <f>E118+E105+E97</f>
        <v>0</v>
      </c>
      <c r="G120" s="5" t="s">
        <v>297</v>
      </c>
      <c r="H120" s="6"/>
      <c r="I120" s="7"/>
      <c r="J120" s="18"/>
      <c r="K120" s="1">
        <f>K113+K105+K97</f>
        <v>0</v>
      </c>
      <c r="M120" s="5" t="s">
        <v>297</v>
      </c>
      <c r="N120" s="6"/>
      <c r="O120" s="7"/>
      <c r="P120" s="18"/>
      <c r="Q120" s="1">
        <f>Q113+Q105+Q97</f>
        <v>0</v>
      </c>
    </row>
    <row r="121" spans="1:17" ht="14.4" outlineLevel="1" thickBot="1" x14ac:dyDescent="0.35">
      <c r="C121" s="851"/>
      <c r="D121" s="852"/>
      <c r="E121" s="51"/>
      <c r="I121" s="851"/>
      <c r="J121" s="852"/>
      <c r="K121" s="51"/>
      <c r="O121" s="851"/>
      <c r="P121" s="852"/>
      <c r="Q121" s="51"/>
    </row>
    <row r="122" spans="1:17" ht="28.2" outlineLevel="1" thickBot="1" x14ac:dyDescent="0.35">
      <c r="A122" s="1224" t="s">
        <v>298</v>
      </c>
      <c r="B122" s="1225"/>
      <c r="C122" s="130">
        <f>E92+E100+E113</f>
        <v>0</v>
      </c>
      <c r="D122" s="128" t="s">
        <v>289</v>
      </c>
      <c r="E122" s="492">
        <f>C122*10/6</f>
        <v>0</v>
      </c>
      <c r="G122" s="1226" t="s">
        <v>298</v>
      </c>
      <c r="H122" s="1227"/>
      <c r="I122" s="130">
        <f>K92+K100+K113</f>
        <v>0</v>
      </c>
      <c r="J122" s="128" t="s">
        <v>289</v>
      </c>
      <c r="K122" s="492">
        <f>I122*10/6</f>
        <v>0</v>
      </c>
      <c r="M122" s="1226" t="s">
        <v>298</v>
      </c>
      <c r="N122" s="1227"/>
      <c r="O122" s="130">
        <f>Q92+Q100+Q113</f>
        <v>0</v>
      </c>
      <c r="P122" s="128" t="s">
        <v>289</v>
      </c>
      <c r="Q122" s="492">
        <f>O122*10/6</f>
        <v>0</v>
      </c>
    </row>
  </sheetData>
  <mergeCells count="20">
    <mergeCell ref="A122:B122"/>
    <mergeCell ref="G122:H122"/>
    <mergeCell ref="M122:N122"/>
    <mergeCell ref="A34:B34"/>
    <mergeCell ref="G34:H34"/>
    <mergeCell ref="M34:N34"/>
    <mergeCell ref="A78:B78"/>
    <mergeCell ref="G78:H78"/>
    <mergeCell ref="M78:N78"/>
    <mergeCell ref="A44:Q44"/>
    <mergeCell ref="A69:B69"/>
    <mergeCell ref="G69:H69"/>
    <mergeCell ref="M69:N69"/>
    <mergeCell ref="A113:B113"/>
    <mergeCell ref="G113:H113"/>
    <mergeCell ref="M113:N113"/>
    <mergeCell ref="A88:Q88"/>
    <mergeCell ref="A25:B25"/>
    <mergeCell ref="G25:H25"/>
    <mergeCell ref="M25:N25"/>
  </mergeCells>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Blad171"/>
  <dimension ref="A1:W123"/>
  <sheetViews>
    <sheetView topLeftCell="A41" zoomScale="80" zoomScaleNormal="80" workbookViewId="0">
      <selection activeCell="C59" sqref="C59"/>
    </sheetView>
  </sheetViews>
  <sheetFormatPr defaultRowHeight="14.4" outlineLevelRow="2" outlineLevelCol="2" x14ac:dyDescent="0.3"/>
  <cols>
    <col min="1" max="1" width="30.44140625" bestFit="1" customWidth="1"/>
    <col min="2" max="2" width="15.6640625" customWidth="1"/>
    <col min="3" max="3" width="8.6640625" customWidth="1"/>
    <col min="4" max="4" width="14.6640625" customWidth="1"/>
    <col min="5" max="5" width="9.88671875" bestFit="1" customWidth="1"/>
    <col min="6" max="6" width="3.33203125" customWidth="1"/>
    <col min="7" max="7" width="30.44140625" hidden="1" customWidth="1" outlineLevel="1"/>
    <col min="8" max="8" width="12.6640625" hidden="1" customWidth="1" outlineLevel="1"/>
    <col min="9" max="9" width="9.33203125" hidden="1" customWidth="1" outlineLevel="1"/>
    <col min="10" max="10" width="14" hidden="1" customWidth="1" outlineLevel="1"/>
    <col min="11" max="11" width="6.88671875" hidden="1" customWidth="1" outlineLevel="1"/>
    <col min="12" max="12" width="8.88671875" collapsed="1"/>
    <col min="13" max="13" width="30.44140625" hidden="1" customWidth="1" outlineLevel="2"/>
    <col min="14" max="14" width="12.44140625" hidden="1" customWidth="1" outlineLevel="2"/>
    <col min="15" max="15" width="8" hidden="1" customWidth="1" outlineLevel="2"/>
    <col min="16" max="16" width="14" hidden="1" customWidth="1" outlineLevel="2"/>
    <col min="17" max="17" width="6.88671875" hidden="1" customWidth="1" outlineLevel="2"/>
    <col min="18" max="18" width="8.88671875" collapsed="1"/>
  </cols>
  <sheetData>
    <row r="1" spans="1:23" s="106" customFormat="1" ht="15" thickBot="1" x14ac:dyDescent="0.35">
      <c r="A1" s="106" t="s">
        <v>23</v>
      </c>
      <c r="B1" s="106" t="str">
        <f>'Overzicht BTA'!C3</f>
        <v>Kies de zorgvorm</v>
      </c>
      <c r="G1" s="106" t="s">
        <v>23</v>
      </c>
      <c r="H1" s="1222" t="str">
        <f>'Overzicht BTA'!H3</f>
        <v>Kies de zorgvorm</v>
      </c>
      <c r="I1" s="1222"/>
      <c r="J1" s="1222"/>
      <c r="M1" s="106" t="s">
        <v>23</v>
      </c>
      <c r="N1" s="1222" t="str">
        <f>'Overzicht BTA'!N3</f>
        <v>Kies de zorgvorm</v>
      </c>
      <c r="O1" s="1222"/>
      <c r="P1" s="1222"/>
    </row>
    <row r="2" spans="1:23" ht="15" thickBot="1" x14ac:dyDescent="0.35">
      <c r="A2" s="139" t="str">
        <f>IF(B2=TRUE," Nieuwbouw light 21%","Uitbreiding light 21%")</f>
        <v>Uitbreiding light 21%</v>
      </c>
      <c r="B2" s="1053" t="b">
        <v>0</v>
      </c>
      <c r="C2" s="1053" t="b">
        <v>1</v>
      </c>
      <c r="D2" s="141"/>
      <c r="E2" s="141"/>
      <c r="G2" s="139" t="str">
        <f>IF(H2=TRUE," Nieuwbouw light 21%","Uitbreiding light 21%")</f>
        <v>Uitbreiding light 21%</v>
      </c>
      <c r="H2" s="1053" t="b">
        <v>0</v>
      </c>
      <c r="I2" s="1053" t="b">
        <v>0</v>
      </c>
      <c r="J2" s="141"/>
      <c r="K2" s="141"/>
      <c r="M2" s="139" t="str">
        <f>IF(N2=TRUE," Nieuwbouw light 21%","Uitbreiding light 21%")</f>
        <v>Uitbreiding light 21%</v>
      </c>
      <c r="N2" s="1053" t="b">
        <v>0</v>
      </c>
      <c r="O2" s="1053"/>
      <c r="P2" s="141"/>
      <c r="Q2" s="141"/>
    </row>
    <row r="3" spans="1:23" x14ac:dyDescent="0.3">
      <c r="A3" s="1228" t="s">
        <v>300</v>
      </c>
      <c r="B3" s="1229"/>
      <c r="C3" s="1229"/>
      <c r="D3" s="1229"/>
      <c r="E3" s="1230"/>
      <c r="G3" s="1228" t="s">
        <v>300</v>
      </c>
      <c r="H3" s="1229"/>
      <c r="I3" s="1229"/>
      <c r="J3" s="1229"/>
      <c r="K3" s="1230"/>
      <c r="M3" s="1228" t="s">
        <v>300</v>
      </c>
      <c r="N3" s="1229"/>
      <c r="O3" s="1229"/>
      <c r="P3" s="1229"/>
      <c r="Q3" s="1230"/>
      <c r="T3">
        <f>550*0.65</f>
        <v>357.5</v>
      </c>
    </row>
    <row r="4" spans="1:23" ht="15" thickBot="1" x14ac:dyDescent="0.35">
      <c r="A4" s="372" t="s">
        <v>274</v>
      </c>
      <c r="B4" s="370" t="s">
        <v>275</v>
      </c>
      <c r="C4" s="370" t="s">
        <v>276</v>
      </c>
      <c r="D4" s="370" t="s">
        <v>277</v>
      </c>
      <c r="E4" s="377" t="s">
        <v>278</v>
      </c>
      <c r="F4" s="23"/>
      <c r="G4" s="373" t="s">
        <v>274</v>
      </c>
      <c r="H4" s="375" t="s">
        <v>275</v>
      </c>
      <c r="I4" s="375" t="s">
        <v>276</v>
      </c>
      <c r="J4" s="375" t="s">
        <v>277</v>
      </c>
      <c r="K4" s="379" t="s">
        <v>278</v>
      </c>
      <c r="M4" s="373" t="s">
        <v>274</v>
      </c>
      <c r="N4" s="375" t="s">
        <v>275</v>
      </c>
      <c r="O4" s="375" t="s">
        <v>276</v>
      </c>
      <c r="P4" s="375" t="s">
        <v>277</v>
      </c>
      <c r="Q4" s="379" t="s">
        <v>278</v>
      </c>
      <c r="T4" s="350">
        <f>T3-B5</f>
        <v>385</v>
      </c>
    </row>
    <row r="5" spans="1:23" ht="15" thickBot="1" x14ac:dyDescent="0.35">
      <c r="A5" s="368">
        <f>IF(ISNUMBER(MATCH(A2,'Overzicht BTA'!B7:B10,0)),IF(MATCH(Bron!$B$13,'Overzicht BTA'!$B$7:$B$10,0)=1,'Overzicht BTA'!$D$7,IF(MATCH(Bron!$B$13,'Overzicht BTA'!$B$7:$B$10,0)=2,'Overzicht BTA'!$D$8,IF(MATCH(Bron!$B$13,'Overzicht BTA'!$B$7:$B$10,0)=3,'Overzicht BTA'!$D$9,IF(MATCH(Bron!$B$13,'Overzicht BTA'!$B$7:$B$10,0)=4,'Overzicht BTA'!$D$10,0)))),0)</f>
        <v>0</v>
      </c>
      <c r="B5" s="904">
        <f>IF(B2=TRUE,VLOOKUP(B1,'Capaciteiten &amp; forfaits'!$B$3:$H$76,4,FALSE)*0.65,(VLOOKUP(B1,'Capaciteiten &amp; forfaits'!$B$3:$H$76,4,FALSE)-50)*0.55)</f>
        <v>-27.500000000000004</v>
      </c>
      <c r="C5" s="1113">
        <f>'Overzicht BTA'!$D$36</f>
        <v>2.3958200000000001</v>
      </c>
      <c r="D5" s="378">
        <f>ROUND(A5*B5*C5,2)</f>
        <v>0</v>
      </c>
      <c r="E5" s="908">
        <f>ROUND(B5*C5*1,2)</f>
        <v>-65.89</v>
      </c>
      <c r="G5" s="368">
        <f>IF(ISNUMBER(MATCH(G2,'Overzicht BTA'!H7:H10,0)),IF(MATCH(Bron!$B$13,'Overzicht BTA'!$H$7:$H$10,0)=1,'Overzicht BTA'!$J$7,IF(MATCH(Bron!$B$13,'Overzicht BTA'!$H$7:$H$10,0)=2,'Overzicht BTA'!$J$8,IF(MATCH(Bron!$B$13,'Overzicht BTA'!$H$7:$H$10,0)=3,'Overzicht BTA'!$J$9,IF(MATCH(Bron!$B$13,'Overzicht BTA'!$H$7:$H$10,0)=4,'Overzicht BTA'!$J$10,0)))),0)</f>
        <v>0</v>
      </c>
      <c r="H5" s="904">
        <f>VLOOKUP(H1,'Capaciteiten &amp; forfaits'!$B$3:$H$76,4,FALSE)*0.65</f>
        <v>0</v>
      </c>
      <c r="I5" s="375">
        <f>'Overzicht BTA'!$I$36</f>
        <v>2.3958200000000001</v>
      </c>
      <c r="J5" s="378">
        <f>ROUND(G5*H5*I5,2)</f>
        <v>0</v>
      </c>
      <c r="K5" s="908">
        <f>ROUND(H5*I5*1,2)</f>
        <v>0</v>
      </c>
      <c r="M5" s="368">
        <f>IF(ISNUMBER(MATCH(M2,'Overzicht BTA'!N7:N10,0)),IF('Overzicht BTA'!P14=0,0,IF(MATCH(Bron!$B$13,'Overzicht BTA'!$N$7:$N$10,0)=1,'Overzicht BTA'!$P$7,IF(MATCH(Bron!$B$13,'Overzicht BTA'!$N$7:$N$10,0)=2,'Overzicht BTA'!$P$8,IF(MATCH(Bron!$B$13,'Overzicht BTA'!$N$7:$N$10,0)=3,'Overzicht BTA'!$P$9,IF(MATCH(Bron!$B$13,'Overzicht BTA'!$N$7:$N$10,0)=4,'Overzicht BTA'!$P$10,0))))),0)</f>
        <v>0</v>
      </c>
      <c r="N5" s="904">
        <f>VLOOKUP(N1,'Capaciteiten &amp; forfaits'!$B$3:$H$76,4,FALSE)*0.65</f>
        <v>0</v>
      </c>
      <c r="O5" s="375">
        <f>'Overzicht BTA'!$O$36</f>
        <v>2.3958200000000001</v>
      </c>
      <c r="P5" s="378">
        <f>ROUND(M5*N5*O5,2)</f>
        <v>0</v>
      </c>
      <c r="Q5" s="908">
        <f>ROUND(N5*O5*1,2)</f>
        <v>0</v>
      </c>
    </row>
    <row r="6" spans="1:23" ht="15" thickBot="1" x14ac:dyDescent="0.35">
      <c r="A6" s="5" t="s">
        <v>279</v>
      </c>
      <c r="B6" s="6"/>
      <c r="C6" s="2">
        <v>0.1</v>
      </c>
      <c r="D6" s="1">
        <f>ROUND(D5*C6,2)</f>
        <v>0</v>
      </c>
      <c r="E6" s="423"/>
      <c r="G6" s="213" t="s">
        <v>279</v>
      </c>
      <c r="H6" s="214"/>
      <c r="I6" s="215">
        <v>0.1</v>
      </c>
      <c r="J6" s="1">
        <f>ROUND(J5*I6,2)</f>
        <v>0</v>
      </c>
      <c r="M6" s="213" t="s">
        <v>279</v>
      </c>
      <c r="N6" s="214"/>
      <c r="O6" s="215">
        <v>0.1</v>
      </c>
      <c r="P6" s="1">
        <f>ROUND(P5*O6,2)</f>
        <v>0</v>
      </c>
    </row>
    <row r="7" spans="1:23" ht="15" thickBot="1" x14ac:dyDescent="0.35">
      <c r="A7" s="5" t="s">
        <v>64</v>
      </c>
      <c r="B7" s="6" t="s">
        <v>280</v>
      </c>
      <c r="C7" s="2">
        <v>0.21</v>
      </c>
      <c r="D7" s="1">
        <f>ROUND(D5*C7,2)</f>
        <v>0</v>
      </c>
      <c r="E7" s="423"/>
      <c r="F7" s="150"/>
      <c r="G7" s="213" t="s">
        <v>64</v>
      </c>
      <c r="H7" s="214" t="s">
        <v>280</v>
      </c>
      <c r="I7" s="215">
        <v>0.21</v>
      </c>
      <c r="J7" s="1">
        <f>ROUND(J5*I7,2)</f>
        <v>0</v>
      </c>
      <c r="M7" s="213" t="s">
        <v>64</v>
      </c>
      <c r="N7" s="214" t="s">
        <v>280</v>
      </c>
      <c r="O7" s="215">
        <v>0.21</v>
      </c>
      <c r="P7" s="1">
        <f>ROUND(P5*O7,2)</f>
        <v>0</v>
      </c>
    </row>
    <row r="8" spans="1:23" ht="15" thickBot="1" x14ac:dyDescent="0.35">
      <c r="A8" s="3" t="s">
        <v>64</v>
      </c>
      <c r="B8" s="18" t="s">
        <v>281</v>
      </c>
      <c r="C8" s="2">
        <v>0.21</v>
      </c>
      <c r="D8" s="4">
        <f>ROUND(D6*C8,2)</f>
        <v>0</v>
      </c>
      <c r="E8" s="423"/>
      <c r="F8" s="149"/>
      <c r="G8" s="216" t="s">
        <v>64</v>
      </c>
      <c r="H8" s="18" t="s">
        <v>281</v>
      </c>
      <c r="I8" s="215">
        <v>0.21</v>
      </c>
      <c r="J8" s="4">
        <f>ROUND(J6*I8,2)</f>
        <v>0</v>
      </c>
      <c r="M8" s="216" t="s">
        <v>64</v>
      </c>
      <c r="N8" s="18" t="s">
        <v>281</v>
      </c>
      <c r="O8" s="215">
        <v>0.21</v>
      </c>
      <c r="P8" s="4">
        <f>ROUND(P6*O8,2)</f>
        <v>0</v>
      </c>
    </row>
    <row r="9" spans="1:23" ht="15" thickBot="1" x14ac:dyDescent="0.35">
      <c r="A9" s="5" t="s">
        <v>282</v>
      </c>
      <c r="B9" s="6"/>
      <c r="C9" s="7"/>
      <c r="D9" s="1">
        <f>SUM(D5:D8)</f>
        <v>0</v>
      </c>
      <c r="E9" s="53"/>
      <c r="G9" s="213" t="s">
        <v>282</v>
      </c>
      <c r="H9" s="214"/>
      <c r="I9" s="217"/>
      <c r="J9" s="493">
        <f>SUM(J5:J8)</f>
        <v>0</v>
      </c>
      <c r="K9" s="212"/>
      <c r="M9" s="213" t="s">
        <v>282</v>
      </c>
      <c r="N9" s="214"/>
      <c r="O9" s="217"/>
      <c r="P9" s="493">
        <f>SUM(P5:P8)</f>
        <v>0</v>
      </c>
      <c r="Q9" s="212"/>
    </row>
    <row r="10" spans="1:23" x14ac:dyDescent="0.3">
      <c r="S10" s="23"/>
      <c r="T10" s="23"/>
      <c r="U10" s="23"/>
      <c r="V10" s="496"/>
      <c r="W10" s="149"/>
    </row>
    <row r="11" spans="1:23" x14ac:dyDescent="0.3">
      <c r="A11" s="1228" t="s">
        <v>303</v>
      </c>
      <c r="B11" s="1229"/>
      <c r="C11" s="1229"/>
      <c r="D11" s="1229"/>
      <c r="E11" s="1230"/>
      <c r="G11" s="1228" t="s">
        <v>303</v>
      </c>
      <c r="H11" s="1229"/>
      <c r="I11" s="1229"/>
      <c r="J11" s="1229"/>
      <c r="K11" s="1230"/>
      <c r="M11" s="1228" t="s">
        <v>303</v>
      </c>
      <c r="N11" s="1229"/>
      <c r="O11" s="1229"/>
      <c r="P11" s="1229"/>
      <c r="Q11" s="1230"/>
      <c r="S11" s="23"/>
      <c r="T11" s="23"/>
      <c r="U11" s="23"/>
      <c r="V11" s="496"/>
      <c r="W11" s="149"/>
    </row>
    <row r="12" spans="1:23" ht="15" thickBot="1" x14ac:dyDescent="0.35">
      <c r="A12" s="70" t="s">
        <v>304</v>
      </c>
      <c r="B12" s="32" t="s">
        <v>275</v>
      </c>
      <c r="C12" s="239" t="s">
        <v>276</v>
      </c>
      <c r="D12" s="32" t="s">
        <v>277</v>
      </c>
      <c r="G12" s="70" t="s">
        <v>304</v>
      </c>
      <c r="H12" s="32" t="s">
        <v>275</v>
      </c>
      <c r="I12" s="239" t="s">
        <v>276</v>
      </c>
      <c r="J12" s="32" t="s">
        <v>277</v>
      </c>
      <c r="M12" s="70" t="s">
        <v>304</v>
      </c>
      <c r="N12" s="32" t="s">
        <v>275</v>
      </c>
      <c r="O12" s="239" t="s">
        <v>276</v>
      </c>
      <c r="P12" s="32" t="s">
        <v>277</v>
      </c>
      <c r="S12" s="23"/>
      <c r="T12" s="23"/>
      <c r="U12" s="23"/>
      <c r="V12" s="496"/>
      <c r="W12" s="149"/>
    </row>
    <row r="13" spans="1:23" ht="15" thickBot="1" x14ac:dyDescent="0.35">
      <c r="A13" s="1006">
        <f>IF(C1=TRUE,A5,0)</f>
        <v>0</v>
      </c>
      <c r="B13" s="1007">
        <f>IF(B2=TRUE,0,VLOOKUP(B1,'Capaciteiten &amp; forfaits'!$B$3:$H$76,4,FALSE)*0.1)</f>
        <v>0</v>
      </c>
      <c r="C13" s="1114">
        <f>C5</f>
        <v>2.3958200000000001</v>
      </c>
      <c r="D13" s="1010">
        <f>ROUND(A13*B13*C13,2)</f>
        <v>0</v>
      </c>
      <c r="G13" s="1006">
        <f>IF(I1=TRUE,G5,0)</f>
        <v>0</v>
      </c>
      <c r="H13" s="1007">
        <v>32.5</v>
      </c>
      <c r="I13" s="1008" t="s">
        <v>1283</v>
      </c>
      <c r="J13" s="1010">
        <f>ROUND(G13*H13*I13,2)</f>
        <v>0</v>
      </c>
      <c r="M13" s="1006">
        <f>IF(O1=TRUE,M5,0)</f>
        <v>0</v>
      </c>
      <c r="N13" s="1007">
        <v>32.5</v>
      </c>
      <c r="O13" s="1008" t="s">
        <v>1283</v>
      </c>
      <c r="P13" s="1010">
        <f>ROUND(M13*N13*O13,2)</f>
        <v>0</v>
      </c>
      <c r="S13" s="23"/>
      <c r="T13" s="23"/>
      <c r="U13" s="23"/>
      <c r="V13" s="496"/>
      <c r="W13" s="149"/>
    </row>
    <row r="14" spans="1:23" x14ac:dyDescent="0.3">
      <c r="A14" s="65" t="s">
        <v>305</v>
      </c>
      <c r="B14" s="63">
        <f>IF($B$2=TRUE, "nvt", B42)</f>
        <v>0</v>
      </c>
      <c r="C14" s="66">
        <v>0.6</v>
      </c>
      <c r="D14" s="1056">
        <f>IFERROR(ROUND(B14*C14,2),"nvt")</f>
        <v>0</v>
      </c>
      <c r="G14" s="65" t="s">
        <v>305</v>
      </c>
      <c r="H14" s="63">
        <f>IF($H$2=TRUE, "nvt", H42)</f>
        <v>0</v>
      </c>
      <c r="I14" s="66">
        <v>0.6</v>
      </c>
      <c r="J14" s="1056">
        <f>IFERROR(ROUND(H14*I14,2),"nvt")</f>
        <v>0</v>
      </c>
      <c r="M14" s="65" t="s">
        <v>305</v>
      </c>
      <c r="N14" s="63">
        <f>IF($N$2=TRUE, "nvt", N42)</f>
        <v>0</v>
      </c>
      <c r="O14" s="66">
        <v>0.6</v>
      </c>
      <c r="P14" s="1056">
        <f>IFERROR(ROUND(N14*O14,2),"nvt")</f>
        <v>0</v>
      </c>
      <c r="S14" s="23"/>
      <c r="T14" s="23"/>
      <c r="U14" s="23"/>
      <c r="V14" s="496"/>
      <c r="W14" s="149"/>
    </row>
    <row r="15" spans="1:23" x14ac:dyDescent="0.3">
      <c r="A15" s="1220" t="s">
        <v>287</v>
      </c>
      <c r="B15" s="1221"/>
      <c r="C15" s="20"/>
      <c r="D15" s="34">
        <f>IF($B$2=TRUE,D13,MIN(D13,D14))</f>
        <v>0</v>
      </c>
      <c r="G15" s="1220" t="s">
        <v>287</v>
      </c>
      <c r="H15" s="1221"/>
      <c r="I15" s="20"/>
      <c r="J15" s="34">
        <f>IF($H$2=TRUE,J13,MIN(J13,J14))</f>
        <v>0</v>
      </c>
      <c r="M15" s="1220" t="s">
        <v>287</v>
      </c>
      <c r="N15" s="1221"/>
      <c r="O15" s="20"/>
      <c r="P15" s="34">
        <f>IF($N$2=TRUE,P13,MIN(P13,P14))</f>
        <v>0</v>
      </c>
      <c r="S15" s="23"/>
      <c r="T15" s="23"/>
      <c r="U15" s="23"/>
      <c r="V15" s="496"/>
      <c r="W15" s="149"/>
    </row>
    <row r="16" spans="1:23" x14ac:dyDescent="0.3">
      <c r="A16" s="22" t="s">
        <v>306</v>
      </c>
      <c r="B16" s="22"/>
      <c r="C16" s="35">
        <v>0.1</v>
      </c>
      <c r="D16" s="34">
        <f>ROUND(D15*C16,2)</f>
        <v>0</v>
      </c>
      <c r="G16" s="22" t="s">
        <v>306</v>
      </c>
      <c r="H16" s="22"/>
      <c r="I16" s="35">
        <v>0.1</v>
      </c>
      <c r="J16" s="34">
        <f>ROUND(J15*I16,2)</f>
        <v>0</v>
      </c>
      <c r="M16" s="22" t="s">
        <v>306</v>
      </c>
      <c r="N16" s="22"/>
      <c r="O16" s="35">
        <v>0.1</v>
      </c>
      <c r="P16" s="34">
        <f>ROUND(P15*O16,2)</f>
        <v>0</v>
      </c>
      <c r="S16" s="23"/>
      <c r="T16" s="23"/>
      <c r="U16" s="23"/>
      <c r="V16" s="496"/>
      <c r="W16" s="149"/>
    </row>
    <row r="17" spans="1:23" x14ac:dyDescent="0.3">
      <c r="A17" s="22" t="s">
        <v>64</v>
      </c>
      <c r="B17" s="22" t="s">
        <v>307</v>
      </c>
      <c r="C17" s="35">
        <v>0.21</v>
      </c>
      <c r="D17" s="34">
        <f>ROUND(D15*C17,2)</f>
        <v>0</v>
      </c>
      <c r="G17" s="22" t="s">
        <v>64</v>
      </c>
      <c r="H17" s="22" t="s">
        <v>307</v>
      </c>
      <c r="I17" s="35">
        <v>0.21</v>
      </c>
      <c r="J17" s="34">
        <f>ROUND(J15*I17,2)</f>
        <v>0</v>
      </c>
      <c r="M17" s="22" t="s">
        <v>64</v>
      </c>
      <c r="N17" s="22" t="s">
        <v>307</v>
      </c>
      <c r="O17" s="35">
        <v>0.21</v>
      </c>
      <c r="P17" s="34">
        <f>ROUND(P15*O17,2)</f>
        <v>0</v>
      </c>
      <c r="S17" s="23"/>
      <c r="T17" s="23"/>
      <c r="U17" s="23"/>
      <c r="V17" s="496"/>
      <c r="W17" s="149"/>
    </row>
    <row r="18" spans="1:23" ht="15" thickBot="1" x14ac:dyDescent="0.35">
      <c r="A18" s="36" t="s">
        <v>294</v>
      </c>
      <c r="B18" s="36" t="s">
        <v>308</v>
      </c>
      <c r="C18" s="37">
        <v>0.21</v>
      </c>
      <c r="D18" s="38">
        <f>ROUND(D16*C18,2)</f>
        <v>0</v>
      </c>
      <c r="G18" s="36" t="s">
        <v>294</v>
      </c>
      <c r="H18" s="36" t="s">
        <v>308</v>
      </c>
      <c r="I18" s="37">
        <v>0.21</v>
      </c>
      <c r="J18" s="38">
        <f>ROUND(J16*I18,2)</f>
        <v>0</v>
      </c>
      <c r="M18" s="36" t="s">
        <v>294</v>
      </c>
      <c r="N18" s="36" t="s">
        <v>308</v>
      </c>
      <c r="O18" s="37">
        <v>0.21</v>
      </c>
      <c r="P18" s="38">
        <f>ROUND(P16*O18,2)</f>
        <v>0</v>
      </c>
    </row>
    <row r="19" spans="1:23" ht="15.6" thickTop="1" thickBot="1" x14ac:dyDescent="0.35">
      <c r="A19" s="22" t="s">
        <v>282</v>
      </c>
      <c r="B19" s="22"/>
      <c r="C19" s="35"/>
      <c r="D19" s="1">
        <f>SUM(D16:D18)+D15</f>
        <v>0</v>
      </c>
      <c r="G19" s="22" t="s">
        <v>282</v>
      </c>
      <c r="H19" s="22"/>
      <c r="I19" s="35"/>
      <c r="J19" s="1">
        <f>SUM(J16:J18)+J15</f>
        <v>0</v>
      </c>
      <c r="M19" s="22" t="s">
        <v>282</v>
      </c>
      <c r="N19" s="22"/>
      <c r="O19" s="35"/>
      <c r="P19" s="1">
        <f>SUM(P16:P18)+P15</f>
        <v>0</v>
      </c>
      <c r="S19" s="23"/>
      <c r="T19" s="23"/>
      <c r="U19" s="23"/>
      <c r="V19" s="496"/>
      <c r="W19" s="149"/>
    </row>
    <row r="20" spans="1:23" ht="15" outlineLevel="1" thickBot="1" x14ac:dyDescent="0.35">
      <c r="A20" s="23"/>
      <c r="B20" s="23"/>
      <c r="C20" s="23"/>
      <c r="D20" s="496"/>
      <c r="E20" s="149"/>
      <c r="G20" s="243"/>
      <c r="H20" s="243"/>
      <c r="I20" s="243"/>
      <c r="J20" s="496"/>
      <c r="K20" s="149"/>
      <c r="M20" s="243"/>
      <c r="N20" s="243"/>
      <c r="O20" s="243"/>
      <c r="P20" s="496"/>
      <c r="Q20" s="149"/>
      <c r="S20" s="23"/>
      <c r="T20" s="23"/>
      <c r="U20" s="23"/>
      <c r="V20" s="496"/>
      <c r="W20" s="149"/>
    </row>
    <row r="21" spans="1:23" ht="15" outlineLevel="1" thickBot="1" x14ac:dyDescent="0.35">
      <c r="A21" s="376" t="s">
        <v>283</v>
      </c>
      <c r="B21" s="140"/>
      <c r="C21" s="140"/>
      <c r="D21" s="141"/>
      <c r="E21" s="141"/>
      <c r="G21" s="376" t="s">
        <v>284</v>
      </c>
      <c r="H21" s="140"/>
      <c r="I21" s="140"/>
      <c r="J21" s="141"/>
      <c r="K21" s="141"/>
      <c r="M21" s="376" t="s">
        <v>284</v>
      </c>
      <c r="N21" s="140"/>
      <c r="O21" s="140"/>
      <c r="P21" s="141"/>
      <c r="Q21" s="141"/>
    </row>
    <row r="22" spans="1:23" ht="15" outlineLevel="1" thickBot="1" x14ac:dyDescent="0.35">
      <c r="A22" s="1003" t="s">
        <v>274</v>
      </c>
      <c r="B22" s="1004" t="s">
        <v>275</v>
      </c>
      <c r="C22" s="1004" t="s">
        <v>276</v>
      </c>
      <c r="D22" s="1004" t="s">
        <v>277</v>
      </c>
      <c r="E22" s="377" t="s">
        <v>278</v>
      </c>
      <c r="G22" s="372" t="s">
        <v>274</v>
      </c>
      <c r="H22" s="370" t="s">
        <v>275</v>
      </c>
      <c r="I22" s="370" t="s">
        <v>276</v>
      </c>
      <c r="J22" s="370" t="s">
        <v>277</v>
      </c>
      <c r="K22" s="377" t="s">
        <v>278</v>
      </c>
      <c r="M22" s="372" t="s">
        <v>274</v>
      </c>
      <c r="N22" s="370" t="s">
        <v>275</v>
      </c>
      <c r="O22" s="370" t="s">
        <v>276</v>
      </c>
      <c r="P22" s="370" t="s">
        <v>277</v>
      </c>
      <c r="Q22" s="377" t="s">
        <v>278</v>
      </c>
    </row>
    <row r="23" spans="1:23" ht="15" outlineLevel="1" thickBot="1" x14ac:dyDescent="0.35">
      <c r="A23" s="1006">
        <f>A5</f>
        <v>0</v>
      </c>
      <c r="B23" s="1007">
        <f>IF(B1=Bron!$E$40,55,0)</f>
        <v>0</v>
      </c>
      <c r="C23" s="1114">
        <f>C5</f>
        <v>2.3958200000000001</v>
      </c>
      <c r="D23" s="1009">
        <f>ROUND(A23*B23*C23,2)</f>
        <v>0</v>
      </c>
      <c r="E23" s="1010">
        <f>ROUND(B23*C23*1,2)</f>
        <v>0</v>
      </c>
      <c r="G23" s="1006">
        <f>G5</f>
        <v>0</v>
      </c>
      <c r="H23" s="1007">
        <f>IF(H1=Bron!$E$40,55,0)</f>
        <v>0</v>
      </c>
      <c r="I23" s="1008">
        <f>I5</f>
        <v>2.3958200000000001</v>
      </c>
      <c r="J23" s="1009">
        <f>ROUND(G23*H23*I23,2)</f>
        <v>0</v>
      </c>
      <c r="K23" s="1010">
        <f>ROUND(H23*I23*1,2)</f>
        <v>0</v>
      </c>
      <c r="M23" s="1006">
        <f>M5</f>
        <v>0</v>
      </c>
      <c r="N23" s="1007">
        <f>IF(N1=Bron!$E$40,55,0)</f>
        <v>0</v>
      </c>
      <c r="O23" s="1008">
        <f>O5</f>
        <v>2.3958200000000001</v>
      </c>
      <c r="P23" s="1009">
        <f>ROUND(M23*N23*O23,2)</f>
        <v>0</v>
      </c>
      <c r="Q23" s="1010">
        <f>ROUND(N23*O23*1,2)</f>
        <v>0</v>
      </c>
    </row>
    <row r="24" spans="1:23" ht="15" outlineLevel="1" thickBot="1" x14ac:dyDescent="0.35">
      <c r="A24" s="1011" t="s">
        <v>285</v>
      </c>
      <c r="B24" s="1009">
        <f>'Bouwkost NB'!$C$52</f>
        <v>0</v>
      </c>
      <c r="C24" s="1012">
        <v>0.6</v>
      </c>
      <c r="D24" s="1009">
        <f>B24*C24</f>
        <v>0</v>
      </c>
      <c r="E24" s="1013"/>
      <c r="G24" s="1011" t="s">
        <v>285</v>
      </c>
      <c r="H24" s="1009">
        <f>'Bouwkost NB'!$N$52</f>
        <v>0</v>
      </c>
      <c r="I24" s="1012">
        <v>0.6</v>
      </c>
      <c r="J24" s="1009">
        <f>H24*I24</f>
        <v>0</v>
      </c>
      <c r="K24" s="1013"/>
      <c r="M24" s="1011" t="s">
        <v>285</v>
      </c>
      <c r="N24" s="1009">
        <f>'Bouwkost NB'!$Y$52</f>
        <v>0</v>
      </c>
      <c r="O24" s="1012">
        <v>0.6</v>
      </c>
      <c r="P24" s="1009">
        <f>N24*O24</f>
        <v>0</v>
      </c>
      <c r="Q24" s="1013"/>
    </row>
    <row r="25" spans="1:23" ht="15" outlineLevel="1" thickBot="1" x14ac:dyDescent="0.35">
      <c r="A25" s="1011" t="s">
        <v>286</v>
      </c>
      <c r="B25" s="1009">
        <f>'Bouwkost NB'!$C$58</f>
        <v>0</v>
      </c>
      <c r="C25" s="1012">
        <v>0.6</v>
      </c>
      <c r="D25" s="1009">
        <f>B25*C25</f>
        <v>0</v>
      </c>
      <c r="E25" s="1013"/>
      <c r="G25" s="1011" t="s">
        <v>286</v>
      </c>
      <c r="H25" s="1009">
        <f>'Bouwkost NB'!$N$58</f>
        <v>0</v>
      </c>
      <c r="I25" s="1012">
        <v>0.6</v>
      </c>
      <c r="J25" s="1009">
        <f>H25*I25</f>
        <v>0</v>
      </c>
      <c r="K25" s="1013"/>
      <c r="M25" s="1011" t="s">
        <v>286</v>
      </c>
      <c r="N25" s="1009">
        <f>'Bouwkost NB'!$Y$58</f>
        <v>0</v>
      </c>
      <c r="O25" s="1012">
        <v>0.6</v>
      </c>
      <c r="P25" s="1009">
        <f>N25*O25</f>
        <v>0</v>
      </c>
      <c r="Q25" s="1013"/>
    </row>
    <row r="26" spans="1:23" ht="15" outlineLevel="1" thickBot="1" x14ac:dyDescent="0.35">
      <c r="A26" s="1220" t="s">
        <v>287</v>
      </c>
      <c r="B26" s="1221"/>
      <c r="C26" s="133"/>
      <c r="D26" s="96">
        <f>MIN(D23,D24+D25)</f>
        <v>0</v>
      </c>
      <c r="E26" s="51"/>
      <c r="G26" s="1220" t="s">
        <v>287</v>
      </c>
      <c r="H26" s="1221"/>
      <c r="I26" s="133"/>
      <c r="J26" s="96">
        <f>MIN(J23,J24+J25)</f>
        <v>0</v>
      </c>
      <c r="K26" s="51"/>
      <c r="M26" s="1220" t="s">
        <v>287</v>
      </c>
      <c r="N26" s="1221"/>
      <c r="O26" s="133"/>
      <c r="P26" s="96">
        <f>MIN(P23,P24+P25)</f>
        <v>0</v>
      </c>
      <c r="Q26" s="51"/>
    </row>
    <row r="27" spans="1:23" ht="15" outlineLevel="1" thickBot="1" x14ac:dyDescent="0.35">
      <c r="A27" s="5" t="s">
        <v>279</v>
      </c>
      <c r="B27" s="6"/>
      <c r="C27" s="2">
        <v>0.1</v>
      </c>
      <c r="D27" s="1">
        <f>ROUND(D26*C27,2)</f>
        <v>0</v>
      </c>
      <c r="G27" s="213" t="s">
        <v>279</v>
      </c>
      <c r="H27" s="214"/>
      <c r="I27" s="215">
        <v>0.1</v>
      </c>
      <c r="J27" s="1">
        <f>ROUND(J26*I27,2)</f>
        <v>0</v>
      </c>
      <c r="M27" s="213" t="s">
        <v>279</v>
      </c>
      <c r="N27" s="214"/>
      <c r="O27" s="215">
        <v>0.1</v>
      </c>
      <c r="P27" s="1">
        <f>ROUND(P26*O27,2)</f>
        <v>0</v>
      </c>
      <c r="S27" s="23"/>
      <c r="T27" s="23"/>
      <c r="U27" s="40"/>
      <c r="V27" s="496"/>
    </row>
    <row r="28" spans="1:23" ht="15" outlineLevel="1" thickBot="1" x14ac:dyDescent="0.35">
      <c r="A28" s="5" t="s">
        <v>64</v>
      </c>
      <c r="B28" s="6" t="s">
        <v>280</v>
      </c>
      <c r="C28" s="2">
        <v>0.21</v>
      </c>
      <c r="D28" s="1">
        <f>ROUND(D26*C28,2)</f>
        <v>0</v>
      </c>
      <c r="F28" s="150"/>
      <c r="G28" s="213" t="s">
        <v>64</v>
      </c>
      <c r="H28" s="214" t="s">
        <v>280</v>
      </c>
      <c r="I28" s="215">
        <v>0.21</v>
      </c>
      <c r="J28" s="1">
        <f>ROUND(J26*I28,2)</f>
        <v>0</v>
      </c>
      <c r="M28" s="213" t="s">
        <v>64</v>
      </c>
      <c r="N28" s="214" t="s">
        <v>280</v>
      </c>
      <c r="O28" s="215">
        <v>0.21</v>
      </c>
      <c r="P28" s="1">
        <f>ROUND(P26*O28,2)</f>
        <v>0</v>
      </c>
      <c r="S28" s="23"/>
      <c r="T28" s="23"/>
      <c r="U28" s="40"/>
      <c r="V28" s="496"/>
    </row>
    <row r="29" spans="1:23" ht="15" outlineLevel="1" thickBot="1" x14ac:dyDescent="0.35">
      <c r="A29" s="3" t="s">
        <v>64</v>
      </c>
      <c r="B29" s="18" t="s">
        <v>281</v>
      </c>
      <c r="C29" s="2">
        <v>0.21</v>
      </c>
      <c r="D29" s="4">
        <f>ROUND(D27*C29,2)</f>
        <v>0</v>
      </c>
      <c r="F29" s="149"/>
      <c r="G29" s="216" t="s">
        <v>64</v>
      </c>
      <c r="H29" s="18" t="s">
        <v>281</v>
      </c>
      <c r="I29" s="215">
        <v>0.21</v>
      </c>
      <c r="J29" s="4">
        <f>ROUND(J27*I29,2)</f>
        <v>0</v>
      </c>
      <c r="M29" s="216" t="s">
        <v>64</v>
      </c>
      <c r="N29" s="18" t="s">
        <v>281</v>
      </c>
      <c r="O29" s="215">
        <v>0.21</v>
      </c>
      <c r="P29" s="4">
        <f>ROUND(P27*O29,2)</f>
        <v>0</v>
      </c>
      <c r="S29" s="23"/>
      <c r="T29" s="18"/>
      <c r="U29" s="40"/>
      <c r="V29" s="496"/>
    </row>
    <row r="30" spans="1:23" ht="15" outlineLevel="1" thickBot="1" x14ac:dyDescent="0.35">
      <c r="A30" s="5" t="s">
        <v>282</v>
      </c>
      <c r="B30" s="6"/>
      <c r="C30" s="7"/>
      <c r="D30" s="1">
        <f>SUM(D26:D29)</f>
        <v>0</v>
      </c>
      <c r="E30" s="149"/>
      <c r="G30" s="213" t="s">
        <v>282</v>
      </c>
      <c r="H30" s="214"/>
      <c r="I30" s="217"/>
      <c r="J30" s="1">
        <f>SUM(J26:J29)</f>
        <v>0</v>
      </c>
      <c r="K30" s="149"/>
      <c r="M30" s="213" t="s">
        <v>282</v>
      </c>
      <c r="N30" s="214"/>
      <c r="O30" s="217"/>
      <c r="P30" s="1">
        <f>SUM(P26:P29)</f>
        <v>0</v>
      </c>
      <c r="Q30" s="149"/>
      <c r="S30" s="23"/>
      <c r="T30" s="23"/>
      <c r="U30" s="23"/>
      <c r="V30" s="496"/>
      <c r="W30" s="149"/>
    </row>
    <row r="31" spans="1:23" ht="15" thickBot="1" x14ac:dyDescent="0.35">
      <c r="A31" s="981"/>
      <c r="B31" s="981"/>
      <c r="C31" s="851"/>
      <c r="D31" s="852"/>
      <c r="E31" s="51"/>
      <c r="G31" s="981"/>
      <c r="H31" s="981"/>
      <c r="I31" s="851"/>
      <c r="J31" s="852"/>
      <c r="K31" s="51"/>
      <c r="M31" s="981"/>
      <c r="N31" s="981"/>
      <c r="O31" s="851"/>
      <c r="P31" s="852"/>
      <c r="Q31" s="51"/>
    </row>
    <row r="32" spans="1:23" ht="15" thickBot="1" x14ac:dyDescent="0.35">
      <c r="A32" s="5" t="s">
        <v>282</v>
      </c>
      <c r="B32" s="6"/>
      <c r="C32" s="7"/>
      <c r="D32" s="1055">
        <f>D30+D9+D19</f>
        <v>0</v>
      </c>
      <c r="E32" s="51"/>
      <c r="G32" s="5" t="s">
        <v>282</v>
      </c>
      <c r="H32" s="6"/>
      <c r="I32" s="7"/>
      <c r="J32" s="1055">
        <f>J26+J9+J19</f>
        <v>0</v>
      </c>
      <c r="K32" s="51"/>
      <c r="M32" s="5" t="s">
        <v>282</v>
      </c>
      <c r="N32" s="6"/>
      <c r="O32" s="7"/>
      <c r="P32" s="1055">
        <f>P26+P9+P19</f>
        <v>0</v>
      </c>
      <c r="Q32" s="51"/>
    </row>
    <row r="33" spans="1:17" ht="15" thickBot="1" x14ac:dyDescent="0.35">
      <c r="A33" s="981"/>
      <c r="B33" s="981"/>
      <c r="C33" s="851"/>
      <c r="D33" s="852"/>
      <c r="E33" s="51"/>
    </row>
    <row r="34" spans="1:17" ht="15" thickBot="1" x14ac:dyDescent="0.35">
      <c r="A34" s="5" t="s">
        <v>288</v>
      </c>
      <c r="B34" s="127">
        <f>D5+D26</f>
        <v>0</v>
      </c>
      <c r="C34" s="129" t="s">
        <v>289</v>
      </c>
      <c r="D34" s="492">
        <f>ROUND((D5+D26+D15)*10/6,2)</f>
        <v>0</v>
      </c>
      <c r="E34" s="53">
        <f>ROUND(E5*10/6,2)</f>
        <v>-109.82</v>
      </c>
      <c r="G34" s="213" t="s">
        <v>288</v>
      </c>
      <c r="H34" s="127">
        <f>J5+J26</f>
        <v>0</v>
      </c>
      <c r="I34" s="129" t="s">
        <v>289</v>
      </c>
      <c r="J34" s="492">
        <f>ROUND((J5+J26+J15)*10/6,2)</f>
        <v>0</v>
      </c>
      <c r="K34" s="53">
        <f>ROUND(K5*10/6,2)</f>
        <v>0</v>
      </c>
      <c r="M34" s="213" t="s">
        <v>288</v>
      </c>
      <c r="N34" s="127">
        <f>P5+P26</f>
        <v>0</v>
      </c>
      <c r="O34" s="129" t="s">
        <v>289</v>
      </c>
      <c r="P34" s="492">
        <f>ROUND((P5+P26+P15)*10/6,2)</f>
        <v>0</v>
      </c>
      <c r="Q34" s="53">
        <f>ROUND(Q5*10/6,2)</f>
        <v>0</v>
      </c>
    </row>
    <row r="35" spans="1:17" x14ac:dyDescent="0.3">
      <c r="A35" s="981"/>
      <c r="B35" s="981"/>
      <c r="C35" s="851"/>
      <c r="D35" s="852"/>
      <c r="E35" s="51"/>
      <c r="G35" s="981"/>
      <c r="H35" s="981"/>
      <c r="I35" s="851"/>
      <c r="J35" s="852"/>
      <c r="K35" s="51"/>
      <c r="M35" s="981"/>
      <c r="N35" s="981"/>
      <c r="O35" s="851"/>
      <c r="P35" s="852"/>
      <c r="Q35" s="51"/>
    </row>
    <row r="37" spans="1:17" x14ac:dyDescent="0.3">
      <c r="A37" s="244" t="s">
        <v>290</v>
      </c>
      <c r="B37" s="221"/>
      <c r="C37" s="221"/>
      <c r="G37" s="244" t="s">
        <v>290</v>
      </c>
      <c r="H37" s="221"/>
      <c r="I37" s="221"/>
      <c r="M37" s="244" t="s">
        <v>290</v>
      </c>
      <c r="N37" s="221"/>
      <c r="O37" s="221"/>
    </row>
    <row r="38" spans="1:17" x14ac:dyDescent="0.3">
      <c r="A38" s="221" t="s">
        <v>123</v>
      </c>
      <c r="B38" s="245">
        <f>IF(ISNUMBER(MATCH($A$2,'Overzicht BTA'!$B$7:$B$10,0)),IF(MATCH(Bron!$B$13,'uitgebreide raming'!$B$2:$I$2,0)=1,'uitgebreide raming'!B6,IF(MATCH(Bron!$B$13,'uitgebreide raming'!$B$2:$I$2,0)=3,'uitgebreide raming'!D6,IF(MATCH(Bron!$B$13,'uitgebreide raming'!$B$2:$I$2,0)=5,'uitgebreide raming'!F6,IF(MATCH(Bron!$B$13,'uitgebreide raming'!$B$2:$I$2,0)=7,'uitgebreide raming'!H6,0)))),0)</f>
        <v>0</v>
      </c>
      <c r="C38" s="225" t="e">
        <f>ROUND(B38/$B$43,2)</f>
        <v>#DIV/0!</v>
      </c>
      <c r="G38" s="221" t="s">
        <v>123</v>
      </c>
      <c r="H38" s="245">
        <f>IF(ISNUMBER(MATCH($G$2,'Overzicht BTA'!$H$7:$H$10,0)),IF(MATCH(Bron!$B$13,'uitgebreide raming'!$B$29:$I$29,0)=1,'uitgebreide raming'!B32,IF(MATCH(Bron!$B$13,'uitgebreide raming'!$B$29:$I$29,0)=3,'uitgebreide raming'!D32,IF(MATCH(Bron!$B$13,'uitgebreide raming'!$B$29:$I$29,0)=5,'uitgebreide raming'!F32,IF(MATCH(Bron!$B$13,'uitgebreide raming'!$B$29:$I$29,0)=7,'uitgebreide raming'!H32,0)))),0)</f>
        <v>0</v>
      </c>
      <c r="I38" s="225" t="e">
        <f>ROUND(H38/$H$43,2)</f>
        <v>#DIV/0!</v>
      </c>
      <c r="M38" s="221" t="s">
        <v>123</v>
      </c>
      <c r="N38" s="245">
        <f>IF(ISNUMBER(MATCH($M$2,'Overzicht BTA'!$N$7:$N$10,0)),IF(MATCH(Bron!$B$13,'uitgebreide raming'!$B$56:$I$56,0)=1,'uitgebreide raming'!B59,IF(MATCH(Bron!$B$13,'uitgebreide raming'!$B$56:$I$56,0)=3,'uitgebreide raming'!D59,IF(MATCH(Bron!$B$13,'uitgebreide raming'!$B$56:$I$56,0)=5,'uitgebreide raming'!F59,IF(MATCH(Bron!$B$13,'uitgebreide raming'!$B$56:$I$56,0)=7,'uitgebreide raming'!H59,0)))),0)</f>
        <v>0</v>
      </c>
      <c r="O38" s="225" t="e">
        <f>ROUND(N38/$N$43,2)</f>
        <v>#DIV/0!</v>
      </c>
    </row>
    <row r="39" spans="1:17" x14ac:dyDescent="0.3">
      <c r="A39" s="221" t="s">
        <v>124</v>
      </c>
      <c r="B39" s="245">
        <f>IF(ISNUMBER(MATCH($A$2,'Overzicht BTA'!$B$7:$B$10,0)),IF(MATCH(Bron!$B$13,'uitgebreide raming'!$B$2:$I$2,0)=1,'uitgebreide raming'!B7,IF(MATCH(Bron!$B$13,'uitgebreide raming'!$B$2:$I$2,0)=3,'uitgebreide raming'!D7,IF(MATCH(Bron!$B$13,'uitgebreide raming'!$B$2:$I$2,0)=5,'uitgebreide raming'!F7,IF(MATCH(Bron!$B$13,'uitgebreide raming'!$B$2:$I$2,0)=7,'uitgebreide raming'!H7,0)))),0)</f>
        <v>0</v>
      </c>
      <c r="C39" s="225" t="e">
        <f t="shared" ref="C39:C43" si="0">ROUND(B39/$B$43,2)</f>
        <v>#DIV/0!</v>
      </c>
      <c r="G39" s="221" t="s">
        <v>124</v>
      </c>
      <c r="H39" s="245">
        <f>IF(ISNUMBER(MATCH($G$2,'Overzicht BTA'!$H$7:$H$10,0)),IF(MATCH(Bron!$B$13,'uitgebreide raming'!$B$29:$I$29,0)=1,'uitgebreide raming'!B33,IF(MATCH(Bron!$B$13,'uitgebreide raming'!$B$29:$I$29,0)=3,'uitgebreide raming'!D33,IF(MATCH(Bron!$B$13,'uitgebreide raming'!$B$29:$I$29,0)=5,'uitgebreide raming'!F33,IF(MATCH(Bron!$B$13,'uitgebreide raming'!$B$29:$I$29,0)=7,'uitgebreide raming'!H33,0)))),0)</f>
        <v>0</v>
      </c>
      <c r="I39" s="225" t="e">
        <f t="shared" ref="I39:I43" si="1">ROUND(H39/$H$43,2)</f>
        <v>#DIV/0!</v>
      </c>
      <c r="M39" s="221" t="s">
        <v>124</v>
      </c>
      <c r="N39" s="245">
        <f>IF(ISNUMBER(MATCH($M$2,'Overzicht BTA'!$N$7:$N$10,0)),IF(MATCH(Bron!$B$13,'uitgebreide raming'!$B$56:$I$56,0)=1,'uitgebreide raming'!B60,IF(MATCH(Bron!$B$13,'uitgebreide raming'!$B$56:$I$56,0)=3,'uitgebreide raming'!D60,IF(MATCH(Bron!$B$13,'uitgebreide raming'!$B$56:$I$56,0)=5,'uitgebreide raming'!F60,IF(MATCH(Bron!$B$13,'uitgebreide raming'!$B$56:$I$56,0)=7,'uitgebreide raming'!H60,0)))),0)</f>
        <v>0</v>
      </c>
      <c r="O39" s="225" t="e">
        <f t="shared" ref="O39:O43" si="2">ROUND(N39/$N$43,2)</f>
        <v>#DIV/0!</v>
      </c>
    </row>
    <row r="40" spans="1:17" x14ac:dyDescent="0.3">
      <c r="A40" s="221" t="s">
        <v>125</v>
      </c>
      <c r="B40" s="245">
        <f>IF(ISNUMBER(MATCH($A$2,'Overzicht BTA'!$B$7:$B$10,0)),IF(MATCH(Bron!$B$13,'uitgebreide raming'!$B$2:$I$2,0)=1,'uitgebreide raming'!B8,IF(MATCH(Bron!$B$13,'uitgebreide raming'!$B$2:$I$2,0)=3,'uitgebreide raming'!D8,IF(MATCH(Bron!$B$13,'uitgebreide raming'!$B$2:$I$2,0)=5,'uitgebreide raming'!F8,IF(MATCH(Bron!$B$13,'uitgebreide raming'!$B$2:$I$2,0)=7,'uitgebreide raming'!H8,0)))),0)</f>
        <v>0</v>
      </c>
      <c r="C40" s="225" t="e">
        <f t="shared" si="0"/>
        <v>#DIV/0!</v>
      </c>
      <c r="G40" s="221" t="s">
        <v>125</v>
      </c>
      <c r="H40" s="245">
        <f>IF(ISNUMBER(MATCH($G$2,'Overzicht BTA'!$H$7:$H$10,0)),IF(MATCH(Bron!$B$13,'uitgebreide raming'!$B$29:$I$29,0)=1,'uitgebreide raming'!B34,IF(MATCH(Bron!$B$13,'uitgebreide raming'!$B$29:$I$29,0)=3,'uitgebreide raming'!D34,IF(MATCH(Bron!$B$13,'uitgebreide raming'!$B$29:$I$29,0)=5,'uitgebreide raming'!F34,IF(MATCH(Bron!$B$13,'uitgebreide raming'!$B$29:$I$29,0)=7,'uitgebreide raming'!H34,0)))),0)</f>
        <v>0</v>
      </c>
      <c r="I40" s="225" t="e">
        <f t="shared" si="1"/>
        <v>#DIV/0!</v>
      </c>
      <c r="M40" s="221" t="s">
        <v>125</v>
      </c>
      <c r="N40" s="245">
        <f>IF(ISNUMBER(MATCH($M$2,'Overzicht BTA'!$N$7:$N$10,0)),IF(MATCH(Bron!$B$13,'uitgebreide raming'!$B$56:$I$56,0)=1,'uitgebreide raming'!B61,IF(MATCH(Bron!$B$13,'uitgebreide raming'!$B$56:$I$56,0)=3,'uitgebreide raming'!D61,IF(MATCH(Bron!$B$13,'uitgebreide raming'!$B$56:$I$56,0)=5,'uitgebreide raming'!F61,IF(MATCH(Bron!$B$13,'uitgebreide raming'!$B$56:$I$56,0)=7,'uitgebreide raming'!H61,0)))),0)</f>
        <v>0</v>
      </c>
      <c r="O40" s="225" t="e">
        <f t="shared" si="2"/>
        <v>#DIV/0!</v>
      </c>
    </row>
    <row r="41" spans="1:17" x14ac:dyDescent="0.3">
      <c r="A41" s="221" t="s">
        <v>126</v>
      </c>
      <c r="B41" s="245">
        <f>IF(ISNUMBER(MATCH($A$2,'Overzicht BTA'!$B$7:$B$10,0)),IF(MATCH(Bron!$B$13,'uitgebreide raming'!$B$2:$I$2,0)=1,'uitgebreide raming'!B9,IF(MATCH(Bron!$B$13,'uitgebreide raming'!$B$2:$I$2,0)=3,'uitgebreide raming'!D9,IF(MATCH(Bron!$B$13,'uitgebreide raming'!$B$2:$I$2,0)=5,'uitgebreide raming'!F9,IF(MATCH(Bron!$B$13,'uitgebreide raming'!$B$2:$I$2,0)=7,'uitgebreide raming'!H9,0)))),0)</f>
        <v>0</v>
      </c>
      <c r="C41" s="225" t="e">
        <f t="shared" si="0"/>
        <v>#DIV/0!</v>
      </c>
      <c r="G41" s="221" t="s">
        <v>126</v>
      </c>
      <c r="H41" s="245">
        <f>IF(ISNUMBER(MATCH($G$2,'Overzicht BTA'!$H$7:$H$10,0)),IF(MATCH(Bron!$B$13,'uitgebreide raming'!$B$29:$I$29,0)=1,'uitgebreide raming'!B35,IF(MATCH(Bron!$B$13,'uitgebreide raming'!$B$29:$I$29,0)=3,'uitgebreide raming'!D35,IF(MATCH(Bron!$B$13,'uitgebreide raming'!$B$29:$I$29,0)=5,'uitgebreide raming'!F35,IF(MATCH(Bron!$B$13,'uitgebreide raming'!$B$29:$I$29,0)=7,'uitgebreide raming'!H35,0)))),0)</f>
        <v>0</v>
      </c>
      <c r="I41" s="225" t="e">
        <f t="shared" si="1"/>
        <v>#DIV/0!</v>
      </c>
      <c r="M41" s="221" t="s">
        <v>126</v>
      </c>
      <c r="N41" s="245">
        <f>IF(ISNUMBER(MATCH($M$2,'Overzicht BTA'!$N$7:$N$10,0)),IF(MATCH(Bron!$B$13,'uitgebreide raming'!$B$56:$I$56,0)=1,'uitgebreide raming'!B62,IF(MATCH(Bron!$B$13,'uitgebreide raming'!$B$56:$I$56,0)=3,'uitgebreide raming'!D62,IF(MATCH(Bron!$B$13,'uitgebreide raming'!$B$56:$I$56,0)=5,'uitgebreide raming'!F62,IF(MATCH(Bron!$B$13,'uitgebreide raming'!$B$56:$I$56,0)=7,'uitgebreide raming'!H62,0)))),0)</f>
        <v>0</v>
      </c>
      <c r="O41" s="225" t="e">
        <f t="shared" si="2"/>
        <v>#DIV/0!</v>
      </c>
    </row>
    <row r="42" spans="1:17" x14ac:dyDescent="0.3">
      <c r="A42" s="221" t="s">
        <v>127</v>
      </c>
      <c r="B42" s="245">
        <f>IF(ISNUMBER(MATCH($A$2,'Overzicht BTA'!$B$7:$B$10,0)),IF(MATCH(Bron!$B$13,'uitgebreide raming'!$B$2:$I$2,0)=1,'uitgebreide raming'!B10,IF(MATCH(Bron!$B$13,'uitgebreide raming'!$B$2:$I$2,0)=3,'uitgebreide raming'!D10,IF(MATCH(Bron!$B$13,'uitgebreide raming'!$B$2:$I$2,0)=5,'uitgebreide raming'!F10,IF(MATCH(Bron!$B$13,'uitgebreide raming'!$B$2:$I$2,0)=7,'uitgebreide raming'!H10,0)))),0)</f>
        <v>0</v>
      </c>
      <c r="C42" s="225" t="e">
        <f t="shared" si="0"/>
        <v>#DIV/0!</v>
      </c>
      <c r="G42" s="221" t="s">
        <v>127</v>
      </c>
      <c r="H42" s="245">
        <f>IF(ISNUMBER(MATCH($G$2,'Overzicht BTA'!$H$7:$H$10,0)),IF(MATCH(Bron!$B$13,'uitgebreide raming'!$B$29:$I$29,0)=1,'uitgebreide raming'!B36,IF(MATCH(Bron!$B$13,'uitgebreide raming'!$B$29:$I$29,0)=3,'uitgebreide raming'!D36,IF(MATCH(Bron!$B$13,'uitgebreide raming'!$B$29:$I$29,0)=5,'uitgebreide raming'!F36,IF(MATCH(Bron!$B$13,'uitgebreide raming'!$B$29:$I$29,0)=7,'uitgebreide raming'!H36,0)))),0)</f>
        <v>0</v>
      </c>
      <c r="I42" s="225" t="e">
        <f t="shared" si="1"/>
        <v>#DIV/0!</v>
      </c>
      <c r="M42" s="221" t="s">
        <v>127</v>
      </c>
      <c r="N42" s="245">
        <f>IF(ISNUMBER(MATCH($M$2,'Overzicht BTA'!$N$7:$N$10,0)),IF(MATCH(Bron!$B$13,'uitgebreide raming'!$B$56:$I$56,0)=1,'uitgebreide raming'!B63,IF(MATCH(Bron!$B$13,'uitgebreide raming'!$B$56:$I$56,0)=3,'uitgebreide raming'!D63,IF(MATCH(Bron!$B$13,'uitgebreide raming'!$B$56:$I$56,0)=5,'uitgebreide raming'!F63,IF(MATCH(Bron!$B$13,'uitgebreide raming'!$B$56:$I$56,0)=7,'uitgebreide raming'!H63,0)))),0)</f>
        <v>0</v>
      </c>
      <c r="O42" s="225" t="e">
        <f t="shared" si="2"/>
        <v>#DIV/0!</v>
      </c>
    </row>
    <row r="43" spans="1:17" x14ac:dyDescent="0.3">
      <c r="A43" s="221" t="s">
        <v>110</v>
      </c>
      <c r="B43" s="245">
        <f>IF(ISNUMBER(MATCH($A$2,'Overzicht BTA'!$B$7:$B$10,0)),IF(MATCH(Bron!$B$13,'uitgebreide raming'!$B$2:$I$2,0)=1,'uitgebreide raming'!B11,IF(MATCH(Bron!$B$13,'uitgebreide raming'!$B$2:$I$2,0)=3,'uitgebreide raming'!D11,IF(MATCH(Bron!$B$13,'uitgebreide raming'!$B$2:$I$2,0)=5,'uitgebreide raming'!F11,IF(MATCH(Bron!$B$13,'uitgebreide raming'!$B$2:$I$2,0)=7,'uitgebreide raming'!H11,0)))),0)</f>
        <v>0</v>
      </c>
      <c r="C43" s="225" t="e">
        <f t="shared" si="0"/>
        <v>#DIV/0!</v>
      </c>
      <c r="G43" s="221" t="s">
        <v>110</v>
      </c>
      <c r="H43" s="245">
        <f>IF(ISNUMBER(MATCH($G$2,'Overzicht BTA'!$H$7:$H$10,0)),IF(MATCH(Bron!$B$13,'uitgebreide raming'!$B$29:$I$29,0)=1,'uitgebreide raming'!B37,IF(MATCH(Bron!$B$13,'uitgebreide raming'!$B$29:$I$29,0)=3,'uitgebreide raming'!D37,IF(MATCH(Bron!$B$13,'uitgebreide raming'!$B$29:$I$29,0)=5,'uitgebreide raming'!F37,IF(MATCH(Bron!$B$13,'uitgebreide raming'!$B$29:$I$29,0)=7,'uitgebreide raming'!H37,0)))),0)</f>
        <v>0</v>
      </c>
      <c r="I43" s="225" t="e">
        <f t="shared" si="1"/>
        <v>#DIV/0!</v>
      </c>
      <c r="M43" s="221" t="s">
        <v>110</v>
      </c>
      <c r="N43" s="245">
        <f>IF(ISNUMBER(MATCH($M$2,'Overzicht BTA'!$N$7:$N$10,0)),IF(MATCH(Bron!$B$13,'uitgebreide raming'!$B$56:$I$56,0)=1,'uitgebreide raming'!B64,IF(MATCH(Bron!$B$13,'uitgebreide raming'!$B$56:$I$56,0)=3,'uitgebreide raming'!D64,IF(MATCH(Bron!$B$13,'uitgebreide raming'!$B$56:$I$56,0)=5,'uitgebreide raming'!F64,IF(MATCH(Bron!$B$13,'uitgebreide raming'!$B$56:$I$56,0)=7,'uitgebreide raming'!H64,0)))),0)</f>
        <v>0</v>
      </c>
      <c r="O43" s="225" t="e">
        <f t="shared" si="2"/>
        <v>#DIV/0!</v>
      </c>
    </row>
    <row r="45" spans="1:17" ht="18" x14ac:dyDescent="0.3">
      <c r="A45" s="1223" t="s">
        <v>91</v>
      </c>
      <c r="B45" s="1223"/>
      <c r="C45" s="1223"/>
      <c r="D45" s="1223"/>
      <c r="E45" s="1223"/>
      <c r="F45" s="1223"/>
      <c r="G45" s="1223"/>
      <c r="H45" s="1223"/>
      <c r="I45" s="1223"/>
      <c r="J45" s="1223"/>
      <c r="K45" s="1223"/>
      <c r="L45" s="1223"/>
      <c r="M45" s="1223"/>
      <c r="N45" s="1223"/>
      <c r="O45" s="1223"/>
      <c r="P45" s="1223"/>
      <c r="Q45" s="1223"/>
    </row>
    <row r="46" spans="1:17" ht="15" outlineLevel="1" thickBot="1" x14ac:dyDescent="0.35">
      <c r="A46" s="106" t="s">
        <v>23</v>
      </c>
      <c r="B46" s="106" t="str">
        <f>B1</f>
        <v>Kies de zorgvorm</v>
      </c>
      <c r="C46" s="106"/>
      <c r="D46" s="106"/>
      <c r="E46" s="106"/>
      <c r="F46" s="106"/>
      <c r="G46" s="106" t="s">
        <v>23</v>
      </c>
      <c r="H46" s="1222" t="str">
        <f>H1</f>
        <v>Kies de zorgvorm</v>
      </c>
      <c r="I46" s="1222"/>
      <c r="J46" s="1222"/>
      <c r="K46" s="106"/>
      <c r="L46" s="106"/>
      <c r="M46" s="106" t="s">
        <v>23</v>
      </c>
      <c r="N46" s="1222" t="str">
        <f>N1</f>
        <v>Kies de zorgvorm</v>
      </c>
      <c r="O46" s="1222"/>
      <c r="P46" s="1222"/>
      <c r="Q46" s="106"/>
    </row>
    <row r="47" spans="1:17" ht="15" outlineLevel="1" thickBot="1" x14ac:dyDescent="0.35">
      <c r="A47" s="139" t="s">
        <v>75</v>
      </c>
      <c r="B47" s="140"/>
      <c r="C47" s="140"/>
      <c r="D47" s="141"/>
      <c r="E47" s="141"/>
      <c r="G47" s="139" t="s">
        <v>75</v>
      </c>
      <c r="H47" s="140"/>
      <c r="I47" s="140"/>
      <c r="J47" s="141"/>
      <c r="K47" s="141"/>
      <c r="M47" s="139" t="s">
        <v>75</v>
      </c>
      <c r="N47" s="140"/>
      <c r="O47" s="140"/>
      <c r="P47" s="141"/>
      <c r="Q47" s="141"/>
    </row>
    <row r="48" spans="1:17" outlineLevel="1" x14ac:dyDescent="0.3">
      <c r="A48" s="1228" t="s">
        <v>300</v>
      </c>
      <c r="B48" s="1229"/>
      <c r="C48" s="1229"/>
      <c r="D48" s="1229"/>
      <c r="E48" s="1230"/>
      <c r="G48" s="1228" t="s">
        <v>300</v>
      </c>
      <c r="H48" s="1229"/>
      <c r="I48" s="1229"/>
      <c r="J48" s="1229"/>
      <c r="K48" s="1230"/>
      <c r="M48" s="1228" t="s">
        <v>300</v>
      </c>
      <c r="N48" s="1229"/>
      <c r="O48" s="1229"/>
      <c r="P48" s="1229"/>
      <c r="Q48" s="1230"/>
    </row>
    <row r="49" spans="1:23" ht="15" outlineLevel="1" thickBot="1" x14ac:dyDescent="0.35">
      <c r="A49" s="372" t="s">
        <v>274</v>
      </c>
      <c r="B49" s="370" t="s">
        <v>275</v>
      </c>
      <c r="C49" s="370" t="s">
        <v>276</v>
      </c>
      <c r="D49" s="370" t="s">
        <v>277</v>
      </c>
      <c r="E49" s="377" t="s">
        <v>278</v>
      </c>
      <c r="F49" s="23"/>
      <c r="G49" s="373" t="s">
        <v>274</v>
      </c>
      <c r="H49" s="375" t="s">
        <v>275</v>
      </c>
      <c r="I49" s="375" t="s">
        <v>276</v>
      </c>
      <c r="J49" s="375" t="s">
        <v>277</v>
      </c>
      <c r="K49" s="379" t="s">
        <v>278</v>
      </c>
      <c r="M49" s="373" t="s">
        <v>274</v>
      </c>
      <c r="N49" s="375" t="s">
        <v>275</v>
      </c>
      <c r="O49" s="375" t="s">
        <v>276</v>
      </c>
      <c r="P49" s="375" t="s">
        <v>277</v>
      </c>
      <c r="Q49" s="379" t="s">
        <v>278</v>
      </c>
    </row>
    <row r="50" spans="1:23" ht="15" outlineLevel="1" thickBot="1" x14ac:dyDescent="0.35">
      <c r="A50" s="368">
        <f>IF(ISNUMBER(MATCH(A2,'Overzicht BTA'!B51:B54,0)),IF(MATCH(Bron!$B$13,'Overzicht BTA'!B51:B54,0)=1,'Overzicht BTA'!D51,IF(MATCH(Bron!$B$13,'Overzicht BTA'!B51:B54,0)=2,'Overzicht BTA'!D52,IF(MATCH(Bron!$B$13,'Overzicht BTA'!B51:B54,0)=3,'Overzicht BTA'!D53,IF(MATCH(Bron!$B$13,'Overzicht BTA'!$B$51:$B$54,0)=4,'Overzicht BTA'!D54,0)))),0)</f>
        <v>0</v>
      </c>
      <c r="B50" s="904">
        <f>VLOOKUP(B46,'Capaciteiten &amp; forfaits'!$B$3:$H$76,4,FALSE)*0.65</f>
        <v>0</v>
      </c>
      <c r="C50" s="1113">
        <f>'Overzicht BTA'!$D$37</f>
        <v>2.3958200000000001</v>
      </c>
      <c r="D50" s="378">
        <f>ROUND(A50*B50*C50,2)</f>
        <v>0</v>
      </c>
      <c r="E50" s="908">
        <f>ROUND(B50*C50*1,2)</f>
        <v>0</v>
      </c>
      <c r="G50" s="368">
        <f>IF(ISNUMBER(MATCH(G2,'Overzicht BTA'!H51:H54,0)),IF(MATCH(Bron!$B$13,'Overzicht BTA'!H51:H54,0)=1,'Overzicht BTA'!J51,IF(MATCH(Bron!$B$13,'Overzicht BTA'!H51:H54,0)=2,'Overzicht BTA'!J52,IF(MATCH(Bron!$B$13,'Overzicht BTA'!H51:H54,0)=3,'Overzicht BTA'!J53,IF(MATCH(Bron!$B$13,'Overzicht BTA'!$B$51:$B$54,0)=4,'Overzicht BTA'!J54,0)))),0)</f>
        <v>0</v>
      </c>
      <c r="H50" s="904">
        <f>VLOOKUP(H46,'Capaciteiten &amp; forfaits'!$B$3:$H$76,4,FALSE)*0.65</f>
        <v>0</v>
      </c>
      <c r="I50" s="375">
        <f>'Overzicht BTA'!$I$38</f>
        <v>2.3958200000000001</v>
      </c>
      <c r="J50" s="378">
        <f>ROUND(G50*H50*I50,2)</f>
        <v>0</v>
      </c>
      <c r="K50" s="908">
        <f>ROUND(H50*I50*1,2)</f>
        <v>0</v>
      </c>
      <c r="M50" s="368">
        <f>IF(ISNUMBER(MATCH(M2,'Overzicht BTA'!N51:N54,0)),IF(MATCH(Bron!$B$13,'Overzicht BTA'!N51:N54,0)=1,'Overzicht BTA'!P51,IF(MATCH(Bron!$B$13,'Overzicht BTA'!N51:N54,0)=2,'Overzicht BTA'!P52,IF(MATCH(Bron!$B$13,'Overzicht BTA'!N51:N54,0)=3,'Overzicht BTA'!P53,IF(MATCH(Bron!$B$13,'Overzicht BTA'!$B$51:$B$54,0)=4,'Overzicht BTA'!P54,0)))),0)</f>
        <v>0</v>
      </c>
      <c r="N50" s="904">
        <f>VLOOKUP(N46,'Capaciteiten &amp; forfaits'!$B$3:$H$76,4,FALSE)*0.65</f>
        <v>0</v>
      </c>
      <c r="O50" s="375">
        <f>'Overzicht BTA'!$O$38</f>
        <v>2.3958200000000001</v>
      </c>
      <c r="P50" s="378">
        <f>ROUND(M50*N50*O50,2)</f>
        <v>0</v>
      </c>
      <c r="Q50" s="908">
        <f>ROUND(N50*O50*1,2)</f>
        <v>0</v>
      </c>
    </row>
    <row r="51" spans="1:23" ht="15" outlineLevel="1" thickBot="1" x14ac:dyDescent="0.35">
      <c r="A51" s="5" t="s">
        <v>279</v>
      </c>
      <c r="B51" s="6"/>
      <c r="C51" s="2">
        <v>0.1</v>
      </c>
      <c r="D51" s="1">
        <f>ROUND(D50*C51,2)</f>
        <v>0</v>
      </c>
      <c r="E51" s="423"/>
      <c r="G51" s="213" t="s">
        <v>279</v>
      </c>
      <c r="H51" s="214"/>
      <c r="I51" s="215">
        <v>0.1</v>
      </c>
      <c r="J51" s="1">
        <f>ROUND(J50*I51,2)</f>
        <v>0</v>
      </c>
      <c r="K51" s="423"/>
      <c r="M51" s="213" t="s">
        <v>279</v>
      </c>
      <c r="N51" s="214"/>
      <c r="O51" s="215">
        <v>0.1</v>
      </c>
      <c r="P51" s="1">
        <f>ROUND(P50*O51,2)</f>
        <v>0</v>
      </c>
      <c r="Q51" s="423"/>
    </row>
    <row r="52" spans="1:23" ht="15" outlineLevel="1" thickBot="1" x14ac:dyDescent="0.35">
      <c r="A52" s="5" t="s">
        <v>64</v>
      </c>
      <c r="B52" s="6" t="s">
        <v>280</v>
      </c>
      <c r="C52" s="2">
        <v>0.21</v>
      </c>
      <c r="D52" s="1">
        <f>ROUND(D50*C52,2)</f>
        <v>0</v>
      </c>
      <c r="E52" s="423"/>
      <c r="F52" s="150"/>
      <c r="G52" s="213" t="s">
        <v>64</v>
      </c>
      <c r="H52" s="214" t="s">
        <v>280</v>
      </c>
      <c r="I52" s="215">
        <v>0.21</v>
      </c>
      <c r="J52" s="1">
        <f>ROUND(J50*I52,2)</f>
        <v>0</v>
      </c>
      <c r="K52" s="423"/>
      <c r="M52" s="213" t="s">
        <v>64</v>
      </c>
      <c r="N52" s="214" t="s">
        <v>280</v>
      </c>
      <c r="O52" s="215">
        <v>0.21</v>
      </c>
      <c r="P52" s="1">
        <f>ROUND(P50*O52,2)</f>
        <v>0</v>
      </c>
      <c r="Q52" s="423"/>
    </row>
    <row r="53" spans="1:23" ht="15" outlineLevel="1" thickBot="1" x14ac:dyDescent="0.35">
      <c r="A53" s="3" t="s">
        <v>64</v>
      </c>
      <c r="B53" s="18" t="s">
        <v>281</v>
      </c>
      <c r="C53" s="2">
        <v>0.21</v>
      </c>
      <c r="D53" s="4">
        <f>ROUND(D51*C53,2)</f>
        <v>0</v>
      </c>
      <c r="E53" s="423"/>
      <c r="F53" s="149"/>
      <c r="G53" s="216" t="s">
        <v>64</v>
      </c>
      <c r="H53" s="18" t="s">
        <v>281</v>
      </c>
      <c r="I53" s="215">
        <v>0.21</v>
      </c>
      <c r="J53" s="4">
        <f>ROUND(J51*I53,2)</f>
        <v>0</v>
      </c>
      <c r="K53" s="423"/>
      <c r="M53" s="216" t="s">
        <v>64</v>
      </c>
      <c r="N53" s="18" t="s">
        <v>281</v>
      </c>
      <c r="O53" s="215">
        <v>0.21</v>
      </c>
      <c r="P53" s="4">
        <f>ROUND(P51*O53,2)</f>
        <v>0</v>
      </c>
      <c r="Q53" s="423"/>
    </row>
    <row r="54" spans="1:23" ht="15" outlineLevel="1" thickBot="1" x14ac:dyDescent="0.35">
      <c r="A54" s="5" t="s">
        <v>282</v>
      </c>
      <c r="B54" s="6"/>
      <c r="C54" s="7"/>
      <c r="D54" s="1">
        <f>SUM(D50:D53)</f>
        <v>0</v>
      </c>
      <c r="E54" s="53"/>
      <c r="G54" s="213" t="s">
        <v>282</v>
      </c>
      <c r="H54" s="214"/>
      <c r="I54" s="217"/>
      <c r="J54" s="493">
        <f>SUM(J50:J53)</f>
        <v>0</v>
      </c>
      <c r="K54" s="53"/>
      <c r="M54" s="213" t="s">
        <v>282</v>
      </c>
      <c r="N54" s="214"/>
      <c r="O54" s="217"/>
      <c r="P54" s="493">
        <f>SUM(P50:P53)</f>
        <v>0</v>
      </c>
      <c r="Q54" s="53"/>
    </row>
    <row r="55" spans="1:23" outlineLevel="1" x14ac:dyDescent="0.3">
      <c r="S55" s="23"/>
      <c r="T55" s="23"/>
      <c r="U55" s="23"/>
      <c r="V55" s="496"/>
      <c r="W55" s="149"/>
    </row>
    <row r="56" spans="1:23" outlineLevel="1" x14ac:dyDescent="0.3">
      <c r="A56" s="1228" t="s">
        <v>303</v>
      </c>
      <c r="B56" s="1229"/>
      <c r="C56" s="1229"/>
      <c r="D56" s="1229"/>
      <c r="E56" s="1230"/>
      <c r="G56" s="1228" t="s">
        <v>303</v>
      </c>
      <c r="H56" s="1229"/>
      <c r="I56" s="1229"/>
      <c r="J56" s="1229"/>
      <c r="K56" s="1230"/>
      <c r="M56" s="1228" t="s">
        <v>303</v>
      </c>
      <c r="N56" s="1229"/>
      <c r="O56" s="1229"/>
      <c r="P56" s="1229"/>
      <c r="Q56" s="1230"/>
      <c r="S56" s="23"/>
      <c r="T56" s="23"/>
      <c r="U56" s="23"/>
      <c r="V56" s="496"/>
      <c r="W56" s="149"/>
    </row>
    <row r="57" spans="1:23" ht="15" outlineLevel="1" thickBot="1" x14ac:dyDescent="0.35">
      <c r="A57" s="70" t="s">
        <v>304</v>
      </c>
      <c r="B57" s="32" t="s">
        <v>275</v>
      </c>
      <c r="C57" s="239" t="s">
        <v>276</v>
      </c>
      <c r="D57" s="32" t="s">
        <v>277</v>
      </c>
      <c r="G57" s="70" t="s">
        <v>304</v>
      </c>
      <c r="H57" s="32" t="s">
        <v>275</v>
      </c>
      <c r="I57" s="239" t="s">
        <v>276</v>
      </c>
      <c r="J57" s="32" t="s">
        <v>277</v>
      </c>
      <c r="M57" s="70" t="s">
        <v>304</v>
      </c>
      <c r="N57" s="32" t="s">
        <v>275</v>
      </c>
      <c r="O57" s="239" t="s">
        <v>276</v>
      </c>
      <c r="P57" s="32" t="s">
        <v>277</v>
      </c>
      <c r="S57" s="23"/>
      <c r="T57" s="23"/>
      <c r="U57" s="23"/>
      <c r="V57" s="496"/>
      <c r="W57" s="149"/>
    </row>
    <row r="58" spans="1:23" ht="15" outlineLevel="1" thickBot="1" x14ac:dyDescent="0.35">
      <c r="A58" s="1006">
        <f>IF(C45=TRUE,A50,0)</f>
        <v>0</v>
      </c>
      <c r="B58" s="1007">
        <v>32.5</v>
      </c>
      <c r="C58" s="1114">
        <f>C50</f>
        <v>2.3958200000000001</v>
      </c>
      <c r="D58" s="1010">
        <f>ROUND(A58*B58*C58,2)</f>
        <v>0</v>
      </c>
      <c r="G58" s="1006">
        <f>IF(I45=TRUE,G50,0)</f>
        <v>0</v>
      </c>
      <c r="H58" s="1007">
        <v>32.5</v>
      </c>
      <c r="I58" s="1008" t="s">
        <v>1283</v>
      </c>
      <c r="J58" s="1010">
        <f>ROUND(G58*H58*I58,2)</f>
        <v>0</v>
      </c>
      <c r="M58" s="1006">
        <f>IF(O45=TRUE,M50,0)</f>
        <v>0</v>
      </c>
      <c r="N58" s="1007">
        <v>32.5</v>
      </c>
      <c r="O58" s="1008" t="s">
        <v>1283</v>
      </c>
      <c r="P58" s="1010">
        <f>ROUND(M58*N58*O58,2)</f>
        <v>0</v>
      </c>
      <c r="S58" s="23"/>
      <c r="T58" s="23"/>
      <c r="U58" s="23"/>
      <c r="V58" s="496"/>
      <c r="W58" s="149"/>
    </row>
    <row r="59" spans="1:23" outlineLevel="1" x14ac:dyDescent="0.3">
      <c r="A59" s="65" t="s">
        <v>305</v>
      </c>
      <c r="B59" s="63">
        <f>IF($B$2=TRUE, "nvt", B87)</f>
        <v>0</v>
      </c>
      <c r="C59" s="66">
        <v>0.6</v>
      </c>
      <c r="D59" s="1056">
        <f>IFERROR(ROUND(B59*C59,2),"nvt")</f>
        <v>0</v>
      </c>
      <c r="G59" s="65" t="s">
        <v>305</v>
      </c>
      <c r="H59" s="63">
        <f>IF($H$2=TRUE, "nvt", H87)</f>
        <v>0</v>
      </c>
      <c r="I59" s="66">
        <v>0.6</v>
      </c>
      <c r="J59" s="1056">
        <f>IFERROR(ROUND(H59*I59,2),"nvt")</f>
        <v>0</v>
      </c>
      <c r="M59" s="65" t="s">
        <v>305</v>
      </c>
      <c r="N59" s="63">
        <f>IF($N$2=TRUE, "nvt", N87)</f>
        <v>0</v>
      </c>
      <c r="O59" s="66">
        <v>0.6</v>
      </c>
      <c r="P59" s="1056">
        <f>IFERROR(ROUND(N59*O59,2),"nvt")</f>
        <v>0</v>
      </c>
      <c r="S59" s="23"/>
      <c r="T59" s="23"/>
      <c r="U59" s="23"/>
      <c r="V59" s="496"/>
      <c r="W59" s="149"/>
    </row>
    <row r="60" spans="1:23" outlineLevel="1" x14ac:dyDescent="0.3">
      <c r="A60" s="1220" t="s">
        <v>287</v>
      </c>
      <c r="B60" s="1221"/>
      <c r="C60" s="20"/>
      <c r="D60" s="34">
        <f>IF($B$2=TRUE,D58,MIN(D58,D59))</f>
        <v>0</v>
      </c>
      <c r="G60" s="1220" t="s">
        <v>287</v>
      </c>
      <c r="H60" s="1221"/>
      <c r="I60" s="20"/>
      <c r="J60" s="34">
        <f>IF($H$2=TRUE,J58,MIN(J58,J59))</f>
        <v>0</v>
      </c>
      <c r="M60" s="1220" t="s">
        <v>287</v>
      </c>
      <c r="N60" s="1221"/>
      <c r="O60" s="20"/>
      <c r="P60" s="34">
        <f>IF($N$2=TRUE,P58,MIN(P58,P59))</f>
        <v>0</v>
      </c>
      <c r="S60" s="23"/>
      <c r="T60" s="23"/>
      <c r="U60" s="23"/>
      <c r="V60" s="496"/>
      <c r="W60" s="149"/>
    </row>
    <row r="61" spans="1:23" outlineLevel="1" x14ac:dyDescent="0.3">
      <c r="A61" s="22" t="s">
        <v>306</v>
      </c>
      <c r="B61" s="22"/>
      <c r="C61" s="35">
        <v>0.1</v>
      </c>
      <c r="D61" s="34">
        <f>ROUND(D60*C61,2)</f>
        <v>0</v>
      </c>
      <c r="G61" s="22" t="s">
        <v>306</v>
      </c>
      <c r="H61" s="22"/>
      <c r="I61" s="35">
        <v>0.1</v>
      </c>
      <c r="J61" s="34">
        <f>ROUND(J60*I61,2)</f>
        <v>0</v>
      </c>
      <c r="M61" s="22" t="s">
        <v>306</v>
      </c>
      <c r="N61" s="22"/>
      <c r="O61" s="35">
        <v>0.1</v>
      </c>
      <c r="P61" s="34">
        <f>ROUND(P60*O61,2)</f>
        <v>0</v>
      </c>
      <c r="S61" s="23"/>
      <c r="T61" s="23"/>
      <c r="U61" s="23"/>
      <c r="V61" s="496"/>
      <c r="W61" s="149"/>
    </row>
    <row r="62" spans="1:23" outlineLevel="1" x14ac:dyDescent="0.3">
      <c r="A62" s="22" t="s">
        <v>64</v>
      </c>
      <c r="B62" s="22" t="s">
        <v>307</v>
      </c>
      <c r="C62" s="35">
        <v>0.21</v>
      </c>
      <c r="D62" s="34">
        <f>ROUND(D60*C62,2)</f>
        <v>0</v>
      </c>
      <c r="G62" s="22" t="s">
        <v>64</v>
      </c>
      <c r="H62" s="22" t="s">
        <v>307</v>
      </c>
      <c r="I62" s="35">
        <v>0.21</v>
      </c>
      <c r="J62" s="34">
        <f>ROUND(J60*I62,2)</f>
        <v>0</v>
      </c>
      <c r="M62" s="22" t="s">
        <v>64</v>
      </c>
      <c r="N62" s="22" t="s">
        <v>307</v>
      </c>
      <c r="O62" s="35">
        <v>0.21</v>
      </c>
      <c r="P62" s="34">
        <f>ROUND(P60*O62,2)</f>
        <v>0</v>
      </c>
      <c r="S62" s="23"/>
      <c r="T62" s="23"/>
      <c r="U62" s="23"/>
      <c r="V62" s="496"/>
      <c r="W62" s="149"/>
    </row>
    <row r="63" spans="1:23" ht="15" outlineLevel="1" thickBot="1" x14ac:dyDescent="0.35">
      <c r="A63" s="36" t="s">
        <v>294</v>
      </c>
      <c r="B63" s="36" t="s">
        <v>308</v>
      </c>
      <c r="C63" s="37">
        <v>0.21</v>
      </c>
      <c r="D63" s="38">
        <f>ROUND(D61*C63,2)</f>
        <v>0</v>
      </c>
      <c r="G63" s="36" t="s">
        <v>294</v>
      </c>
      <c r="H63" s="36" t="s">
        <v>308</v>
      </c>
      <c r="I63" s="37">
        <v>0.21</v>
      </c>
      <c r="J63" s="38">
        <f>ROUND(J61*I63,2)</f>
        <v>0</v>
      </c>
      <c r="M63" s="36" t="s">
        <v>294</v>
      </c>
      <c r="N63" s="36" t="s">
        <v>308</v>
      </c>
      <c r="O63" s="37">
        <v>0.21</v>
      </c>
      <c r="P63" s="38">
        <f>ROUND(P61*O63,2)</f>
        <v>0</v>
      </c>
    </row>
    <row r="64" spans="1:23" ht="15.6" outlineLevel="1" thickTop="1" thickBot="1" x14ac:dyDescent="0.35">
      <c r="A64" s="22" t="s">
        <v>282</v>
      </c>
      <c r="B64" s="22"/>
      <c r="C64" s="35"/>
      <c r="D64" s="1">
        <f>SUM(D61:D63)+D60</f>
        <v>0</v>
      </c>
      <c r="G64" s="22" t="s">
        <v>282</v>
      </c>
      <c r="H64" s="22"/>
      <c r="I64" s="35"/>
      <c r="J64" s="1">
        <f>SUM(J61:J63)+J60</f>
        <v>0</v>
      </c>
      <c r="M64" s="22" t="s">
        <v>282</v>
      </c>
      <c r="N64" s="22"/>
      <c r="O64" s="35"/>
      <c r="P64" s="1">
        <f>SUM(P61:P63)+P60</f>
        <v>0</v>
      </c>
      <c r="S64" s="23"/>
      <c r="T64" s="23"/>
      <c r="U64" s="23"/>
      <c r="V64" s="496"/>
      <c r="W64" s="149"/>
    </row>
    <row r="65" spans="1:23" ht="15" outlineLevel="2" thickBot="1" x14ac:dyDescent="0.35">
      <c r="A65" s="23"/>
      <c r="B65" s="23"/>
      <c r="C65" s="23"/>
      <c r="D65" s="496"/>
      <c r="E65" s="149"/>
      <c r="G65" s="243"/>
      <c r="H65" s="243"/>
      <c r="I65" s="243"/>
      <c r="J65" s="496"/>
      <c r="K65" s="149"/>
      <c r="M65" s="243"/>
      <c r="N65" s="243"/>
      <c r="O65" s="243"/>
      <c r="P65" s="496"/>
      <c r="Q65" s="149"/>
    </row>
    <row r="66" spans="1:23" ht="15" outlineLevel="2" thickBot="1" x14ac:dyDescent="0.35">
      <c r="A66" s="376" t="s">
        <v>283</v>
      </c>
      <c r="B66" s="140"/>
      <c r="C66" s="140"/>
      <c r="D66" s="141"/>
      <c r="E66" s="141"/>
      <c r="G66" s="376" t="s">
        <v>284</v>
      </c>
      <c r="H66" s="140"/>
      <c r="I66" s="140"/>
      <c r="J66" s="141"/>
      <c r="K66" s="141"/>
      <c r="M66" s="376" t="s">
        <v>284</v>
      </c>
      <c r="N66" s="140"/>
      <c r="O66" s="140"/>
      <c r="P66" s="141"/>
      <c r="Q66" s="141"/>
    </row>
    <row r="67" spans="1:23" ht="15" outlineLevel="2" thickBot="1" x14ac:dyDescent="0.35">
      <c r="A67" s="1003" t="s">
        <v>274</v>
      </c>
      <c r="B67" s="1004" t="s">
        <v>275</v>
      </c>
      <c r="C67" s="1004" t="s">
        <v>276</v>
      </c>
      <c r="D67" s="1004" t="s">
        <v>277</v>
      </c>
      <c r="E67" s="377" t="s">
        <v>278</v>
      </c>
      <c r="G67" s="372" t="s">
        <v>274</v>
      </c>
      <c r="H67" s="370" t="s">
        <v>275</v>
      </c>
      <c r="I67" s="370" t="s">
        <v>276</v>
      </c>
      <c r="J67" s="370" t="s">
        <v>277</v>
      </c>
      <c r="K67" s="377" t="s">
        <v>278</v>
      </c>
      <c r="M67" s="372" t="s">
        <v>274</v>
      </c>
      <c r="N67" s="370" t="s">
        <v>275</v>
      </c>
      <c r="O67" s="370" t="s">
        <v>276</v>
      </c>
      <c r="P67" s="370" t="s">
        <v>277</v>
      </c>
      <c r="Q67" s="377" t="s">
        <v>278</v>
      </c>
    </row>
    <row r="68" spans="1:23" ht="15" outlineLevel="2" thickBot="1" x14ac:dyDescent="0.35">
      <c r="A68" s="1006">
        <f>A50</f>
        <v>0</v>
      </c>
      <c r="B68" s="1007">
        <f>IF(B46=Bron!$E$40,55,0)</f>
        <v>0</v>
      </c>
      <c r="C68" s="1008">
        <f>C50</f>
        <v>2.3958200000000001</v>
      </c>
      <c r="D68" s="1009">
        <f>ROUND(A68*B68*C68,2)</f>
        <v>0</v>
      </c>
      <c r="E68" s="1010">
        <f>ROUND(B68*C68*1,2)</f>
        <v>0</v>
      </c>
      <c r="G68" s="1006">
        <f>G50</f>
        <v>0</v>
      </c>
      <c r="H68" s="1007">
        <f>IF(H46=Bron!$E$40,55,0)</f>
        <v>0</v>
      </c>
      <c r="I68" s="1008">
        <f>I50</f>
        <v>2.3958200000000001</v>
      </c>
      <c r="J68" s="1009">
        <f>ROUND(G68*H68*I68,2)</f>
        <v>0</v>
      </c>
      <c r="K68" s="1010">
        <f>ROUND(H68*I68*1,2)</f>
        <v>0</v>
      </c>
      <c r="M68" s="1006">
        <f>M50</f>
        <v>0</v>
      </c>
      <c r="N68" s="1007">
        <f>IF(N46=Bron!$E$40,55,0)</f>
        <v>0</v>
      </c>
      <c r="O68" s="1008">
        <f>O50</f>
        <v>2.3958200000000001</v>
      </c>
      <c r="P68" s="1009">
        <f>ROUND(M68*N68*O68,2)</f>
        <v>0</v>
      </c>
      <c r="Q68" s="1010">
        <f>ROUND(N68*O68*1,2)</f>
        <v>0</v>
      </c>
    </row>
    <row r="69" spans="1:23" ht="15" outlineLevel="2" thickBot="1" x14ac:dyDescent="0.35">
      <c r="A69" s="1011" t="s">
        <v>285</v>
      </c>
      <c r="B69" s="1009">
        <f>'Bouwkost NB'!$E$52</f>
        <v>0</v>
      </c>
      <c r="C69" s="1012">
        <v>0.6</v>
      </c>
      <c r="D69" s="1009">
        <f>B69*C69</f>
        <v>0</v>
      </c>
      <c r="E69" s="1013"/>
      <c r="G69" s="1011" t="s">
        <v>285</v>
      </c>
      <c r="H69" s="1009">
        <f>'Bouwkost NB'!$P$52</f>
        <v>0</v>
      </c>
      <c r="I69" s="1012">
        <v>0.6</v>
      </c>
      <c r="J69" s="1009">
        <f>H69*I69</f>
        <v>0</v>
      </c>
      <c r="K69" s="1013"/>
      <c r="M69" s="1011" t="s">
        <v>285</v>
      </c>
      <c r="N69" s="1009">
        <f>'Bouwkost NB'!$AA$52</f>
        <v>0</v>
      </c>
      <c r="O69" s="1012">
        <v>0.6</v>
      </c>
      <c r="P69" s="1009">
        <f>N69*O69</f>
        <v>0</v>
      </c>
      <c r="Q69" s="1013"/>
    </row>
    <row r="70" spans="1:23" ht="15" outlineLevel="2" thickBot="1" x14ac:dyDescent="0.35">
      <c r="A70" s="1011" t="s">
        <v>286</v>
      </c>
      <c r="B70" s="1009">
        <f>'Bouwkost NB'!$E$58</f>
        <v>0</v>
      </c>
      <c r="C70" s="1012">
        <v>0.6</v>
      </c>
      <c r="D70" s="1009">
        <f>B70*C70</f>
        <v>0</v>
      </c>
      <c r="E70" s="1013"/>
      <c r="G70" s="1011" t="s">
        <v>286</v>
      </c>
      <c r="H70" s="1009">
        <f>'Bouwkost NB'!$P$58</f>
        <v>0</v>
      </c>
      <c r="I70" s="1012">
        <v>0.6</v>
      </c>
      <c r="J70" s="1009">
        <f>H70*I70</f>
        <v>0</v>
      </c>
      <c r="K70" s="1013"/>
      <c r="M70" s="1011" t="s">
        <v>286</v>
      </c>
      <c r="N70" s="1009">
        <f>'Bouwkost NB'!$AA$58</f>
        <v>0</v>
      </c>
      <c r="O70" s="1012">
        <v>0.6</v>
      </c>
      <c r="P70" s="1009">
        <f>N70*O70</f>
        <v>0</v>
      </c>
      <c r="Q70" s="1013"/>
    </row>
    <row r="71" spans="1:23" ht="15" outlineLevel="2" thickBot="1" x14ac:dyDescent="0.35">
      <c r="A71" s="1220" t="s">
        <v>287</v>
      </c>
      <c r="B71" s="1221"/>
      <c r="C71" s="133"/>
      <c r="D71" s="96">
        <f>MIN(D68,D69+D70)</f>
        <v>0</v>
      </c>
      <c r="E71" s="51"/>
      <c r="G71" s="1220" t="s">
        <v>287</v>
      </c>
      <c r="H71" s="1221"/>
      <c r="I71" s="133"/>
      <c r="J71" s="96">
        <f>MIN(J68,J69+J70)</f>
        <v>0</v>
      </c>
      <c r="K71" s="51"/>
      <c r="M71" s="1220" t="s">
        <v>287</v>
      </c>
      <c r="N71" s="1221"/>
      <c r="O71" s="133"/>
      <c r="P71" s="96">
        <f>MIN(P68,P69+P70)</f>
        <v>0</v>
      </c>
      <c r="Q71" s="51"/>
    </row>
    <row r="72" spans="1:23" ht="15" outlineLevel="2" thickBot="1" x14ac:dyDescent="0.35">
      <c r="A72" s="5" t="s">
        <v>279</v>
      </c>
      <c r="B72" s="6"/>
      <c r="C72" s="2">
        <v>0.1</v>
      </c>
      <c r="D72" s="1">
        <f>ROUND(D71*C72,2)</f>
        <v>0</v>
      </c>
      <c r="G72" s="213" t="s">
        <v>279</v>
      </c>
      <c r="H72" s="214"/>
      <c r="I72" s="215">
        <v>0.1</v>
      </c>
      <c r="J72" s="1">
        <f>ROUND(J71*I72,2)</f>
        <v>0</v>
      </c>
      <c r="M72" s="213" t="s">
        <v>279</v>
      </c>
      <c r="N72" s="214"/>
      <c r="O72" s="215">
        <v>0.1</v>
      </c>
      <c r="P72" s="1">
        <f>ROUND(P71*O72,2)</f>
        <v>0</v>
      </c>
      <c r="S72" s="23"/>
      <c r="T72" s="23"/>
      <c r="U72" s="40"/>
      <c r="V72" s="496"/>
    </row>
    <row r="73" spans="1:23" ht="15" outlineLevel="2" thickBot="1" x14ac:dyDescent="0.35">
      <c r="A73" s="5" t="s">
        <v>64</v>
      </c>
      <c r="B73" s="6" t="s">
        <v>280</v>
      </c>
      <c r="C73" s="2">
        <v>0.21</v>
      </c>
      <c r="D73" s="1">
        <f>ROUND(D71*C73,2)</f>
        <v>0</v>
      </c>
      <c r="F73" s="150"/>
      <c r="G73" s="213" t="s">
        <v>64</v>
      </c>
      <c r="H73" s="214" t="s">
        <v>280</v>
      </c>
      <c r="I73" s="215">
        <v>0.21</v>
      </c>
      <c r="J73" s="1">
        <f>ROUND(J71*I73,2)</f>
        <v>0</v>
      </c>
      <c r="M73" s="213" t="s">
        <v>64</v>
      </c>
      <c r="N73" s="214" t="s">
        <v>280</v>
      </c>
      <c r="O73" s="215">
        <v>0.21</v>
      </c>
      <c r="P73" s="1">
        <f>ROUND(P71*O73,2)</f>
        <v>0</v>
      </c>
      <c r="S73" s="23"/>
      <c r="T73" s="23"/>
      <c r="U73" s="40"/>
      <c r="V73" s="496"/>
    </row>
    <row r="74" spans="1:23" ht="15" outlineLevel="2" thickBot="1" x14ac:dyDescent="0.35">
      <c r="A74" s="3" t="s">
        <v>64</v>
      </c>
      <c r="B74" s="18" t="s">
        <v>281</v>
      </c>
      <c r="C74" s="2">
        <v>0.21</v>
      </c>
      <c r="D74" s="4">
        <f>ROUND(D72*C74,2)</f>
        <v>0</v>
      </c>
      <c r="F74" s="149"/>
      <c r="G74" s="216" t="s">
        <v>64</v>
      </c>
      <c r="H74" s="18" t="s">
        <v>281</v>
      </c>
      <c r="I74" s="215">
        <v>0.21</v>
      </c>
      <c r="J74" s="4">
        <f>ROUND(J72*I74,2)</f>
        <v>0</v>
      </c>
      <c r="M74" s="216" t="s">
        <v>64</v>
      </c>
      <c r="N74" s="18" t="s">
        <v>281</v>
      </c>
      <c r="O74" s="215">
        <v>0.21</v>
      </c>
      <c r="P74" s="4">
        <f>ROUND(P72*O74,2)</f>
        <v>0</v>
      </c>
      <c r="S74" s="23"/>
      <c r="T74" s="18"/>
      <c r="U74" s="40"/>
      <c r="V74" s="496"/>
    </row>
    <row r="75" spans="1:23" ht="15" outlineLevel="2" thickBot="1" x14ac:dyDescent="0.35">
      <c r="A75" s="5" t="s">
        <v>282</v>
      </c>
      <c r="B75" s="6"/>
      <c r="C75" s="7"/>
      <c r="D75" s="1">
        <f>SUM(D71:D74)</f>
        <v>0</v>
      </c>
      <c r="E75" s="149"/>
      <c r="G75" s="213" t="s">
        <v>282</v>
      </c>
      <c r="H75" s="214"/>
      <c r="I75" s="217"/>
      <c r="J75" s="1">
        <f>SUM(J71:J74)</f>
        <v>0</v>
      </c>
      <c r="K75" s="149"/>
      <c r="M75" s="213" t="s">
        <v>282</v>
      </c>
      <c r="N75" s="214"/>
      <c r="O75" s="217"/>
      <c r="P75" s="1">
        <f>SUM(P71:P74)</f>
        <v>0</v>
      </c>
      <c r="Q75" s="149"/>
      <c r="S75" s="23"/>
      <c r="T75" s="23"/>
      <c r="U75" s="23"/>
      <c r="V75" s="496"/>
      <c r="W75" s="149"/>
    </row>
    <row r="76" spans="1:23" ht="15" outlineLevel="1" thickBot="1" x14ac:dyDescent="0.35">
      <c r="A76" s="981"/>
      <c r="B76" s="981"/>
      <c r="C76" s="851"/>
      <c r="D76" s="852"/>
      <c r="E76" s="51"/>
      <c r="G76" s="981"/>
      <c r="H76" s="981"/>
      <c r="I76" s="851"/>
      <c r="J76" s="852"/>
      <c r="K76" s="51"/>
      <c r="M76" s="981"/>
      <c r="N76" s="981"/>
      <c r="O76" s="851"/>
      <c r="P76" s="852"/>
      <c r="Q76" s="51"/>
    </row>
    <row r="77" spans="1:23" ht="15" outlineLevel="1" thickBot="1" x14ac:dyDescent="0.35">
      <c r="A77" s="5" t="s">
        <v>282</v>
      </c>
      <c r="B77" s="6"/>
      <c r="C77" s="7"/>
      <c r="D77" s="1055">
        <f>D75+D54+D64</f>
        <v>0</v>
      </c>
      <c r="E77" s="51"/>
      <c r="G77" s="5" t="s">
        <v>282</v>
      </c>
      <c r="H77" s="6"/>
      <c r="I77" s="7"/>
      <c r="J77" s="1">
        <f>J71+J54</f>
        <v>0</v>
      </c>
      <c r="K77" s="51"/>
      <c r="M77" s="5" t="s">
        <v>282</v>
      </c>
      <c r="N77" s="6"/>
      <c r="O77" s="7"/>
      <c r="P77" s="1">
        <f>P71+P54</f>
        <v>0</v>
      </c>
      <c r="Q77" s="51"/>
    </row>
    <row r="78" spans="1:23" ht="15" outlineLevel="1" thickBot="1" x14ac:dyDescent="0.35">
      <c r="A78" s="981"/>
      <c r="B78" s="981"/>
      <c r="C78" s="851"/>
      <c r="D78" s="852"/>
      <c r="E78" s="51"/>
    </row>
    <row r="79" spans="1:23" ht="15" outlineLevel="1" thickBot="1" x14ac:dyDescent="0.35">
      <c r="A79" s="5" t="s">
        <v>288</v>
      </c>
      <c r="B79" s="127">
        <f>D50+D71</f>
        <v>0</v>
      </c>
      <c r="C79" s="129" t="s">
        <v>289</v>
      </c>
      <c r="D79" s="492">
        <f>ROUND((D50+D71)*10/6,2)</f>
        <v>0</v>
      </c>
      <c r="E79" s="53">
        <f>ROUND(E50*10/6,2)</f>
        <v>0</v>
      </c>
      <c r="G79" s="213" t="s">
        <v>288</v>
      </c>
      <c r="H79" s="127">
        <f>J50+J71</f>
        <v>0</v>
      </c>
      <c r="I79" s="129" t="s">
        <v>289</v>
      </c>
      <c r="J79" s="492">
        <f>ROUND((J50+J71)*10/6,2)</f>
        <v>0</v>
      </c>
      <c r="K79" s="53">
        <f>ROUND(K50*10/6,2)</f>
        <v>0</v>
      </c>
      <c r="M79" s="213" t="s">
        <v>288</v>
      </c>
      <c r="N79" s="127">
        <f>P50+P71</f>
        <v>0</v>
      </c>
      <c r="O79" s="129" t="s">
        <v>289</v>
      </c>
      <c r="P79" s="492">
        <f>ROUND((P50+P71)*10/6,2)</f>
        <v>0</v>
      </c>
      <c r="Q79" s="53">
        <f>ROUND(Q50*10/6,2)</f>
        <v>0</v>
      </c>
    </row>
    <row r="80" spans="1:23" outlineLevel="1" x14ac:dyDescent="0.3"/>
    <row r="81" spans="1:17" outlineLevel="1" x14ac:dyDescent="0.3">
      <c r="A81" s="244" t="s">
        <v>290</v>
      </c>
      <c r="B81" s="221"/>
      <c r="C81" s="221"/>
      <c r="G81" s="244" t="s">
        <v>290</v>
      </c>
      <c r="H81" s="221"/>
      <c r="I81" s="221"/>
      <c r="M81" s="244" t="s">
        <v>290</v>
      </c>
      <c r="N81" s="221"/>
      <c r="O81" s="221"/>
    </row>
    <row r="82" spans="1:17" outlineLevel="1" x14ac:dyDescent="0.3">
      <c r="A82" s="221" t="s">
        <v>123</v>
      </c>
      <c r="B82" s="245">
        <f>IF(ISNUMBER(MATCH($A$2,'Overzicht BTA'!$B$7:$B$10,0)),IF(MATCH(Bron!$B$13,'uitgebreide raming_gewijzigd'!$B$2:$I$2,0)=1,'uitgebreide raming_gewijzigd'!$B6,IF(MATCH(Bron!$B$13,'uitgebreide raming_gewijzigd'!$B$2:$I$2,0)=3,'uitgebreide raming_gewijzigd'!$D6,IF(MATCH(Bron!$B$13,'uitgebreide raming_gewijzigd'!$B$2:$I$2,0)=5,'uitgebreide raming_gewijzigd'!$F6,IF(MATCH(Bron!$B$13,'uitgebreide raming_gewijzigd'!$B$2:$I$2,0)=7,'uitgebreide raming_gewijzigd'!$H6,0)))),0)</f>
        <v>0</v>
      </c>
      <c r="C82" s="225" t="e">
        <f>ROUND(B82/$B$87,2)</f>
        <v>#DIV/0!</v>
      </c>
      <c r="G82" s="221" t="s">
        <v>123</v>
      </c>
      <c r="H82" s="245">
        <f>IF(ISNUMBER(MATCH($G$2,'Overzicht BTA'!$H$7:$H$10,0)),IF(MATCH(Bron!$B$13,'uitgebreide raming_gewijzigd'!$B$29:$I$29,0)=1,'uitgebreide raming_gewijzigd'!B32,IF(MATCH(Bron!$B$13,'uitgebreide raming_gewijzigd'!$B$29:$I$29,0)=3,'uitgebreide raming_gewijzigd'!D32,IF(MATCH(Bron!$B$13,'uitgebreide raming_gewijzigd'!$B$29:$I$29,0)=5,'uitgebreide raming_gewijzigd'!F32,IF(MATCH(Bron!$B$13,'uitgebreide raming_gewijzigd'!$B$29:$I$29,0)=7,'uitgebreide raming_gewijzigd'!H32,0)))),0)</f>
        <v>0</v>
      </c>
      <c r="I82" s="225" t="e">
        <f>ROUND(H82/$H$87,2)</f>
        <v>#DIV/0!</v>
      </c>
      <c r="M82" s="221" t="s">
        <v>123</v>
      </c>
      <c r="N82" s="245">
        <f>IF(ISNUMBER(MATCH($M$2,'Overzicht BTA'!$N$7:$N$10,0)),IF(MATCH(Bron!$B$13,'uitgebreide raming_gewijzigd'!$B$56:$I$56,0)=1,'uitgebreide raming_gewijzigd'!B59,IF(MATCH(Bron!$B$13,'uitgebreide raming_gewijzigd'!$B$56:$I$56,0)=3,'uitgebreide raming_gewijzigd'!D59,IF(MATCH(Bron!$B$13,'uitgebreide raming_gewijzigd'!$B$56:$I$56,0)=5,'uitgebreide raming_gewijzigd'!F59,IF(MATCH(Bron!$B$13,'uitgebreide raming_gewijzigd'!$B$56:$I$56,0)=7,'uitgebreide raming_gewijzigd'!H59,0)))),0)</f>
        <v>0</v>
      </c>
      <c r="O82" s="225" t="e">
        <f>ROUND(N82/$N$87,2)</f>
        <v>#DIV/0!</v>
      </c>
    </row>
    <row r="83" spans="1:17" outlineLevel="1" x14ac:dyDescent="0.3">
      <c r="A83" s="221" t="s">
        <v>124</v>
      </c>
      <c r="B83" s="245">
        <f>IF(ISNUMBER(MATCH($A$2,'Overzicht BTA'!$B$7:$B$10,0)),IF(MATCH(Bron!$B$13,'uitgebreide raming_gewijzigd'!$B$2:$I$2,0)=1,'uitgebreide raming_gewijzigd'!$B7,IF(MATCH(Bron!$B$13,'uitgebreide raming_gewijzigd'!$B$2:$I$2,0)=3,'uitgebreide raming_gewijzigd'!$D7,IF(MATCH(Bron!$B$13,'uitgebreide raming_gewijzigd'!$B$2:$I$2,0)=5,'uitgebreide raming_gewijzigd'!$F7,IF(MATCH(Bron!$B$13,'uitgebreide raming_gewijzigd'!$B$2:$I$2,0)=7,'uitgebreide raming_gewijzigd'!$H7,0)))),0)</f>
        <v>0</v>
      </c>
      <c r="C83" s="225" t="e">
        <f t="shared" ref="C83:C87" si="3">ROUND(B83/$B$87,2)</f>
        <v>#DIV/0!</v>
      </c>
      <c r="G83" s="221" t="s">
        <v>124</v>
      </c>
      <c r="H83" s="245">
        <f>IF(ISNUMBER(MATCH($G$2,'Overzicht BTA'!$H$7:$H$10,0)),IF(MATCH(Bron!$B$13,'uitgebreide raming_gewijzigd'!$B$29:$I$29,0)=1,'uitgebreide raming_gewijzigd'!B33,IF(MATCH(Bron!$B$13,'uitgebreide raming_gewijzigd'!$B$29:$I$29,0)=3,'uitgebreide raming_gewijzigd'!D33,IF(MATCH(Bron!$B$13,'uitgebreide raming_gewijzigd'!$B$29:$I$29,0)=5,'uitgebreide raming_gewijzigd'!F33,IF(MATCH(Bron!$B$13,'uitgebreide raming_gewijzigd'!$B$29:$I$29,0)=7,'uitgebreide raming_gewijzigd'!H33,0)))),0)</f>
        <v>0</v>
      </c>
      <c r="I83" s="225" t="e">
        <f t="shared" ref="I83:I87" si="4">ROUND(H83/$H$87,2)</f>
        <v>#DIV/0!</v>
      </c>
      <c r="M83" s="221" t="s">
        <v>124</v>
      </c>
      <c r="N83" s="245">
        <f>IF(ISNUMBER(MATCH($M$2,'Overzicht BTA'!$N$7:$N$10,0)),IF(MATCH(Bron!$B$13,'uitgebreide raming_gewijzigd'!$B$56:$I$56,0)=1,'uitgebreide raming_gewijzigd'!B60,IF(MATCH(Bron!$B$13,'uitgebreide raming_gewijzigd'!$B$56:$I$56,0)=3,'uitgebreide raming_gewijzigd'!D60,IF(MATCH(Bron!$B$13,'uitgebreide raming_gewijzigd'!$B$56:$I$56,0)=5,'uitgebreide raming_gewijzigd'!F60,IF(MATCH(Bron!$B$13,'uitgebreide raming_gewijzigd'!$B$56:$I$56,0)=7,'uitgebreide raming_gewijzigd'!H60,0)))),0)</f>
        <v>0</v>
      </c>
      <c r="O83" s="225" t="e">
        <f t="shared" ref="O83:O87" si="5">ROUND(N83/$N$87,2)</f>
        <v>#DIV/0!</v>
      </c>
    </row>
    <row r="84" spans="1:17" outlineLevel="1" x14ac:dyDescent="0.3">
      <c r="A84" s="221" t="s">
        <v>125</v>
      </c>
      <c r="B84" s="245">
        <f>IF(ISNUMBER(MATCH($A$2,'Overzicht BTA'!$B$7:$B$10,0)),IF(MATCH(Bron!$B$13,'uitgebreide raming_gewijzigd'!$B$2:$I$2,0)=1,'uitgebreide raming_gewijzigd'!$B8,IF(MATCH(Bron!$B$13,'uitgebreide raming_gewijzigd'!$B$2:$I$2,0)=3,'uitgebreide raming_gewijzigd'!$D8,IF(MATCH(Bron!$B$13,'uitgebreide raming_gewijzigd'!$B$2:$I$2,0)=5,'uitgebreide raming_gewijzigd'!$F8,IF(MATCH(Bron!$B$13,'uitgebreide raming_gewijzigd'!$B$2:$I$2,0)=7,'uitgebreide raming_gewijzigd'!$H8,0)))),0)</f>
        <v>0</v>
      </c>
      <c r="C84" s="225" t="e">
        <f t="shared" si="3"/>
        <v>#DIV/0!</v>
      </c>
      <c r="G84" s="221" t="s">
        <v>125</v>
      </c>
      <c r="H84" s="245">
        <f>IF(ISNUMBER(MATCH($G$2,'Overzicht BTA'!$H$7:$H$10,0)),IF(MATCH(Bron!$B$13,'uitgebreide raming_gewijzigd'!$B$29:$I$29,0)=1,'uitgebreide raming_gewijzigd'!B34,IF(MATCH(Bron!$B$13,'uitgebreide raming_gewijzigd'!$B$29:$I$29,0)=3,'uitgebreide raming_gewijzigd'!D34,IF(MATCH(Bron!$B$13,'uitgebreide raming_gewijzigd'!$B$29:$I$29,0)=5,'uitgebreide raming_gewijzigd'!F34,IF(MATCH(Bron!$B$13,'uitgebreide raming_gewijzigd'!$B$29:$I$29,0)=7,'uitgebreide raming_gewijzigd'!H34,0)))),0)</f>
        <v>0</v>
      </c>
      <c r="I84" s="225" t="e">
        <f t="shared" si="4"/>
        <v>#DIV/0!</v>
      </c>
      <c r="M84" s="221" t="s">
        <v>125</v>
      </c>
      <c r="N84" s="245">
        <f>IF(ISNUMBER(MATCH($M$2,'Overzicht BTA'!$N$7:$N$10,0)),IF(MATCH(Bron!$B$13,'uitgebreide raming_gewijzigd'!$B$56:$I$56,0)=1,'uitgebreide raming_gewijzigd'!B61,IF(MATCH(Bron!$B$13,'uitgebreide raming_gewijzigd'!$B$56:$I$56,0)=3,'uitgebreide raming_gewijzigd'!D61,IF(MATCH(Bron!$B$13,'uitgebreide raming_gewijzigd'!$B$56:$I$56,0)=5,'uitgebreide raming_gewijzigd'!F61,IF(MATCH(Bron!$B$13,'uitgebreide raming_gewijzigd'!$B$56:$I$56,0)=7,'uitgebreide raming_gewijzigd'!H61,0)))),0)</f>
        <v>0</v>
      </c>
      <c r="O84" s="225" t="e">
        <f t="shared" si="5"/>
        <v>#DIV/0!</v>
      </c>
    </row>
    <row r="85" spans="1:17" outlineLevel="1" x14ac:dyDescent="0.3">
      <c r="A85" s="221" t="s">
        <v>126</v>
      </c>
      <c r="B85" s="245">
        <f>IF(ISNUMBER(MATCH($A$2,'Overzicht BTA'!$B$7:$B$10,0)),IF(MATCH(Bron!$B$13,'uitgebreide raming_gewijzigd'!$B$2:$I$2,0)=1,'uitgebreide raming_gewijzigd'!$B9,IF(MATCH(Bron!$B$13,'uitgebreide raming_gewijzigd'!$B$2:$I$2,0)=3,'uitgebreide raming_gewijzigd'!$D9,IF(MATCH(Bron!$B$13,'uitgebreide raming_gewijzigd'!$B$2:$I$2,0)=5,'uitgebreide raming_gewijzigd'!$F9,IF(MATCH(Bron!$B$13,'uitgebreide raming_gewijzigd'!$B$2:$I$2,0)=7,'uitgebreide raming_gewijzigd'!$H9,0)))),0)</f>
        <v>0</v>
      </c>
      <c r="C85" s="225" t="e">
        <f t="shared" si="3"/>
        <v>#DIV/0!</v>
      </c>
      <c r="G85" s="221" t="s">
        <v>126</v>
      </c>
      <c r="H85" s="245">
        <f>IF(ISNUMBER(MATCH($G$2,'Overzicht BTA'!$H$7:$H$10,0)),IF(MATCH(Bron!$B$13,'uitgebreide raming_gewijzigd'!$B$29:$I$29,0)=1,'uitgebreide raming_gewijzigd'!B35,IF(MATCH(Bron!$B$13,'uitgebreide raming_gewijzigd'!$B$29:$I$29,0)=3,'uitgebreide raming_gewijzigd'!D35,IF(MATCH(Bron!$B$13,'uitgebreide raming_gewijzigd'!$B$29:$I$29,0)=5,'uitgebreide raming_gewijzigd'!F35,IF(MATCH(Bron!$B$13,'uitgebreide raming_gewijzigd'!$B$29:$I$29,0)=7,'uitgebreide raming_gewijzigd'!H35,0)))),0)</f>
        <v>0</v>
      </c>
      <c r="I85" s="225" t="e">
        <f t="shared" si="4"/>
        <v>#DIV/0!</v>
      </c>
      <c r="M85" s="221" t="s">
        <v>126</v>
      </c>
      <c r="N85" s="245">
        <f>IF(ISNUMBER(MATCH($M$2,'Overzicht BTA'!$N$7:$N$10,0)),IF(MATCH(Bron!$B$13,'uitgebreide raming_gewijzigd'!$B$56:$I$56,0)=1,'uitgebreide raming_gewijzigd'!B62,IF(MATCH(Bron!$B$13,'uitgebreide raming_gewijzigd'!$B$56:$I$56,0)=3,'uitgebreide raming_gewijzigd'!D62,IF(MATCH(Bron!$B$13,'uitgebreide raming_gewijzigd'!$B$56:$I$56,0)=5,'uitgebreide raming_gewijzigd'!F62,IF(MATCH(Bron!$B$13,'uitgebreide raming_gewijzigd'!$B$56:$I$56,0)=7,'uitgebreide raming_gewijzigd'!H62,0)))),0)</f>
        <v>0</v>
      </c>
      <c r="O85" s="225" t="e">
        <f t="shared" si="5"/>
        <v>#DIV/0!</v>
      </c>
    </row>
    <row r="86" spans="1:17" outlineLevel="1" x14ac:dyDescent="0.3">
      <c r="A86" s="221" t="s">
        <v>127</v>
      </c>
      <c r="B86" s="245">
        <f>IF(ISNUMBER(MATCH($A$2,'Overzicht BTA'!$B$7:$B$10,0)),IF(MATCH(Bron!$B$13,'uitgebreide raming_gewijzigd'!$B$2:$I$2,0)=1,'uitgebreide raming_gewijzigd'!$B10,IF(MATCH(Bron!$B$13,'uitgebreide raming_gewijzigd'!$B$2:$I$2,0)=3,'uitgebreide raming_gewijzigd'!$D10,IF(MATCH(Bron!$B$13,'uitgebreide raming_gewijzigd'!$B$2:$I$2,0)=5,'uitgebreide raming_gewijzigd'!$F10,IF(MATCH(Bron!$B$13,'uitgebreide raming_gewijzigd'!$B$2:$I$2,0)=7,'uitgebreide raming_gewijzigd'!$H10,0)))),0)</f>
        <v>0</v>
      </c>
      <c r="C86" s="225" t="e">
        <f t="shared" si="3"/>
        <v>#DIV/0!</v>
      </c>
      <c r="G86" s="221" t="s">
        <v>127</v>
      </c>
      <c r="H86" s="245">
        <f>IF(ISNUMBER(MATCH($G$2,'Overzicht BTA'!$H$7:$H$10,0)),IF(MATCH(Bron!$B$13,'uitgebreide raming_gewijzigd'!$B$29:$I$29,0)=1,'uitgebreide raming_gewijzigd'!B36,IF(MATCH(Bron!$B$13,'uitgebreide raming_gewijzigd'!$B$29:$I$29,0)=3,'uitgebreide raming_gewijzigd'!D36,IF(MATCH(Bron!$B$13,'uitgebreide raming_gewijzigd'!$B$29:$I$29,0)=5,'uitgebreide raming_gewijzigd'!F36,IF(MATCH(Bron!$B$13,'uitgebreide raming_gewijzigd'!$B$29:$I$29,0)=7,'uitgebreide raming_gewijzigd'!H36,0)))),0)</f>
        <v>0</v>
      </c>
      <c r="I86" s="225" t="e">
        <f t="shared" si="4"/>
        <v>#DIV/0!</v>
      </c>
      <c r="M86" s="221" t="s">
        <v>127</v>
      </c>
      <c r="N86" s="245">
        <f>IF(ISNUMBER(MATCH($M$2,'Overzicht BTA'!$N$7:$N$10,0)),IF(MATCH(Bron!$B$13,'uitgebreide raming_gewijzigd'!$B$56:$I$56,0)=1,'uitgebreide raming_gewijzigd'!B63,IF(MATCH(Bron!$B$13,'uitgebreide raming_gewijzigd'!$B$56:$I$56,0)=3,'uitgebreide raming_gewijzigd'!D63,IF(MATCH(Bron!$B$13,'uitgebreide raming_gewijzigd'!$B$56:$I$56,0)=5,'uitgebreide raming_gewijzigd'!F63,IF(MATCH(Bron!$B$13,'uitgebreide raming_gewijzigd'!$B$56:$I$56,0)=7,'uitgebreide raming_gewijzigd'!H63,0)))),0)</f>
        <v>0</v>
      </c>
      <c r="O86" s="225" t="e">
        <f t="shared" si="5"/>
        <v>#DIV/0!</v>
      </c>
    </row>
    <row r="87" spans="1:17" outlineLevel="1" x14ac:dyDescent="0.3">
      <c r="A87" s="221" t="s">
        <v>110</v>
      </c>
      <c r="B87" s="245">
        <f>IF(ISNUMBER(MATCH($A$2,'Overzicht BTA'!$B$7:$B$10,0)),IF(MATCH(Bron!$B$13,'uitgebreide raming_gewijzigd'!$B$2:$I$2,0)=1,'uitgebreide raming_gewijzigd'!$B11,IF(MATCH(Bron!$B$13,'uitgebreide raming_gewijzigd'!$B$2:$I$2,0)=3,'uitgebreide raming_gewijzigd'!$D11,IF(MATCH(Bron!$B$13,'uitgebreide raming_gewijzigd'!$B$2:$I$2,0)=5,'uitgebreide raming_gewijzigd'!$F11,IF(MATCH(Bron!$B$13,'uitgebreide raming_gewijzigd'!$B$2:$I$2,0)=7,'uitgebreide raming_gewijzigd'!$H11,0)))),0)</f>
        <v>0</v>
      </c>
      <c r="C87" s="225" t="e">
        <f t="shared" si="3"/>
        <v>#DIV/0!</v>
      </c>
      <c r="G87" s="221" t="s">
        <v>110</v>
      </c>
      <c r="H87" s="245">
        <f>IF(ISNUMBER(MATCH($G$2,'Overzicht BTA'!$H$7:$H$10,0)),IF(MATCH(Bron!$B$13,'uitgebreide raming_gewijzigd'!$B$29:$I$29,0)=1,'uitgebreide raming_gewijzigd'!B37,IF(MATCH(Bron!$B$13,'uitgebreide raming_gewijzigd'!$B$29:$I$29,0)=3,'uitgebreide raming_gewijzigd'!D37,IF(MATCH(Bron!$B$13,'uitgebreide raming_gewijzigd'!$B$29:$I$29,0)=5,'uitgebreide raming_gewijzigd'!F37,IF(MATCH(Bron!$B$13,'uitgebreide raming_gewijzigd'!$B$29:$I$29,0)=7,'uitgebreide raming_gewijzigd'!H37,0)))),0)</f>
        <v>0</v>
      </c>
      <c r="I87" s="225" t="e">
        <f t="shared" si="4"/>
        <v>#DIV/0!</v>
      </c>
      <c r="M87" s="221" t="s">
        <v>110</v>
      </c>
      <c r="N87" s="245">
        <f>IF(ISNUMBER(MATCH($M$2,'Overzicht BTA'!$N$7:$N$10,0)),IF(MATCH(Bron!$B$13,'uitgebreide raming_gewijzigd'!$B$56:$I$56,0)=1,'uitgebreide raming_gewijzigd'!B64,IF(MATCH(Bron!$B$13,'uitgebreide raming_gewijzigd'!$B$56:$I$56,0)=3,'uitgebreide raming_gewijzigd'!D64,IF(MATCH(Bron!$B$13,'uitgebreide raming_gewijzigd'!$B$56:$I$56,0)=5,'uitgebreide raming_gewijzigd'!F64,IF(MATCH(Bron!$B$13,'uitgebreide raming_gewijzigd'!$B$56:$I$56,0)=7,'uitgebreide raming_gewijzigd'!H64,0)))),0)</f>
        <v>0</v>
      </c>
      <c r="O87" s="225" t="e">
        <f t="shared" si="5"/>
        <v>#DIV/0!</v>
      </c>
    </row>
    <row r="88" spans="1:17" outlineLevel="1" x14ac:dyDescent="0.3"/>
    <row r="89" spans="1:17" ht="18" x14ac:dyDescent="0.3">
      <c r="A89" s="1223" t="s">
        <v>92</v>
      </c>
      <c r="B89" s="1223"/>
      <c r="C89" s="1223"/>
      <c r="D89" s="1223"/>
      <c r="E89" s="1223"/>
      <c r="F89" s="1223"/>
      <c r="G89" s="1223"/>
      <c r="H89" s="1223"/>
      <c r="I89" s="1223"/>
      <c r="J89" s="1223"/>
      <c r="K89" s="1223"/>
      <c r="L89" s="1223"/>
      <c r="M89" s="1223"/>
      <c r="N89" s="1223"/>
      <c r="O89" s="1223"/>
      <c r="P89" s="1223"/>
      <c r="Q89" s="1223"/>
    </row>
    <row r="90" spans="1:17" ht="15" outlineLevel="1" thickBot="1" x14ac:dyDescent="0.35">
      <c r="A90" s="106" t="s">
        <v>23</v>
      </c>
      <c r="B90" s="106" t="str">
        <f>B46</f>
        <v>Kies de zorgvorm</v>
      </c>
      <c r="C90" s="106"/>
      <c r="D90" s="106"/>
      <c r="E90" s="106"/>
      <c r="F90" s="106"/>
      <c r="G90" s="106" t="s">
        <v>23</v>
      </c>
      <c r="H90" s="1222" t="str">
        <f>H46</f>
        <v>Kies de zorgvorm</v>
      </c>
      <c r="I90" s="1222"/>
      <c r="J90" s="1222"/>
      <c r="K90" s="106"/>
      <c r="L90" s="106"/>
      <c r="M90" s="106" t="s">
        <v>23</v>
      </c>
      <c r="N90" s="1222" t="str">
        <f>N46</f>
        <v>Kies de zorgvorm</v>
      </c>
      <c r="O90" s="1222"/>
      <c r="P90" s="1222"/>
      <c r="Q90" s="106"/>
    </row>
    <row r="91" spans="1:17" ht="15" outlineLevel="1" thickBot="1" x14ac:dyDescent="0.35">
      <c r="A91" s="139" t="s">
        <v>75</v>
      </c>
      <c r="B91" s="140"/>
      <c r="C91" s="140"/>
      <c r="D91" s="141"/>
      <c r="E91" s="141"/>
      <c r="G91" s="139" t="s">
        <v>75</v>
      </c>
      <c r="H91" s="140"/>
      <c r="I91" s="140"/>
      <c r="J91" s="141"/>
      <c r="K91" s="141"/>
      <c r="M91" s="139" t="s">
        <v>75</v>
      </c>
      <c r="N91" s="140"/>
      <c r="O91" s="140"/>
      <c r="P91" s="141"/>
      <c r="Q91" s="141"/>
    </row>
    <row r="92" spans="1:17" outlineLevel="1" x14ac:dyDescent="0.3">
      <c r="A92" s="1228" t="s">
        <v>300</v>
      </c>
      <c r="B92" s="1229"/>
      <c r="C92" s="1229"/>
      <c r="D92" s="1229"/>
      <c r="E92" s="1230"/>
      <c r="G92" s="1228" t="s">
        <v>300</v>
      </c>
      <c r="H92" s="1229"/>
      <c r="I92" s="1229"/>
      <c r="J92" s="1229"/>
      <c r="K92" s="1230"/>
      <c r="M92" s="1228" t="s">
        <v>300</v>
      </c>
      <c r="N92" s="1229"/>
      <c r="O92" s="1229"/>
      <c r="P92" s="1229"/>
      <c r="Q92" s="1230"/>
    </row>
    <row r="93" spans="1:17" ht="15" outlineLevel="1" thickBot="1" x14ac:dyDescent="0.35">
      <c r="A93" s="373" t="s">
        <v>274</v>
      </c>
      <c r="B93" s="375" t="s">
        <v>275</v>
      </c>
      <c r="C93" s="375" t="s">
        <v>276</v>
      </c>
      <c r="D93" s="375" t="s">
        <v>277</v>
      </c>
      <c r="E93" s="379" t="s">
        <v>278</v>
      </c>
      <c r="F93" s="243"/>
      <c r="G93" s="373" t="s">
        <v>274</v>
      </c>
      <c r="H93" s="375" t="s">
        <v>275</v>
      </c>
      <c r="I93" s="375" t="s">
        <v>276</v>
      </c>
      <c r="J93" s="375" t="s">
        <v>277</v>
      </c>
      <c r="K93" s="379" t="s">
        <v>278</v>
      </c>
      <c r="M93" s="373" t="s">
        <v>274</v>
      </c>
      <c r="N93" s="375" t="s">
        <v>275</v>
      </c>
      <c r="O93" s="375" t="s">
        <v>276</v>
      </c>
      <c r="P93" s="375" t="s">
        <v>277</v>
      </c>
      <c r="Q93" s="379" t="s">
        <v>278</v>
      </c>
    </row>
    <row r="94" spans="1:17" ht="15" outlineLevel="1" thickBot="1" x14ac:dyDescent="0.35">
      <c r="A94" s="368">
        <f>A50</f>
        <v>0</v>
      </c>
      <c r="B94" s="904">
        <f>VLOOKUP(B90,'Capaciteiten &amp; forfaits'!$B$3:$H$76,4,FALSE)*0.65</f>
        <v>0</v>
      </c>
      <c r="C94" s="375">
        <f>'Overzicht BTA'!$D$38</f>
        <v>2.3958200000000001</v>
      </c>
      <c r="D94" s="378">
        <f>ROUND(A94*B94*C94,2)</f>
        <v>0</v>
      </c>
      <c r="E94" s="908">
        <f>ROUND(B94*C94*1,2)</f>
        <v>0</v>
      </c>
      <c r="G94" s="368">
        <f>G50</f>
        <v>0</v>
      </c>
      <c r="H94" s="904">
        <f>VLOOKUP(H90,'Capaciteiten &amp; forfaits'!$B$3:$H$76,4,FALSE)*0.65</f>
        <v>0</v>
      </c>
      <c r="I94" s="375">
        <f>'Overzicht BTA'!$D$38</f>
        <v>2.3958200000000001</v>
      </c>
      <c r="J94" s="378">
        <f>ROUND(G94*H94*I94,2)</f>
        <v>0</v>
      </c>
      <c r="K94" s="908">
        <f>ROUND(H94*I94*1,2)</f>
        <v>0</v>
      </c>
      <c r="M94" s="368">
        <f>M50</f>
        <v>0</v>
      </c>
      <c r="N94" s="904">
        <f>VLOOKUP(N90,'Capaciteiten &amp; forfaits'!$B$3:$H$76,4,FALSE)*0.65</f>
        <v>0</v>
      </c>
      <c r="O94" s="375">
        <f>'Overzicht BTA'!$D$38</f>
        <v>2.3958200000000001</v>
      </c>
      <c r="P94" s="378">
        <f>ROUND(M94*N94*O94,2)</f>
        <v>0</v>
      </c>
      <c r="Q94" s="908">
        <f>ROUND(N94*O94*1,2)</f>
        <v>0</v>
      </c>
    </row>
    <row r="95" spans="1:17" ht="15" outlineLevel="1" thickBot="1" x14ac:dyDescent="0.35">
      <c r="A95" s="213" t="s">
        <v>279</v>
      </c>
      <c r="B95" s="214"/>
      <c r="C95" s="215">
        <v>0.1</v>
      </c>
      <c r="D95" s="1">
        <f>ROUND(D94*C95,2)</f>
        <v>0</v>
      </c>
      <c r="E95" s="423"/>
      <c r="G95" s="213" t="s">
        <v>279</v>
      </c>
      <c r="H95" s="214"/>
      <c r="I95" s="215">
        <v>0.1</v>
      </c>
      <c r="J95" s="1">
        <f>ROUND(J94*I95,2)</f>
        <v>0</v>
      </c>
      <c r="K95" s="423"/>
      <c r="M95" s="213" t="s">
        <v>279</v>
      </c>
      <c r="N95" s="214"/>
      <c r="O95" s="215">
        <v>0.1</v>
      </c>
      <c r="P95" s="1">
        <f>ROUND(P94*O95,2)</f>
        <v>0</v>
      </c>
      <c r="Q95" s="423"/>
    </row>
    <row r="96" spans="1:17" ht="15" outlineLevel="1" thickBot="1" x14ac:dyDescent="0.35">
      <c r="A96" s="213" t="s">
        <v>64</v>
      </c>
      <c r="B96" s="214" t="s">
        <v>280</v>
      </c>
      <c r="C96" s="215">
        <v>0.21</v>
      </c>
      <c r="D96" s="1">
        <f>ROUND(D94*C96,2)</f>
        <v>0</v>
      </c>
      <c r="E96" s="423"/>
      <c r="F96" s="150"/>
      <c r="G96" s="213" t="s">
        <v>64</v>
      </c>
      <c r="H96" s="214" t="s">
        <v>280</v>
      </c>
      <c r="I96" s="215">
        <v>0.21</v>
      </c>
      <c r="J96" s="1">
        <f>ROUND(J94*I96,2)</f>
        <v>0</v>
      </c>
      <c r="K96" s="423"/>
      <c r="M96" s="213" t="s">
        <v>64</v>
      </c>
      <c r="N96" s="214" t="s">
        <v>280</v>
      </c>
      <c r="O96" s="215">
        <v>0.21</v>
      </c>
      <c r="P96" s="1">
        <f>ROUND(P94*O96,2)</f>
        <v>0</v>
      </c>
      <c r="Q96" s="423"/>
    </row>
    <row r="97" spans="1:17" ht="15" outlineLevel="1" thickBot="1" x14ac:dyDescent="0.35">
      <c r="A97" s="216" t="s">
        <v>64</v>
      </c>
      <c r="B97" s="18" t="s">
        <v>281</v>
      </c>
      <c r="C97" s="215">
        <v>0.21</v>
      </c>
      <c r="D97" s="4">
        <f>ROUND(D95*C97,2)</f>
        <v>0</v>
      </c>
      <c r="E97" s="423"/>
      <c r="F97" s="212"/>
      <c r="G97" s="216" t="s">
        <v>64</v>
      </c>
      <c r="H97" s="18" t="s">
        <v>281</v>
      </c>
      <c r="I97" s="215">
        <v>0.21</v>
      </c>
      <c r="J97" s="4">
        <f>ROUND(J95*I97,2)</f>
        <v>0</v>
      </c>
      <c r="K97" s="423"/>
      <c r="M97" s="216" t="s">
        <v>64</v>
      </c>
      <c r="N97" s="18" t="s">
        <v>281</v>
      </c>
      <c r="O97" s="215">
        <v>0.21</v>
      </c>
      <c r="P97" s="4">
        <f>ROUND(P95*O97,2)</f>
        <v>0</v>
      </c>
      <c r="Q97" s="423"/>
    </row>
    <row r="98" spans="1:17" ht="15" outlineLevel="1" thickBot="1" x14ac:dyDescent="0.35">
      <c r="A98" s="213" t="s">
        <v>282</v>
      </c>
      <c r="B98" s="214"/>
      <c r="C98" s="217"/>
      <c r="D98" s="493">
        <f>SUM(D94:D97)</f>
        <v>0</v>
      </c>
      <c r="E98" s="53"/>
      <c r="G98" s="213" t="s">
        <v>282</v>
      </c>
      <c r="H98" s="214"/>
      <c r="I98" s="217"/>
      <c r="J98" s="493">
        <f>SUM(J94:J97)</f>
        <v>0</v>
      </c>
      <c r="K98" s="53"/>
      <c r="M98" s="213" t="s">
        <v>282</v>
      </c>
      <c r="N98" s="214"/>
      <c r="O98" s="217"/>
      <c r="P98" s="493">
        <f>SUM(P94:P97)</f>
        <v>0</v>
      </c>
      <c r="Q98" s="53"/>
    </row>
    <row r="99" spans="1:17" outlineLevel="1" x14ac:dyDescent="0.3"/>
    <row r="100" spans="1:17" outlineLevel="1" x14ac:dyDescent="0.3">
      <c r="A100" s="1228" t="s">
        <v>303</v>
      </c>
      <c r="B100" s="1229"/>
      <c r="C100" s="1229"/>
      <c r="D100" s="1229"/>
      <c r="E100" s="1230"/>
      <c r="G100" s="1228" t="s">
        <v>303</v>
      </c>
      <c r="H100" s="1229"/>
      <c r="I100" s="1229"/>
      <c r="J100" s="1229"/>
      <c r="K100" s="1230"/>
      <c r="M100" s="1228" t="s">
        <v>303</v>
      </c>
      <c r="N100" s="1229"/>
      <c r="O100" s="1229"/>
      <c r="P100" s="1229"/>
      <c r="Q100" s="1230"/>
    </row>
    <row r="101" spans="1:17" ht="15" outlineLevel="1" thickBot="1" x14ac:dyDescent="0.35">
      <c r="A101" s="70" t="s">
        <v>304</v>
      </c>
      <c r="B101" s="32" t="s">
        <v>275</v>
      </c>
      <c r="C101" s="239" t="s">
        <v>276</v>
      </c>
      <c r="D101" s="32" t="s">
        <v>277</v>
      </c>
      <c r="G101" s="70" t="s">
        <v>304</v>
      </c>
      <c r="H101" s="32" t="s">
        <v>275</v>
      </c>
      <c r="I101" s="239" t="s">
        <v>276</v>
      </c>
      <c r="J101" s="32" t="s">
        <v>277</v>
      </c>
      <c r="M101" s="70" t="s">
        <v>304</v>
      </c>
      <c r="N101" s="32" t="s">
        <v>275</v>
      </c>
      <c r="O101" s="239" t="s">
        <v>276</v>
      </c>
      <c r="P101" s="32" t="s">
        <v>277</v>
      </c>
    </row>
    <row r="102" spans="1:17" ht="15" outlineLevel="1" thickBot="1" x14ac:dyDescent="0.35">
      <c r="A102" s="1006">
        <f>IF(C89=TRUE,A94,0)</f>
        <v>0</v>
      </c>
      <c r="B102" s="1007">
        <v>32.5</v>
      </c>
      <c r="C102" s="1008" t="s">
        <v>1283</v>
      </c>
      <c r="D102" s="1010">
        <f>ROUND(A102*B102*C102,2)</f>
        <v>0</v>
      </c>
      <c r="G102" s="1006">
        <f>IF(I89=TRUE,G94,0)</f>
        <v>0</v>
      </c>
      <c r="H102" s="1007">
        <v>32.5</v>
      </c>
      <c r="I102" s="1008" t="s">
        <v>1283</v>
      </c>
      <c r="J102" s="1010">
        <f>ROUND(G102*H102*I102,2)</f>
        <v>0</v>
      </c>
      <c r="M102" s="1006">
        <f>IF(O89=TRUE,M94,0)</f>
        <v>0</v>
      </c>
      <c r="N102" s="1007">
        <v>32.5</v>
      </c>
      <c r="O102" s="1008" t="s">
        <v>1283</v>
      </c>
      <c r="P102" s="1010">
        <f>ROUND(M102*N102*O102,2)</f>
        <v>0</v>
      </c>
    </row>
    <row r="103" spans="1:17" outlineLevel="1" x14ac:dyDescent="0.3">
      <c r="A103" s="65" t="s">
        <v>305</v>
      </c>
      <c r="B103" s="63">
        <f>IF($B$2=TRUE, "nvt", B131)</f>
        <v>0</v>
      </c>
      <c r="C103" s="66">
        <v>0.6</v>
      </c>
      <c r="D103" s="1056">
        <f>IFERROR(ROUND(B103*C103,2),"nvt")</f>
        <v>0</v>
      </c>
      <c r="G103" s="65" t="s">
        <v>305</v>
      </c>
      <c r="H103" s="63">
        <f>IF($H$2=TRUE, "nvt", H131)</f>
        <v>0</v>
      </c>
      <c r="I103" s="66">
        <v>0.6</v>
      </c>
      <c r="J103" s="1056">
        <f>IFERROR(ROUND(H103*I103,2),"nvt")</f>
        <v>0</v>
      </c>
      <c r="M103" s="65" t="s">
        <v>305</v>
      </c>
      <c r="N103" s="63">
        <f>IF($N$2=TRUE, "nvt", N131)</f>
        <v>0</v>
      </c>
      <c r="O103" s="66">
        <v>0.6</v>
      </c>
      <c r="P103" s="1056">
        <f>IFERROR(ROUND(N103*O103,2),"nvt")</f>
        <v>0</v>
      </c>
    </row>
    <row r="104" spans="1:17" outlineLevel="1" x14ac:dyDescent="0.3">
      <c r="A104" s="1220" t="s">
        <v>287</v>
      </c>
      <c r="B104" s="1221"/>
      <c r="C104" s="20"/>
      <c r="D104" s="34">
        <f>IF($B$2=TRUE,D102,MIN(D102,D103))</f>
        <v>0</v>
      </c>
      <c r="G104" s="1220" t="s">
        <v>287</v>
      </c>
      <c r="H104" s="1221"/>
      <c r="I104" s="20"/>
      <c r="J104" s="34">
        <f>IF($H$2=TRUE,J102,MIN(J102,J103))</f>
        <v>0</v>
      </c>
      <c r="M104" s="1220" t="s">
        <v>287</v>
      </c>
      <c r="N104" s="1221"/>
      <c r="O104" s="20"/>
      <c r="P104" s="34">
        <f>IF($N$2=TRUE,P102,MIN(P102,P103))</f>
        <v>0</v>
      </c>
    </row>
    <row r="105" spans="1:17" outlineLevel="1" x14ac:dyDescent="0.3">
      <c r="A105" s="22" t="s">
        <v>306</v>
      </c>
      <c r="B105" s="22"/>
      <c r="C105" s="35">
        <v>0.1</v>
      </c>
      <c r="D105" s="34">
        <f>ROUND(D104*C105,2)</f>
        <v>0</v>
      </c>
      <c r="G105" s="22" t="s">
        <v>306</v>
      </c>
      <c r="H105" s="22"/>
      <c r="I105" s="35">
        <v>0.1</v>
      </c>
      <c r="J105" s="34">
        <f>ROUND(J104*I105,2)</f>
        <v>0</v>
      </c>
      <c r="M105" s="22" t="s">
        <v>306</v>
      </c>
      <c r="N105" s="22"/>
      <c r="O105" s="35">
        <v>0.1</v>
      </c>
      <c r="P105" s="34">
        <f>ROUND(P104*O105,2)</f>
        <v>0</v>
      </c>
    </row>
    <row r="106" spans="1:17" outlineLevel="1" x14ac:dyDescent="0.3">
      <c r="A106" s="22" t="s">
        <v>64</v>
      </c>
      <c r="B106" s="22" t="s">
        <v>307</v>
      </c>
      <c r="C106" s="35">
        <v>0.21</v>
      </c>
      <c r="D106" s="34">
        <f>ROUND(D104*C106,2)</f>
        <v>0</v>
      </c>
      <c r="G106" s="22" t="s">
        <v>64</v>
      </c>
      <c r="H106" s="22" t="s">
        <v>307</v>
      </c>
      <c r="I106" s="35">
        <v>0.21</v>
      </c>
      <c r="J106" s="34">
        <f>ROUND(J104*I106,2)</f>
        <v>0</v>
      </c>
      <c r="M106" s="22" t="s">
        <v>64</v>
      </c>
      <c r="N106" s="22" t="s">
        <v>307</v>
      </c>
      <c r="O106" s="35">
        <v>0.21</v>
      </c>
      <c r="P106" s="34">
        <f>ROUND(P104*O106,2)</f>
        <v>0</v>
      </c>
    </row>
    <row r="107" spans="1:17" ht="15" outlineLevel="1" thickBot="1" x14ac:dyDescent="0.35">
      <c r="A107" s="36" t="s">
        <v>294</v>
      </c>
      <c r="B107" s="36" t="s">
        <v>308</v>
      </c>
      <c r="C107" s="37">
        <v>0.21</v>
      </c>
      <c r="D107" s="38">
        <f>ROUND(D105*C107,2)</f>
        <v>0</v>
      </c>
      <c r="G107" s="36" t="s">
        <v>294</v>
      </c>
      <c r="H107" s="36" t="s">
        <v>308</v>
      </c>
      <c r="I107" s="37">
        <v>0.21</v>
      </c>
      <c r="J107" s="38">
        <f>ROUND(J105*I107,2)</f>
        <v>0</v>
      </c>
      <c r="M107" s="36" t="s">
        <v>294</v>
      </c>
      <c r="N107" s="36" t="s">
        <v>308</v>
      </c>
      <c r="O107" s="37">
        <v>0.21</v>
      </c>
      <c r="P107" s="38">
        <f>ROUND(P105*O107,2)</f>
        <v>0</v>
      </c>
    </row>
    <row r="108" spans="1:17" ht="15.6" outlineLevel="1" thickTop="1" thickBot="1" x14ac:dyDescent="0.35">
      <c r="A108" s="22" t="s">
        <v>282</v>
      </c>
      <c r="B108" s="22"/>
      <c r="C108" s="35"/>
      <c r="D108" s="1">
        <f>SUM(D105:D107)+D104</f>
        <v>0</v>
      </c>
      <c r="G108" s="22" t="s">
        <v>282</v>
      </c>
      <c r="H108" s="22"/>
      <c r="I108" s="35"/>
      <c r="J108" s="1">
        <f>SUM(J105:J107)+J104</f>
        <v>0</v>
      </c>
      <c r="M108" s="22" t="s">
        <v>282</v>
      </c>
      <c r="N108" s="22"/>
      <c r="O108" s="35"/>
      <c r="P108" s="1">
        <f>SUM(P105:P107)+P104</f>
        <v>0</v>
      </c>
    </row>
    <row r="109" spans="1:17" ht="15" outlineLevel="1" thickBot="1" x14ac:dyDescent="0.35">
      <c r="A109" s="23"/>
      <c r="B109" s="23"/>
      <c r="C109" s="23"/>
      <c r="D109" s="496"/>
      <c r="E109" s="149"/>
      <c r="G109" s="243"/>
      <c r="H109" s="243"/>
      <c r="I109" s="243"/>
      <c r="J109" s="496"/>
      <c r="K109" s="149"/>
      <c r="M109" s="243"/>
      <c r="N109" s="243"/>
      <c r="O109" s="243"/>
      <c r="P109" s="496"/>
      <c r="Q109" s="149"/>
    </row>
    <row r="110" spans="1:17" ht="15" hidden="1" outlineLevel="2" thickBot="1" x14ac:dyDescent="0.35">
      <c r="A110" s="376" t="s">
        <v>283</v>
      </c>
      <c r="B110" s="140"/>
      <c r="C110" s="140"/>
      <c r="D110" s="141"/>
      <c r="E110" s="141"/>
      <c r="G110" s="376" t="s">
        <v>284</v>
      </c>
      <c r="H110" s="140"/>
      <c r="I110" s="140"/>
      <c r="J110" s="141"/>
      <c r="K110" s="141"/>
      <c r="M110" s="376" t="s">
        <v>284</v>
      </c>
      <c r="N110" s="140"/>
      <c r="O110" s="140"/>
      <c r="P110" s="141"/>
      <c r="Q110" s="141"/>
    </row>
    <row r="111" spans="1:17" ht="15" hidden="1" outlineLevel="2" thickBot="1" x14ac:dyDescent="0.35">
      <c r="A111" s="1003" t="s">
        <v>274</v>
      </c>
      <c r="B111" s="1004" t="s">
        <v>275</v>
      </c>
      <c r="C111" s="1004" t="s">
        <v>276</v>
      </c>
      <c r="D111" s="1004" t="s">
        <v>277</v>
      </c>
      <c r="E111" s="377" t="s">
        <v>278</v>
      </c>
      <c r="G111" s="372" t="s">
        <v>274</v>
      </c>
      <c r="H111" s="370" t="s">
        <v>275</v>
      </c>
      <c r="I111" s="370" t="s">
        <v>276</v>
      </c>
      <c r="J111" s="370" t="s">
        <v>277</v>
      </c>
      <c r="K111" s="377" t="s">
        <v>278</v>
      </c>
      <c r="M111" s="372" t="s">
        <v>274</v>
      </c>
      <c r="N111" s="370" t="s">
        <v>275</v>
      </c>
      <c r="O111" s="370" t="s">
        <v>276</v>
      </c>
      <c r="P111" s="370" t="s">
        <v>277</v>
      </c>
      <c r="Q111" s="377" t="s">
        <v>278</v>
      </c>
    </row>
    <row r="112" spans="1:17" ht="15" hidden="1" outlineLevel="2" thickBot="1" x14ac:dyDescent="0.35">
      <c r="A112" s="1006">
        <f>A94</f>
        <v>0</v>
      </c>
      <c r="B112" s="1007">
        <f>IF(B90=Bron!$E$40,55,0)</f>
        <v>0</v>
      </c>
      <c r="C112" s="1008">
        <f>C94</f>
        <v>2.3958200000000001</v>
      </c>
      <c r="D112" s="1009">
        <f>ROUND(A112*B112*C112,2)</f>
        <v>0</v>
      </c>
      <c r="E112" s="1010">
        <f>ROUND(B112*C112*1,2)</f>
        <v>0</v>
      </c>
      <c r="G112" s="1006">
        <f>G94</f>
        <v>0</v>
      </c>
      <c r="H112" s="1007">
        <f>IF(H90=Bron!$E$40,55,0)</f>
        <v>0</v>
      </c>
      <c r="I112" s="1008">
        <f>I94</f>
        <v>2.3958200000000001</v>
      </c>
      <c r="J112" s="1009">
        <f>ROUND(G112*H112*I112,2)</f>
        <v>0</v>
      </c>
      <c r="K112" s="1010">
        <f>ROUND(H112*I112*1,2)</f>
        <v>0</v>
      </c>
      <c r="M112" s="1006">
        <f>M94</f>
        <v>0</v>
      </c>
      <c r="N112" s="1007">
        <f>IF(N90=Bron!$E$40,55,0)</f>
        <v>0</v>
      </c>
      <c r="O112" s="1008">
        <f>O94</f>
        <v>2.3958200000000001</v>
      </c>
      <c r="P112" s="1009">
        <f>ROUND(M112*N112*O112,2)</f>
        <v>0</v>
      </c>
      <c r="Q112" s="1010">
        <f>ROUND(N112*O112*1,2)</f>
        <v>0</v>
      </c>
    </row>
    <row r="113" spans="1:23" ht="15" hidden="1" outlineLevel="2" thickBot="1" x14ac:dyDescent="0.35">
      <c r="A113" s="1011" t="s">
        <v>285</v>
      </c>
      <c r="B113" s="1009">
        <f>'Bouwkost NB'!$E$52</f>
        <v>0</v>
      </c>
      <c r="C113" s="1012">
        <v>0.6</v>
      </c>
      <c r="D113" s="1009">
        <f>B113*C113</f>
        <v>0</v>
      </c>
      <c r="E113" s="1013"/>
      <c r="G113" s="1011" t="s">
        <v>285</v>
      </c>
      <c r="H113" s="1009">
        <f>'Bouwkost NB'!$P$52</f>
        <v>0</v>
      </c>
      <c r="I113" s="1012">
        <v>0.6</v>
      </c>
      <c r="J113" s="1009">
        <f>H113*I113</f>
        <v>0</v>
      </c>
      <c r="K113" s="1013"/>
      <c r="M113" s="1011" t="s">
        <v>285</v>
      </c>
      <c r="N113" s="1009">
        <f>'Bouwkost NB'!$AA$52</f>
        <v>0</v>
      </c>
      <c r="O113" s="1012">
        <v>0.6</v>
      </c>
      <c r="P113" s="1009">
        <f>N113*O113</f>
        <v>0</v>
      </c>
      <c r="Q113" s="1013"/>
    </row>
    <row r="114" spans="1:23" ht="15" hidden="1" outlineLevel="2" thickBot="1" x14ac:dyDescent="0.35">
      <c r="A114" s="1011" t="s">
        <v>286</v>
      </c>
      <c r="B114" s="1009">
        <f>'Bouwkost NB'!$E$58</f>
        <v>0</v>
      </c>
      <c r="C114" s="1012">
        <v>0.6</v>
      </c>
      <c r="D114" s="1009">
        <f>B114*C114</f>
        <v>0</v>
      </c>
      <c r="E114" s="1013"/>
      <c r="G114" s="1011" t="s">
        <v>286</v>
      </c>
      <c r="H114" s="1009">
        <f>'Bouwkost NB'!$P$58</f>
        <v>0</v>
      </c>
      <c r="I114" s="1012">
        <v>0.6</v>
      </c>
      <c r="J114" s="1009">
        <f>H114*I114</f>
        <v>0</v>
      </c>
      <c r="K114" s="1013"/>
      <c r="M114" s="1011" t="s">
        <v>286</v>
      </c>
      <c r="N114" s="1009">
        <f>'Bouwkost NB'!$AA$58</f>
        <v>0</v>
      </c>
      <c r="O114" s="1012">
        <v>0.6</v>
      </c>
      <c r="P114" s="1009">
        <f>N114*O114</f>
        <v>0</v>
      </c>
      <c r="Q114" s="1013"/>
    </row>
    <row r="115" spans="1:23" ht="15" hidden="1" outlineLevel="2" thickBot="1" x14ac:dyDescent="0.35">
      <c r="A115" s="1220" t="s">
        <v>287</v>
      </c>
      <c r="B115" s="1221"/>
      <c r="C115" s="133"/>
      <c r="D115" s="96">
        <f>MIN(D112,D113+D114)</f>
        <v>0</v>
      </c>
      <c r="E115" s="51"/>
      <c r="G115" s="1220" t="s">
        <v>287</v>
      </c>
      <c r="H115" s="1221"/>
      <c r="I115" s="133"/>
      <c r="J115" s="96">
        <f>MIN(J112,J113+J114)</f>
        <v>0</v>
      </c>
      <c r="K115" s="51"/>
      <c r="M115" s="1220" t="s">
        <v>287</v>
      </c>
      <c r="N115" s="1221"/>
      <c r="O115" s="133"/>
      <c r="P115" s="96">
        <f>MIN(P112,P113+P114)</f>
        <v>0</v>
      </c>
      <c r="Q115" s="51"/>
    </row>
    <row r="116" spans="1:23" ht="15" hidden="1" outlineLevel="2" thickBot="1" x14ac:dyDescent="0.35">
      <c r="A116" s="5" t="s">
        <v>279</v>
      </c>
      <c r="B116" s="6"/>
      <c r="C116" s="2">
        <v>0.1</v>
      </c>
      <c r="D116" s="1">
        <f>ROUND(D115*C116,2)</f>
        <v>0</v>
      </c>
      <c r="G116" s="213" t="s">
        <v>279</v>
      </c>
      <c r="H116" s="214"/>
      <c r="I116" s="215">
        <v>0.1</v>
      </c>
      <c r="J116" s="1">
        <f>ROUND(J115*I116,2)</f>
        <v>0</v>
      </c>
      <c r="M116" s="213" t="s">
        <v>279</v>
      </c>
      <c r="N116" s="214"/>
      <c r="O116" s="215">
        <v>0.1</v>
      </c>
      <c r="P116" s="1">
        <f>ROUND(P115*O116,2)</f>
        <v>0</v>
      </c>
      <c r="S116" s="23"/>
      <c r="T116" s="23"/>
      <c r="U116" s="40"/>
      <c r="V116" s="496"/>
    </row>
    <row r="117" spans="1:23" ht="15" hidden="1" outlineLevel="2" thickBot="1" x14ac:dyDescent="0.35">
      <c r="A117" s="5" t="s">
        <v>64</v>
      </c>
      <c r="B117" s="6" t="s">
        <v>280</v>
      </c>
      <c r="C117" s="2">
        <v>0.21</v>
      </c>
      <c r="D117" s="1">
        <f>ROUND(D115*C117,2)</f>
        <v>0</v>
      </c>
      <c r="F117" s="150"/>
      <c r="G117" s="213" t="s">
        <v>64</v>
      </c>
      <c r="H117" s="214" t="s">
        <v>280</v>
      </c>
      <c r="I117" s="215">
        <v>0.21</v>
      </c>
      <c r="J117" s="1">
        <f>ROUND(J115*I117,2)</f>
        <v>0</v>
      </c>
      <c r="M117" s="213" t="s">
        <v>64</v>
      </c>
      <c r="N117" s="214" t="s">
        <v>280</v>
      </c>
      <c r="O117" s="215">
        <v>0.21</v>
      </c>
      <c r="P117" s="1">
        <f>ROUND(P115*O117,2)</f>
        <v>0</v>
      </c>
      <c r="S117" s="23"/>
      <c r="T117" s="23"/>
      <c r="U117" s="40"/>
      <c r="V117" s="496"/>
    </row>
    <row r="118" spans="1:23" ht="15" hidden="1" outlineLevel="2" thickBot="1" x14ac:dyDescent="0.35">
      <c r="A118" s="3" t="s">
        <v>64</v>
      </c>
      <c r="B118" s="18" t="s">
        <v>281</v>
      </c>
      <c r="C118" s="2">
        <v>0.21</v>
      </c>
      <c r="D118" s="4">
        <f>ROUND(D116*C118,2)</f>
        <v>0</v>
      </c>
      <c r="F118" s="149"/>
      <c r="G118" s="216" t="s">
        <v>64</v>
      </c>
      <c r="H118" s="18" t="s">
        <v>281</v>
      </c>
      <c r="I118" s="215">
        <v>0.21</v>
      </c>
      <c r="J118" s="4">
        <f>ROUND(J116*I118,2)</f>
        <v>0</v>
      </c>
      <c r="M118" s="216" t="s">
        <v>64</v>
      </c>
      <c r="N118" s="18" t="s">
        <v>281</v>
      </c>
      <c r="O118" s="215">
        <v>0.21</v>
      </c>
      <c r="P118" s="4">
        <f>ROUND(P116*O118,2)</f>
        <v>0</v>
      </c>
      <c r="S118" s="23"/>
      <c r="T118" s="18"/>
      <c r="U118" s="40"/>
      <c r="V118" s="496"/>
    </row>
    <row r="119" spans="1:23" ht="15" hidden="1" outlineLevel="2" thickBot="1" x14ac:dyDescent="0.35">
      <c r="A119" s="5" t="s">
        <v>282</v>
      </c>
      <c r="B119" s="6"/>
      <c r="C119" s="7"/>
      <c r="D119" s="1">
        <f>SUM(D115:D118)</f>
        <v>0</v>
      </c>
      <c r="E119" s="149"/>
      <c r="G119" s="213" t="s">
        <v>282</v>
      </c>
      <c r="H119" s="214"/>
      <c r="I119" s="217"/>
      <c r="J119" s="1">
        <f>SUM(J115:J118)</f>
        <v>0</v>
      </c>
      <c r="K119" s="149"/>
      <c r="M119" s="213" t="s">
        <v>282</v>
      </c>
      <c r="N119" s="214"/>
      <c r="O119" s="217"/>
      <c r="P119" s="1">
        <f>SUM(P115:P118)</f>
        <v>0</v>
      </c>
      <c r="Q119" s="149"/>
      <c r="S119" s="23"/>
      <c r="T119" s="23"/>
      <c r="U119" s="23"/>
      <c r="V119" s="496"/>
      <c r="W119" s="149"/>
    </row>
    <row r="120" spans="1:23" ht="15" hidden="1" outlineLevel="2" thickBot="1" x14ac:dyDescent="0.35">
      <c r="A120" s="981"/>
      <c r="B120" s="981"/>
      <c r="C120" s="851"/>
      <c r="D120" s="852"/>
      <c r="E120" s="51"/>
      <c r="G120" s="981"/>
      <c r="H120" s="981"/>
      <c r="I120" s="851"/>
      <c r="J120" s="852"/>
      <c r="K120" s="51"/>
      <c r="M120" s="981"/>
      <c r="N120" s="981"/>
      <c r="O120" s="851"/>
      <c r="P120" s="852"/>
      <c r="Q120" s="51"/>
    </row>
    <row r="121" spans="1:23" ht="15" outlineLevel="1" collapsed="1" thickBot="1" x14ac:dyDescent="0.35">
      <c r="A121" s="5" t="s">
        <v>282</v>
      </c>
      <c r="B121" s="6"/>
      <c r="C121" s="7"/>
      <c r="D121" s="1055">
        <f>D119+D98+D108</f>
        <v>0</v>
      </c>
      <c r="E121" s="51"/>
      <c r="G121" s="5" t="s">
        <v>282</v>
      </c>
      <c r="H121" s="6"/>
      <c r="I121" s="7"/>
      <c r="J121" s="1">
        <f>J115+J98</f>
        <v>0</v>
      </c>
      <c r="K121" s="51"/>
      <c r="M121" s="5" t="s">
        <v>282</v>
      </c>
      <c r="N121" s="6"/>
      <c r="O121" s="7"/>
      <c r="P121" s="1">
        <f>P115+P98</f>
        <v>0</v>
      </c>
      <c r="Q121" s="51"/>
    </row>
    <row r="122" spans="1:23" ht="15" outlineLevel="1" thickBot="1" x14ac:dyDescent="0.35">
      <c r="E122" s="423"/>
      <c r="K122" s="423"/>
      <c r="Q122" s="423"/>
    </row>
    <row r="123" spans="1:23" ht="15" outlineLevel="1" thickBot="1" x14ac:dyDescent="0.35">
      <c r="A123" s="5" t="s">
        <v>288</v>
      </c>
      <c r="B123" s="127">
        <f>D94+D115</f>
        <v>0</v>
      </c>
      <c r="C123" s="129" t="s">
        <v>289</v>
      </c>
      <c r="D123" s="492">
        <f>ROUND((D94+D115)*10/6,2)</f>
        <v>0</v>
      </c>
      <c r="E123" s="53">
        <f>ROUND(E94*10/6,2)</f>
        <v>0</v>
      </c>
      <c r="G123" s="213" t="s">
        <v>288</v>
      </c>
      <c r="H123" s="127">
        <f>J94+J115</f>
        <v>0</v>
      </c>
      <c r="I123" s="129" t="s">
        <v>289</v>
      </c>
      <c r="J123" s="492">
        <f>ROUND((J94+J115)*10/6,2)</f>
        <v>0</v>
      </c>
      <c r="K123" s="53">
        <f>ROUND(K94*10/6,2)</f>
        <v>0</v>
      </c>
      <c r="M123" s="213" t="s">
        <v>288</v>
      </c>
      <c r="N123" s="127">
        <f>P94+P115</f>
        <v>0</v>
      </c>
      <c r="O123" s="129" t="s">
        <v>289</v>
      </c>
      <c r="P123" s="492">
        <f>ROUND((P94+P115)*10/6,2)</f>
        <v>0</v>
      </c>
      <c r="Q123" s="53">
        <f>ROUND(Q94*10/6,2)</f>
        <v>0</v>
      </c>
    </row>
  </sheetData>
  <mergeCells count="44">
    <mergeCell ref="M3:Q3"/>
    <mergeCell ref="A71:B71"/>
    <mergeCell ref="G71:H71"/>
    <mergeCell ref="M71:N71"/>
    <mergeCell ref="A115:B115"/>
    <mergeCell ref="G115:H115"/>
    <mergeCell ref="M115:N115"/>
    <mergeCell ref="A89:Q89"/>
    <mergeCell ref="H90:J90"/>
    <mergeCell ref="N90:P90"/>
    <mergeCell ref="A56:E56"/>
    <mergeCell ref="G56:K56"/>
    <mergeCell ref="M56:Q56"/>
    <mergeCell ref="A60:B60"/>
    <mergeCell ref="G60:H60"/>
    <mergeCell ref="M60:N60"/>
    <mergeCell ref="H1:J1"/>
    <mergeCell ref="N1:P1"/>
    <mergeCell ref="H46:J46"/>
    <mergeCell ref="N46:P46"/>
    <mergeCell ref="A45:Q45"/>
    <mergeCell ref="A26:B26"/>
    <mergeCell ref="G26:H26"/>
    <mergeCell ref="M26:N26"/>
    <mergeCell ref="A11:E11"/>
    <mergeCell ref="G11:K11"/>
    <mergeCell ref="M11:Q11"/>
    <mergeCell ref="A15:B15"/>
    <mergeCell ref="G15:H15"/>
    <mergeCell ref="M15:N15"/>
    <mergeCell ref="A3:E3"/>
    <mergeCell ref="G3:K3"/>
    <mergeCell ref="A100:E100"/>
    <mergeCell ref="G100:K100"/>
    <mergeCell ref="M100:Q100"/>
    <mergeCell ref="A104:B104"/>
    <mergeCell ref="G104:H104"/>
    <mergeCell ref="M104:N104"/>
    <mergeCell ref="A92:E92"/>
    <mergeCell ref="G92:K92"/>
    <mergeCell ref="M92:Q92"/>
    <mergeCell ref="A48:E48"/>
    <mergeCell ref="G48:K48"/>
    <mergeCell ref="M48:Q48"/>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68580</xdr:colOff>
                    <xdr:row>0</xdr:row>
                    <xdr:rowOff>175260</xdr:rowOff>
                  </from>
                  <to>
                    <xdr:col>2</xdr:col>
                    <xdr:colOff>327660</xdr:colOff>
                    <xdr:row>2</xdr:row>
                    <xdr:rowOff>30480</xdr:rowOff>
                  </to>
                </anchor>
              </controlPr>
            </control>
          </mc:Choice>
        </mc:AlternateContent>
        <mc:AlternateContent xmlns:mc="http://schemas.openxmlformats.org/markup-compatibility/2006">
          <mc:Choice Requires="x14">
            <control shapeId="330754" r:id="rId5" name="Check Box 2">
              <controlPr defaultSize="0" autoFill="0" autoLine="0" autoPict="0">
                <anchor moveWithCells="1">
                  <from>
                    <xdr:col>2</xdr:col>
                    <xdr:colOff>106680</xdr:colOff>
                    <xdr:row>0</xdr:row>
                    <xdr:rowOff>175260</xdr:rowOff>
                  </from>
                  <to>
                    <xdr:col>3</xdr:col>
                    <xdr:colOff>723900</xdr:colOff>
                    <xdr:row>2</xdr:row>
                    <xdr:rowOff>30480</xdr:rowOff>
                  </to>
                </anchor>
              </controlPr>
            </control>
          </mc:Choice>
        </mc:AlternateContent>
        <mc:AlternateContent xmlns:mc="http://schemas.openxmlformats.org/markup-compatibility/2006">
          <mc:Choice Requires="x14">
            <control shapeId="330755" r:id="rId6" name="Check Box 3">
              <controlPr defaultSize="0" autoFill="0" autoLine="0" autoPict="0">
                <anchor moveWithCells="1">
                  <from>
                    <xdr:col>7</xdr:col>
                    <xdr:colOff>45720</xdr:colOff>
                    <xdr:row>0</xdr:row>
                    <xdr:rowOff>175260</xdr:rowOff>
                  </from>
                  <to>
                    <xdr:col>18</xdr:col>
                    <xdr:colOff>121920</xdr:colOff>
                    <xdr:row>2</xdr:row>
                    <xdr:rowOff>30480</xdr:rowOff>
                  </to>
                </anchor>
              </controlPr>
            </control>
          </mc:Choice>
        </mc:AlternateContent>
        <mc:AlternateContent xmlns:mc="http://schemas.openxmlformats.org/markup-compatibility/2006">
          <mc:Choice Requires="x14">
            <control shapeId="330756" r:id="rId7" name="Check Box 4">
              <controlPr defaultSize="0" autoFill="0" autoLine="0" autoPict="0">
                <anchor moveWithCells="1">
                  <from>
                    <xdr:col>8</xdr:col>
                    <xdr:colOff>99060</xdr:colOff>
                    <xdr:row>0</xdr:row>
                    <xdr:rowOff>160020</xdr:rowOff>
                  </from>
                  <to>
                    <xdr:col>18</xdr:col>
                    <xdr:colOff>0</xdr:colOff>
                    <xdr:row>2</xdr:row>
                    <xdr:rowOff>30480</xdr:rowOff>
                  </to>
                </anchor>
              </controlPr>
            </control>
          </mc:Choice>
        </mc:AlternateContent>
        <mc:AlternateContent xmlns:mc="http://schemas.openxmlformats.org/markup-compatibility/2006">
          <mc:Choice Requires="x14">
            <control shapeId="330757" r:id="rId8" name="Check Box 5">
              <controlPr defaultSize="0" autoFill="0" autoLine="0" autoPict="0">
                <anchor moveWithCells="1">
                  <from>
                    <xdr:col>14</xdr:col>
                    <xdr:colOff>99060</xdr:colOff>
                    <xdr:row>0</xdr:row>
                    <xdr:rowOff>160020</xdr:rowOff>
                  </from>
                  <to>
                    <xdr:col>19</xdr:col>
                    <xdr:colOff>22860</xdr:colOff>
                    <xdr:row>2</xdr:row>
                    <xdr:rowOff>38100</xdr:rowOff>
                  </to>
                </anchor>
              </controlPr>
            </control>
          </mc:Choice>
        </mc:AlternateContent>
        <mc:AlternateContent xmlns:mc="http://schemas.openxmlformats.org/markup-compatibility/2006">
          <mc:Choice Requires="x14">
            <control shapeId="330758" r:id="rId9" name="Check Box 6">
              <controlPr defaultSize="0" autoFill="0" autoLine="0" autoPict="0">
                <anchor moveWithCells="1">
                  <from>
                    <xdr:col>13</xdr:col>
                    <xdr:colOff>60960</xdr:colOff>
                    <xdr:row>0</xdr:row>
                    <xdr:rowOff>175260</xdr:rowOff>
                  </from>
                  <to>
                    <xdr:col>19</xdr:col>
                    <xdr:colOff>114300</xdr:colOff>
                    <xdr:row>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Blad18"/>
  <dimension ref="A1:W121"/>
  <sheetViews>
    <sheetView topLeftCell="A52" zoomScale="80" zoomScaleNormal="80" workbookViewId="0">
      <selection activeCell="A25" sqref="A25:XFD29"/>
    </sheetView>
  </sheetViews>
  <sheetFormatPr defaultColWidth="9.109375" defaultRowHeight="13.8" outlineLevelRow="2" outlineLevelCol="1" x14ac:dyDescent="0.3"/>
  <cols>
    <col min="1" max="1" width="30.33203125" style="18" customWidth="1"/>
    <col min="2" max="2" width="15.5546875" style="18" customWidth="1"/>
    <col min="3" max="3" width="14.6640625" style="18" bestFit="1" customWidth="1"/>
    <col min="4" max="4" width="4.6640625" style="18" bestFit="1" customWidth="1"/>
    <col min="5" max="5" width="14" style="18" bestFit="1" customWidth="1"/>
    <col min="6" max="6" width="2.33203125" style="18" customWidth="1"/>
    <col min="7" max="7" width="24.6640625" style="18" hidden="1" customWidth="1" outlineLevel="1"/>
    <col min="8" max="8" width="13.109375" style="18" hidden="1" customWidth="1" outlineLevel="1"/>
    <col min="9" max="9" width="11.33203125" style="18" hidden="1" customWidth="1" outlineLevel="1"/>
    <col min="10" max="10" width="5.33203125" style="18" hidden="1" customWidth="1" outlineLevel="1"/>
    <col min="11" max="11" width="14" style="18" hidden="1" customWidth="1" outlineLevel="1"/>
    <col min="12" max="12" width="2.33203125" style="18" customWidth="1" collapsed="1"/>
    <col min="13" max="13" width="24.6640625" style="18" hidden="1" customWidth="1" outlineLevel="1"/>
    <col min="14" max="14" width="14.88671875" style="18" hidden="1" customWidth="1" outlineLevel="1"/>
    <col min="15" max="15" width="11.33203125" style="18" hidden="1" customWidth="1" outlineLevel="1"/>
    <col min="16" max="16" width="5.33203125" style="18" hidden="1" customWidth="1" outlineLevel="1"/>
    <col min="17" max="17" width="14" style="18" hidden="1" customWidth="1" outlineLevel="1"/>
    <col min="18" max="18" width="9.109375" style="18" customWidth="1" collapsed="1"/>
    <col min="19" max="16384" width="9.109375" style="18"/>
  </cols>
  <sheetData>
    <row r="1" spans="1:17" ht="12.75" customHeight="1" x14ac:dyDescent="0.3">
      <c r="A1" s="54" t="s">
        <v>292</v>
      </c>
      <c r="B1" s="54" t="str">
        <f>'Overzicht BTA'!C3</f>
        <v>Kies de zorgvorm</v>
      </c>
      <c r="C1" s="54"/>
      <c r="D1" s="54"/>
      <c r="E1" s="54"/>
      <c r="F1" s="54"/>
      <c r="G1" s="54" t="s">
        <v>292</v>
      </c>
      <c r="H1" s="1231" t="str">
        <f>'Overzicht BTA'!H3</f>
        <v>Kies de zorgvorm</v>
      </c>
      <c r="I1" s="1231"/>
      <c r="J1" s="1231"/>
      <c r="K1" s="54"/>
      <c r="L1" s="54"/>
      <c r="M1" s="54" t="s">
        <v>292</v>
      </c>
      <c r="N1" s="54" t="str">
        <f>'Overzicht BTA'!N3</f>
        <v>Kies de zorgvorm</v>
      </c>
      <c r="O1" s="54"/>
      <c r="P1" s="54"/>
      <c r="Q1" s="54"/>
    </row>
    <row r="2" spans="1:17" x14ac:dyDescent="0.3">
      <c r="A2" s="222" t="s">
        <v>76</v>
      </c>
      <c r="B2" s="222"/>
      <c r="C2" s="222"/>
      <c r="D2" s="222"/>
      <c r="E2" s="223"/>
      <c r="F2" s="243"/>
      <c r="G2" s="222" t="s">
        <v>76</v>
      </c>
      <c r="H2" s="222"/>
      <c r="I2" s="222"/>
      <c r="J2" s="222"/>
      <c r="K2" s="223"/>
      <c r="M2" s="222" t="s">
        <v>76</v>
      </c>
      <c r="N2" s="222"/>
      <c r="O2" s="222"/>
      <c r="P2" s="222"/>
      <c r="Q2" s="223"/>
    </row>
    <row r="3" spans="1:17" ht="14.4" thickBot="1" x14ac:dyDescent="0.35">
      <c r="A3" s="211" t="s">
        <v>274</v>
      </c>
      <c r="B3" s="221" t="s">
        <v>275</v>
      </c>
      <c r="C3" s="221" t="s">
        <v>276</v>
      </c>
      <c r="D3" s="221"/>
      <c r="E3" s="221" t="s">
        <v>277</v>
      </c>
      <c r="F3" s="243"/>
      <c r="G3" s="211" t="s">
        <v>274</v>
      </c>
      <c r="H3" s="221" t="s">
        <v>275</v>
      </c>
      <c r="I3" s="221" t="s">
        <v>276</v>
      </c>
      <c r="J3" s="221"/>
      <c r="K3" s="221" t="s">
        <v>277</v>
      </c>
      <c r="M3" s="211" t="s">
        <v>274</v>
      </c>
      <c r="N3" s="221" t="s">
        <v>275</v>
      </c>
      <c r="O3" s="221" t="s">
        <v>276</v>
      </c>
      <c r="P3" s="221"/>
      <c r="Q3" s="221" t="s">
        <v>277</v>
      </c>
    </row>
    <row r="4" spans="1:17" ht="14.4" thickBot="1" x14ac:dyDescent="0.35">
      <c r="A4" s="466">
        <f>IF(ISNUMBER(MATCH(A2,'Overzicht BTA'!B7:B10,0)),MIN(VLOOKUP(A2,'Overzicht BTA'!B7:D10,3,FALSE),'Overzicht BTA'!D19),0)</f>
        <v>0</v>
      </c>
      <c r="B4" s="905">
        <f>VLOOKUP(B1,'Capaciteiten &amp; forfaits'!$B$3:$H$76,4,FALSE)*0.65</f>
        <v>0</v>
      </c>
      <c r="C4" s="208">
        <f>'Overzicht BTA'!$D$36</f>
        <v>2.3958200000000001</v>
      </c>
      <c r="D4" s="221"/>
      <c r="E4" s="224">
        <f>ROUND(A4*B4*C4,2)</f>
        <v>0</v>
      </c>
      <c r="F4" s="246"/>
      <c r="G4" s="466">
        <f>IF(ISNUMBER(MATCH(G2,'Overzicht BTA'!H7:H10,0)),MIN(VLOOKUP(G2,'Overzicht BTA'!H7:J10,3,FALSE),'Overzicht BTA'!J19),0)</f>
        <v>0</v>
      </c>
      <c r="H4" s="905">
        <f>VLOOKUP(H1,'Capaciteiten &amp; forfaits'!$B$3:$H$76,4,FALSE)*0.65</f>
        <v>0</v>
      </c>
      <c r="I4" s="208">
        <f>'Overzicht BTA'!$I$36</f>
        <v>2.3958200000000001</v>
      </c>
      <c r="J4" s="221"/>
      <c r="K4" s="224">
        <f>ROUND(G4*H4*I4,2)</f>
        <v>0</v>
      </c>
      <c r="M4" s="466">
        <f>IF(ISNUMBER(MATCH(M2,'Overzicht BTA'!N7:N10,0)),MIN(VLOOKUP(M2,'Overzicht BTA'!N7:P10,3,FALSE),'Overzicht BTA'!P19),0)</f>
        <v>0</v>
      </c>
      <c r="N4" s="905">
        <f>VLOOKUP(N1,'Capaciteiten &amp; forfaits'!$B$3:$H$76,4,FALSE)*0.65</f>
        <v>0</v>
      </c>
      <c r="O4" s="208">
        <f>'Overzicht BTA'!$O$36</f>
        <v>2.3958200000000001</v>
      </c>
      <c r="P4" s="221"/>
      <c r="Q4" s="224">
        <f>ROUND(M4*N4*O4,2)</f>
        <v>0</v>
      </c>
    </row>
    <row r="5" spans="1:17" ht="14.4" thickBot="1" x14ac:dyDescent="0.35">
      <c r="A5" s="213" t="s">
        <v>279</v>
      </c>
      <c r="B5" s="221"/>
      <c r="C5" s="225">
        <v>0.1</v>
      </c>
      <c r="D5" s="225"/>
      <c r="E5" s="224">
        <f>ROUND(E4*C5,2)</f>
        <v>0</v>
      </c>
      <c r="F5" s="246"/>
      <c r="G5" s="213" t="s">
        <v>279</v>
      </c>
      <c r="H5" s="221"/>
      <c r="I5" s="225">
        <v>0.1</v>
      </c>
      <c r="J5" s="225"/>
      <c r="K5" s="224">
        <f>ROUND(K4*I5,2)</f>
        <v>0</v>
      </c>
      <c r="M5" s="213" t="s">
        <v>279</v>
      </c>
      <c r="N5" s="221"/>
      <c r="O5" s="225">
        <v>0.1</v>
      </c>
      <c r="P5" s="225"/>
      <c r="Q5" s="224">
        <f>ROUND(Q4*O5,2)</f>
        <v>0</v>
      </c>
    </row>
    <row r="6" spans="1:17" x14ac:dyDescent="0.3">
      <c r="A6" s="221" t="s">
        <v>64</v>
      </c>
      <c r="B6" s="221" t="s">
        <v>293</v>
      </c>
      <c r="C6" s="226">
        <f>'Overzicht BTA'!C19</f>
        <v>0</v>
      </c>
      <c r="D6" s="226">
        <f>IF(ISNUMBER(MATCH($A$2,'Overzicht BTA'!$B$7:$B$10,0)),IF(MATCH(Bron!$B$14,'uitgebreide raming'!$B$2:$I$2,0)=1,'uitgebreide raming'!C9,IF(MATCH(Bron!$B$14,'uitgebreide raming'!$B$2:$I$2,0)=3,'uitgebreide raming'!E9,IF(MATCH(Bron!$B$14,'uitgebreide raming'!$B$2:$I$2,0)=5,'uitgebreide raming'!G9,IF(MATCH(Bron!$B$14,'uitgebreide raming'!$B$2:$I$2,0)=7,'uitgebreide raming'!I9,0)))),0)</f>
        <v>0</v>
      </c>
      <c r="E6" s="224">
        <f>ROUND(E4*C6*D6,2)</f>
        <v>0</v>
      </c>
      <c r="F6" s="246"/>
      <c r="G6" s="221" t="s">
        <v>64</v>
      </c>
      <c r="H6" s="221" t="s">
        <v>293</v>
      </c>
      <c r="I6" s="226">
        <f>'Overzicht BTA'!I19</f>
        <v>0</v>
      </c>
      <c r="J6" s="225">
        <f>IF(ISNUMBER(MATCH($G$2,'Overzicht BTA'!$H$7:$H$10,0)),IF(MATCH(Bron!$B$9,'uitgebreide raming'!$B$2:$I$2,0)=1,'uitgebreide raming'!C36,IF(MATCH(Bron!$B$9,'uitgebreide raming'!$B$2:$I$2,0)=3,'uitgebreide raming'!C36,IF(MATCH(Bron!$B$9,'uitgebreide raming'!$B$2:$I$2,0)=5,'uitgebreide raming'!C36,IF(MATCH(Bron!$B$9,'uitgebreide raming'!$B$2:$I$2,0)=7,'uitgebreide raming'!C36,0)))),0)</f>
        <v>0</v>
      </c>
      <c r="K6" s="224">
        <f>ROUND(K4*I6*J6,2)</f>
        <v>0</v>
      </c>
      <c r="M6" s="221" t="s">
        <v>64</v>
      </c>
      <c r="N6" s="221" t="s">
        <v>293</v>
      </c>
      <c r="O6" s="226">
        <f>'Overzicht BTA'!O19</f>
        <v>0</v>
      </c>
      <c r="P6" s="225">
        <f>IF(ISNUMBER(MATCH($M$2,'Overzicht BTA'!$N$7:$N$10,0)),IF(MATCH(Bron!$B$9,'uitgebreide raming'!$B$2:$I$2,0)=1,'uitgebreide raming'!C63,IF(MATCH(Bron!$B$9,'uitgebreide raming'!$B$2:$I$2,0)=3,'uitgebreide raming'!C63,IF(MATCH(Bron!$B$9,'uitgebreide raming'!$B$2:$I$2,0)=5,'uitgebreide raming'!C63,IF(MATCH(Bron!$B$9,'uitgebreide raming'!$B$2:$I$2,0)=7,'uitgebreide raming'!C63,0)))),0)</f>
        <v>0</v>
      </c>
      <c r="Q6" s="224">
        <f>ROUND(Q4*O6*P6,2)</f>
        <v>0</v>
      </c>
    </row>
    <row r="7" spans="1:17" x14ac:dyDescent="0.3">
      <c r="A7" s="221" t="s">
        <v>294</v>
      </c>
      <c r="B7" s="221" t="s">
        <v>295</v>
      </c>
      <c r="C7" s="226">
        <v>0.21</v>
      </c>
      <c r="D7" s="226">
        <f>IF(ISNUMBER(MATCH($A$2,'Overzicht BTA'!$B$7:$B$10,0)),IF(MATCH(Bron!$B$14,'uitgebreide raming'!$B$2:$I$2,0)=1,'uitgebreide raming'!C10,IF(MATCH(Bron!$B$14,'uitgebreide raming'!$B$2:$I$2,0)=3,'uitgebreide raming'!E10,IF(MATCH(Bron!$B$14,'uitgebreide raming'!$B$2:$I$2,0)=5,'uitgebreide raming'!G10,IF(MATCH(Bron!$B$14,'uitgebreide raming'!$B$2:$I$2,0)=7,'uitgebreide raming'!I10,0)))),0)</f>
        <v>0</v>
      </c>
      <c r="E7" s="224">
        <f>ROUND(E4*C7*D7,2)</f>
        <v>0</v>
      </c>
      <c r="F7" s="246"/>
      <c r="G7" s="221" t="s">
        <v>294</v>
      </c>
      <c r="H7" s="221" t="s">
        <v>295</v>
      </c>
      <c r="I7" s="226">
        <v>0.21</v>
      </c>
      <c r="J7" s="225">
        <f>IF(ISNUMBER(MATCH($G$2,'Overzicht BTA'!$H$7:$H$10,0)),IF(MATCH(Bron!$B$9,'uitgebreide raming'!$B$2:$I$2,0)=1,'uitgebreide raming'!C37,IF(MATCH(Bron!$B$9,'uitgebreide raming'!$B$2:$I$2,0)=3,'uitgebreide raming'!C37,IF(MATCH(Bron!$B$9,'uitgebreide raming'!$B$2:$I$2,0)=5,'uitgebreide raming'!C37,IF(MATCH(Bron!$B$9,'uitgebreide raming'!$B$2:$I$2,0)=7,'uitgebreide raming'!C37,0)))),0)</f>
        <v>0</v>
      </c>
      <c r="K7" s="224">
        <f>ROUND(K4*I7*J7,2)</f>
        <v>0</v>
      </c>
      <c r="M7" s="221" t="s">
        <v>294</v>
      </c>
      <c r="N7" s="221" t="s">
        <v>295</v>
      </c>
      <c r="O7" s="226">
        <v>0.21</v>
      </c>
      <c r="P7" s="225">
        <f>IF(ISNUMBER(MATCH($M$2,'Overzicht BTA'!$N$7:$N$10,0)),IF(MATCH(Bron!$B$9,'uitgebreide raming'!$B$2:$I$2,0)=1,'uitgebreide raming'!C64,IF(MATCH(Bron!$B$9,'uitgebreide raming'!$B$2:$I$2,0)=3,'uitgebreide raming'!C64,IF(MATCH(Bron!$B$9,'uitgebreide raming'!$B$2:$I$2,0)=5,'uitgebreide raming'!C64,IF(MATCH(Bron!$B$9,'uitgebreide raming'!$B$2:$I$2,0)=7,'uitgebreide raming'!C64,0)))),0)</f>
        <v>0</v>
      </c>
      <c r="Q7" s="224">
        <f>ROUND(Q4*O7*P7,2)</f>
        <v>0</v>
      </c>
    </row>
    <row r="8" spans="1:17" ht="14.4" thickBot="1" x14ac:dyDescent="0.35">
      <c r="A8" s="221" t="s">
        <v>64</v>
      </c>
      <c r="B8" s="50" t="s">
        <v>281</v>
      </c>
      <c r="C8" s="225">
        <v>0.21</v>
      </c>
      <c r="D8" s="227"/>
      <c r="E8" s="228">
        <f>ROUND(E5*C8,2)</f>
        <v>0</v>
      </c>
      <c r="F8" s="246"/>
      <c r="G8" s="221" t="s">
        <v>64</v>
      </c>
      <c r="H8" s="50" t="s">
        <v>281</v>
      </c>
      <c r="I8" s="225">
        <v>0.21</v>
      </c>
      <c r="J8" s="227"/>
      <c r="K8" s="228">
        <f>ROUND(K5*I8,2)</f>
        <v>0</v>
      </c>
      <c r="M8" s="221" t="s">
        <v>64</v>
      </c>
      <c r="N8" s="50" t="s">
        <v>281</v>
      </c>
      <c r="O8" s="225">
        <v>0.21</v>
      </c>
      <c r="P8" s="227"/>
      <c r="Q8" s="228">
        <f>ROUND(Q5*O8,2)</f>
        <v>0</v>
      </c>
    </row>
    <row r="9" spans="1:17" ht="14.4" thickTop="1" x14ac:dyDescent="0.3">
      <c r="A9" s="229" t="s">
        <v>282</v>
      </c>
      <c r="B9" s="230"/>
      <c r="C9" s="231"/>
      <c r="D9" s="232"/>
      <c r="E9" s="233">
        <f>SUM(E4:E8)</f>
        <v>0</v>
      </c>
      <c r="F9" s="246"/>
      <c r="G9" s="229" t="s">
        <v>282</v>
      </c>
      <c r="H9" s="230"/>
      <c r="I9" s="231"/>
      <c r="J9" s="232"/>
      <c r="K9" s="233">
        <f>SUM(K4:K8)</f>
        <v>0</v>
      </c>
      <c r="M9" s="229" t="s">
        <v>282</v>
      </c>
      <c r="N9" s="230"/>
      <c r="O9" s="231"/>
      <c r="P9" s="232"/>
      <c r="Q9" s="233">
        <f>SUM(Q4:Q8)</f>
        <v>0</v>
      </c>
    </row>
    <row r="10" spans="1:17" x14ac:dyDescent="0.3">
      <c r="A10" s="222" t="s">
        <v>76</v>
      </c>
      <c r="B10" s="138"/>
      <c r="C10" s="138"/>
      <c r="D10" s="138"/>
      <c r="E10" s="138"/>
      <c r="F10" s="246"/>
      <c r="G10" s="222" t="s">
        <v>76</v>
      </c>
      <c r="H10" s="138"/>
      <c r="I10" s="138"/>
      <c r="J10" s="138"/>
      <c r="K10" s="138"/>
      <c r="M10" s="222" t="s">
        <v>76</v>
      </c>
      <c r="N10" s="138"/>
      <c r="O10" s="138"/>
      <c r="P10" s="138"/>
      <c r="Q10" s="138"/>
    </row>
    <row r="11" spans="1:17" ht="14.4" thickBot="1" x14ac:dyDescent="0.35">
      <c r="A11" s="211" t="s">
        <v>274</v>
      </c>
      <c r="B11" s="221" t="s">
        <v>275</v>
      </c>
      <c r="C11" s="221" t="s">
        <v>276</v>
      </c>
      <c r="D11" s="221"/>
      <c r="E11" s="221" t="s">
        <v>277</v>
      </c>
      <c r="F11" s="246"/>
      <c r="G11" s="211" t="s">
        <v>274</v>
      </c>
      <c r="H11" s="221" t="s">
        <v>275</v>
      </c>
      <c r="I11" s="221" t="s">
        <v>276</v>
      </c>
      <c r="J11" s="221"/>
      <c r="K11" s="221" t="s">
        <v>277</v>
      </c>
      <c r="M11" s="211" t="s">
        <v>274</v>
      </c>
      <c r="N11" s="221" t="s">
        <v>275</v>
      </c>
      <c r="O11" s="221" t="s">
        <v>276</v>
      </c>
      <c r="P11" s="221"/>
      <c r="Q11" s="221" t="s">
        <v>277</v>
      </c>
    </row>
    <row r="12" spans="1:17" ht="14.4" thickBot="1" x14ac:dyDescent="0.35">
      <c r="A12" s="466">
        <f>IF(ISNUMBER(MATCH(A10,'Overzicht BTA'!B7:B10,0)),MAX(VLOOKUP('Overzicht BTA'!B13,'Overzicht BTA'!B7:D10,3)-A4,0),0)</f>
        <v>0</v>
      </c>
      <c r="B12" s="559">
        <f>VLOOKUP(B1,'Capaciteiten &amp; forfaits'!$B$3:$H$76,4,FALSE)*0.65</f>
        <v>0</v>
      </c>
      <c r="C12" s="208">
        <v>1.6842900000000001</v>
      </c>
      <c r="D12" s="221"/>
      <c r="E12" s="224">
        <f>ROUND(A12*B12*C12,2)</f>
        <v>0</v>
      </c>
      <c r="F12" s="246"/>
      <c r="G12" s="466">
        <f>IF(ISNUMBER(MATCH(G10,'Overzicht BTA'!H7:H10,0)),MAX(VLOOKUP('Overzicht BTA'!H13,'Overzicht BTA'!H7:J10,3)-G4,0),0)</f>
        <v>0</v>
      </c>
      <c r="H12" s="559">
        <f>VLOOKUP(H1,'Capaciteiten &amp; forfaits'!$B$3:$H$76,4,FALSE)*0.65</f>
        <v>0</v>
      </c>
      <c r="I12" s="208">
        <f>'Overzicht BTA'!$I$36</f>
        <v>2.3958200000000001</v>
      </c>
      <c r="J12" s="221"/>
      <c r="K12" s="224">
        <f>ROUND(G12*H12*I12,2)</f>
        <v>0</v>
      </c>
      <c r="M12" s="466">
        <f>IF(ISNUMBER(MATCH(M10,'Overzicht BTA'!N7:N10,0)),MAX(VLOOKUP('Overzicht BTA'!N13,'Overzicht BTA'!N7:P10,3)-M4,0),0)</f>
        <v>0</v>
      </c>
      <c r="N12" s="559">
        <f>VLOOKUP(N1,'Capaciteiten &amp; forfaits'!$B$3:$H$76,4,FALSE)*0.65</f>
        <v>0</v>
      </c>
      <c r="O12" s="208">
        <f>'Overzicht BTA'!$O$36</f>
        <v>2.3958200000000001</v>
      </c>
      <c r="P12" s="221"/>
      <c r="Q12" s="224">
        <f>ROUND(M12*N12*O12,2)</f>
        <v>0</v>
      </c>
    </row>
    <row r="13" spans="1:17" ht="14.4" thickBot="1" x14ac:dyDescent="0.35">
      <c r="A13" s="213" t="s">
        <v>279</v>
      </c>
      <c r="B13" s="221"/>
      <c r="C13" s="225">
        <v>0.1</v>
      </c>
      <c r="D13" s="225"/>
      <c r="E13" s="224">
        <f>ROUND(E12*C13,2)</f>
        <v>0</v>
      </c>
      <c r="F13" s="246"/>
      <c r="G13" s="213" t="s">
        <v>279</v>
      </c>
      <c r="H13" s="221"/>
      <c r="I13" s="225">
        <v>0.1</v>
      </c>
      <c r="J13" s="225"/>
      <c r="K13" s="224">
        <f>ROUND(K12*I13,2)</f>
        <v>0</v>
      </c>
      <c r="M13" s="213" t="s">
        <v>279</v>
      </c>
      <c r="N13" s="221"/>
      <c r="O13" s="225">
        <v>0.1</v>
      </c>
      <c r="P13" s="225"/>
      <c r="Q13" s="224">
        <f>ROUND(Q12*O13,2)</f>
        <v>0</v>
      </c>
    </row>
    <row r="14" spans="1:17" x14ac:dyDescent="0.3">
      <c r="A14" s="221" t="s">
        <v>64</v>
      </c>
      <c r="B14" s="221" t="s">
        <v>293</v>
      </c>
      <c r="C14" s="226">
        <f>'Overzicht BTA'!E19</f>
        <v>0</v>
      </c>
      <c r="D14" s="225">
        <f>D6</f>
        <v>0</v>
      </c>
      <c r="E14" s="224">
        <f>ROUND(E12*C14*D14,2)</f>
        <v>0</v>
      </c>
      <c r="F14" s="246"/>
      <c r="G14" s="221" t="s">
        <v>64</v>
      </c>
      <c r="H14" s="221" t="s">
        <v>293</v>
      </c>
      <c r="I14" s="226">
        <f>'Overzicht BTA'!K19</f>
        <v>0</v>
      </c>
      <c r="J14" s="225">
        <f>J6</f>
        <v>0</v>
      </c>
      <c r="K14" s="224">
        <f>ROUND(K12*I14*J14,2)</f>
        <v>0</v>
      </c>
      <c r="M14" s="221" t="s">
        <v>64</v>
      </c>
      <c r="N14" s="221" t="s">
        <v>293</v>
      </c>
      <c r="O14" s="226">
        <f>'Overzicht BTA'!Q19</f>
        <v>0</v>
      </c>
      <c r="P14" s="225">
        <f>P6</f>
        <v>0</v>
      </c>
      <c r="Q14" s="224">
        <f>ROUND(Q12*O14*P14,2)</f>
        <v>0</v>
      </c>
    </row>
    <row r="15" spans="1:17" x14ac:dyDescent="0.3">
      <c r="A15" s="221" t="s">
        <v>294</v>
      </c>
      <c r="B15" s="221" t="s">
        <v>295</v>
      </c>
      <c r="C15" s="226">
        <v>0.21</v>
      </c>
      <c r="D15" s="225">
        <f>D7</f>
        <v>0</v>
      </c>
      <c r="E15" s="224">
        <f>ROUND(E12*C15*D15,2)</f>
        <v>0</v>
      </c>
      <c r="F15" s="246"/>
      <c r="G15" s="221" t="s">
        <v>294</v>
      </c>
      <c r="H15" s="221" t="s">
        <v>295</v>
      </c>
      <c r="I15" s="226">
        <v>0.21</v>
      </c>
      <c r="J15" s="225">
        <f>J7</f>
        <v>0</v>
      </c>
      <c r="K15" s="224">
        <f>ROUND(K12*I15*J15,2)</f>
        <v>0</v>
      </c>
      <c r="M15" s="221" t="s">
        <v>294</v>
      </c>
      <c r="N15" s="221" t="s">
        <v>295</v>
      </c>
      <c r="O15" s="226">
        <v>0.21</v>
      </c>
      <c r="P15" s="225">
        <f>P7</f>
        <v>0</v>
      </c>
      <c r="Q15" s="224">
        <f>ROUND(Q12*O15*P15,2)</f>
        <v>0</v>
      </c>
    </row>
    <row r="16" spans="1:17" ht="14.4" thickBot="1" x14ac:dyDescent="0.35">
      <c r="A16" s="221" t="s">
        <v>64</v>
      </c>
      <c r="B16" s="50" t="s">
        <v>281</v>
      </c>
      <c r="C16" s="225">
        <v>0.21</v>
      </c>
      <c r="D16" s="227"/>
      <c r="E16" s="228">
        <f>ROUND(E13*C16,2)</f>
        <v>0</v>
      </c>
      <c r="F16" s="246"/>
      <c r="G16" s="221" t="s">
        <v>64</v>
      </c>
      <c r="H16" s="50" t="s">
        <v>281</v>
      </c>
      <c r="I16" s="225">
        <v>0.21</v>
      </c>
      <c r="J16" s="227"/>
      <c r="K16" s="228">
        <f>ROUND(K13*I16,2)</f>
        <v>0</v>
      </c>
      <c r="M16" s="221" t="s">
        <v>64</v>
      </c>
      <c r="N16" s="50" t="s">
        <v>281</v>
      </c>
      <c r="O16" s="225">
        <v>0.21</v>
      </c>
      <c r="P16" s="227"/>
      <c r="Q16" s="228">
        <f>ROUND(Q13*O16,2)</f>
        <v>0</v>
      </c>
    </row>
    <row r="17" spans="1:23" ht="14.4" thickTop="1" x14ac:dyDescent="0.3">
      <c r="A17" s="229" t="s">
        <v>282</v>
      </c>
      <c r="B17" s="230"/>
      <c r="C17" s="231"/>
      <c r="D17" s="232"/>
      <c r="E17" s="233">
        <f>SUM(E12:E16)</f>
        <v>0</v>
      </c>
      <c r="F17" s="246"/>
      <c r="G17" s="229" t="s">
        <v>282</v>
      </c>
      <c r="H17" s="230"/>
      <c r="I17" s="231"/>
      <c r="J17" s="232"/>
      <c r="K17" s="233">
        <f>SUM(K12:K16)</f>
        <v>0</v>
      </c>
      <c r="M17" s="229" t="s">
        <v>282</v>
      </c>
      <c r="N17" s="230"/>
      <c r="O17" s="231"/>
      <c r="P17" s="232"/>
      <c r="Q17" s="233">
        <f>SUM(Q12:Q16)</f>
        <v>0</v>
      </c>
    </row>
    <row r="18" spans="1:23" ht="14.4" thickBot="1" x14ac:dyDescent="0.35"/>
    <row r="19" spans="1:23" customFormat="1" ht="15" outlineLevel="1" thickBot="1" x14ac:dyDescent="0.35">
      <c r="A19" s="376" t="s">
        <v>283</v>
      </c>
      <c r="B19" s="140"/>
      <c r="C19" s="140"/>
      <c r="D19" s="141"/>
      <c r="E19" s="141"/>
      <c r="G19" s="376" t="s">
        <v>283</v>
      </c>
      <c r="H19" s="140"/>
      <c r="I19" s="140"/>
      <c r="J19" s="141"/>
      <c r="K19" s="141"/>
      <c r="M19" s="376" t="s">
        <v>283</v>
      </c>
      <c r="N19" s="140"/>
      <c r="O19" s="140"/>
      <c r="P19" s="141"/>
      <c r="Q19" s="141"/>
      <c r="S19" s="23"/>
      <c r="T19" s="23"/>
      <c r="U19" s="23"/>
      <c r="V19" s="496"/>
      <c r="W19" s="149"/>
    </row>
    <row r="20" spans="1:23" customFormat="1" ht="15" outlineLevel="1" thickBot="1" x14ac:dyDescent="0.35">
      <c r="A20" s="372" t="s">
        <v>274</v>
      </c>
      <c r="B20" s="370" t="s">
        <v>275</v>
      </c>
      <c r="C20" s="370" t="s">
        <v>276</v>
      </c>
      <c r="D20" s="369"/>
      <c r="E20" s="370" t="s">
        <v>277</v>
      </c>
      <c r="G20" s="372" t="s">
        <v>274</v>
      </c>
      <c r="H20" s="370" t="s">
        <v>275</v>
      </c>
      <c r="I20" s="370" t="s">
        <v>276</v>
      </c>
      <c r="J20" s="369"/>
      <c r="K20" s="370" t="s">
        <v>277</v>
      </c>
      <c r="M20" s="372" t="s">
        <v>274</v>
      </c>
      <c r="N20" s="370" t="s">
        <v>275</v>
      </c>
      <c r="O20" s="370" t="s">
        <v>276</v>
      </c>
      <c r="P20" s="369"/>
      <c r="Q20" s="370" t="s">
        <v>277</v>
      </c>
      <c r="S20" s="23"/>
      <c r="T20" s="23"/>
      <c r="U20" s="23"/>
      <c r="V20" s="496"/>
      <c r="W20" s="149"/>
    </row>
    <row r="21" spans="1:23" customFormat="1" ht="15" outlineLevel="1" thickBot="1" x14ac:dyDescent="0.35">
      <c r="A21" s="1002">
        <f>MIN($A$4,'Bouwkost NB'!$C$91)</f>
        <v>0</v>
      </c>
      <c r="B21" s="904">
        <f>IF($B$1=Bron!$E$40,55,0)</f>
        <v>0</v>
      </c>
      <c r="C21" s="370">
        <f>$C$4</f>
        <v>2.3958200000000001</v>
      </c>
      <c r="D21" s="369"/>
      <c r="E21" s="982">
        <f>ROUND(A21*B21*C21,2)</f>
        <v>0</v>
      </c>
      <c r="G21" s="1002">
        <f>MIN($G$4,'Bouwkost NB'!$C$91)</f>
        <v>0</v>
      </c>
      <c r="H21" s="904">
        <f>IF($H$1=Bron!$E$40,55,0)</f>
        <v>0</v>
      </c>
      <c r="I21" s="370">
        <f>$C$4</f>
        <v>2.3958200000000001</v>
      </c>
      <c r="J21" s="369"/>
      <c r="K21" s="982">
        <f>ROUND(G21*H21*I21,2)</f>
        <v>0</v>
      </c>
      <c r="M21" s="1002">
        <f>MIN($M$4,'Bouwkost NB'!$C$91)</f>
        <v>0</v>
      </c>
      <c r="N21" s="904">
        <f>IF($N$1=Bron!$E$40,55,0)</f>
        <v>0</v>
      </c>
      <c r="O21" s="370">
        <f>$C$4</f>
        <v>2.3958200000000001</v>
      </c>
      <c r="P21" s="369"/>
      <c r="Q21" s="982">
        <f>ROUND(M21*N21*O21,2)</f>
        <v>0</v>
      </c>
      <c r="S21" s="23"/>
      <c r="T21" s="23"/>
      <c r="U21" s="23"/>
      <c r="V21" s="496"/>
      <c r="W21" s="149"/>
    </row>
    <row r="22" spans="1:23" customFormat="1" ht="15" outlineLevel="1" thickBot="1" x14ac:dyDescent="0.35">
      <c r="A22" s="65" t="s">
        <v>285</v>
      </c>
      <c r="B22" s="63">
        <f>'Bouwkost NB'!$C$52</f>
        <v>0</v>
      </c>
      <c r="C22" s="66">
        <v>0.6</v>
      </c>
      <c r="D22" s="369"/>
      <c r="E22" s="982">
        <f>B22*C22</f>
        <v>0</v>
      </c>
      <c r="G22" s="65" t="s">
        <v>285</v>
      </c>
      <c r="H22" s="63">
        <f>'Bouwkost NB'!$N$52</f>
        <v>0</v>
      </c>
      <c r="I22" s="66">
        <v>0.6</v>
      </c>
      <c r="J22" s="369"/>
      <c r="K22" s="982">
        <f>H22*I22</f>
        <v>0</v>
      </c>
      <c r="M22" s="65" t="s">
        <v>285</v>
      </c>
      <c r="N22" s="63">
        <f>'Bouwkost NB'!$Y$52</f>
        <v>0</v>
      </c>
      <c r="O22" s="66">
        <v>0.6</v>
      </c>
      <c r="P22" s="369"/>
      <c r="Q22" s="982">
        <f>N22*O22</f>
        <v>0</v>
      </c>
      <c r="S22" s="23"/>
      <c r="T22" s="23"/>
      <c r="U22" s="23"/>
      <c r="V22" s="496"/>
      <c r="W22" s="149"/>
    </row>
    <row r="23" spans="1:23" customFormat="1" ht="15" outlineLevel="1" thickBot="1" x14ac:dyDescent="0.35">
      <c r="A23" s="368" t="s">
        <v>286</v>
      </c>
      <c r="B23" s="63">
        <f>'Bouwkost NB'!$C$58</f>
        <v>0</v>
      </c>
      <c r="C23" s="66">
        <v>0.6</v>
      </c>
      <c r="D23" s="369"/>
      <c r="E23" s="982">
        <f>B23*C23</f>
        <v>0</v>
      </c>
      <c r="G23" s="368" t="s">
        <v>286</v>
      </c>
      <c r="H23" s="63">
        <f>'Bouwkost NB'!$N$58</f>
        <v>0</v>
      </c>
      <c r="I23" s="66">
        <v>0.6</v>
      </c>
      <c r="J23" s="369"/>
      <c r="K23" s="982">
        <f>H23*I23</f>
        <v>0</v>
      </c>
      <c r="M23" s="368" t="s">
        <v>286</v>
      </c>
      <c r="N23" s="63">
        <f>'Bouwkost NB'!$Y$58</f>
        <v>0</v>
      </c>
      <c r="O23" s="66">
        <v>0.6</v>
      </c>
      <c r="P23" s="369"/>
      <c r="Q23" s="982">
        <f>N23*O23</f>
        <v>0</v>
      </c>
      <c r="S23" s="23"/>
      <c r="T23" s="23"/>
      <c r="U23" s="23"/>
      <c r="V23" s="496"/>
      <c r="W23" s="149"/>
    </row>
    <row r="24" spans="1:23" customFormat="1" ht="15" outlineLevel="1" thickBot="1" x14ac:dyDescent="0.35">
      <c r="A24" s="1220" t="s">
        <v>287</v>
      </c>
      <c r="B24" s="1221"/>
      <c r="C24" s="133"/>
      <c r="D24" s="18"/>
      <c r="E24" s="96">
        <f>MIN(E21,(E22+E23))</f>
        <v>0</v>
      </c>
      <c r="G24" s="1220" t="s">
        <v>287</v>
      </c>
      <c r="H24" s="1221"/>
      <c r="I24" s="133"/>
      <c r="J24" s="18"/>
      <c r="K24" s="96">
        <f>MIN(K21,(K22+K23))</f>
        <v>0</v>
      </c>
      <c r="M24" s="1220" t="s">
        <v>287</v>
      </c>
      <c r="N24" s="1221"/>
      <c r="O24" s="133"/>
      <c r="P24" s="18"/>
      <c r="Q24" s="96">
        <f>MIN(Q21,(Q22+Q23))</f>
        <v>0</v>
      </c>
      <c r="S24" s="23"/>
      <c r="T24" s="23"/>
      <c r="U24" s="23"/>
      <c r="V24" s="496"/>
      <c r="W24" s="149"/>
    </row>
    <row r="25" spans="1:23" ht="14.4" outlineLevel="1" thickBot="1" x14ac:dyDescent="0.35">
      <c r="A25" s="213" t="s">
        <v>279</v>
      </c>
      <c r="B25" s="221"/>
      <c r="C25" s="225">
        <v>0.1</v>
      </c>
      <c r="D25" s="225"/>
      <c r="E25" s="224">
        <f>ROUND(E24*C25,2)</f>
        <v>0</v>
      </c>
      <c r="F25" s="246"/>
      <c r="G25" s="213" t="s">
        <v>279</v>
      </c>
      <c r="H25" s="221"/>
      <c r="I25" s="225">
        <v>0.1</v>
      </c>
      <c r="J25" s="225"/>
      <c r="K25" s="224">
        <f>ROUND(K24*I25,2)</f>
        <v>0</v>
      </c>
      <c r="M25" s="213" t="s">
        <v>279</v>
      </c>
      <c r="N25" s="221"/>
      <c r="O25" s="225">
        <v>0.1</v>
      </c>
      <c r="P25" s="225"/>
      <c r="Q25" s="224">
        <f>ROUND(Q24*O25,2)</f>
        <v>0</v>
      </c>
    </row>
    <row r="26" spans="1:23" outlineLevel="1" x14ac:dyDescent="0.3">
      <c r="A26" s="221" t="s">
        <v>64</v>
      </c>
      <c r="B26" s="221" t="s">
        <v>293</v>
      </c>
      <c r="C26" s="226">
        <f>'Overzicht BTA'!E31</f>
        <v>0</v>
      </c>
      <c r="D26" s="225">
        <f>D18</f>
        <v>0</v>
      </c>
      <c r="E26" s="224">
        <f>ROUND(E24*C26*D26,2)</f>
        <v>0</v>
      </c>
      <c r="F26" s="246"/>
      <c r="G26" s="221" t="s">
        <v>64</v>
      </c>
      <c r="H26" s="221" t="s">
        <v>293</v>
      </c>
      <c r="I26" s="226">
        <f>'Overzicht BTA'!K31</f>
        <v>0</v>
      </c>
      <c r="J26" s="225">
        <f>J18</f>
        <v>0</v>
      </c>
      <c r="K26" s="224">
        <f>ROUND(K24*I26*J26,2)</f>
        <v>0</v>
      </c>
      <c r="M26" s="221" t="s">
        <v>64</v>
      </c>
      <c r="N26" s="221" t="s">
        <v>293</v>
      </c>
      <c r="O26" s="226">
        <f>'Overzicht BTA'!Q31</f>
        <v>0</v>
      </c>
      <c r="P26" s="225">
        <f>P18</f>
        <v>0</v>
      </c>
      <c r="Q26" s="224">
        <f>ROUND(Q24*O26*P26,2)</f>
        <v>0</v>
      </c>
    </row>
    <row r="27" spans="1:23" outlineLevel="1" x14ac:dyDescent="0.3">
      <c r="A27" s="221" t="s">
        <v>294</v>
      </c>
      <c r="B27" s="221" t="s">
        <v>295</v>
      </c>
      <c r="C27" s="226">
        <v>0.21</v>
      </c>
      <c r="D27" s="225">
        <f>D19</f>
        <v>0</v>
      </c>
      <c r="E27" s="224">
        <f>ROUND(E24*C27*D27,2)</f>
        <v>0</v>
      </c>
      <c r="F27" s="246"/>
      <c r="G27" s="221" t="s">
        <v>294</v>
      </c>
      <c r="H27" s="221" t="s">
        <v>295</v>
      </c>
      <c r="I27" s="226">
        <v>0.21</v>
      </c>
      <c r="J27" s="225">
        <f>J19</f>
        <v>0</v>
      </c>
      <c r="K27" s="224">
        <f>ROUND(K24*I27*J27,2)</f>
        <v>0</v>
      </c>
      <c r="M27" s="221" t="s">
        <v>294</v>
      </c>
      <c r="N27" s="221" t="s">
        <v>295</v>
      </c>
      <c r="O27" s="226">
        <v>0.21</v>
      </c>
      <c r="P27" s="225">
        <f>P19</f>
        <v>0</v>
      </c>
      <c r="Q27" s="224">
        <f>ROUND(Q24*O27*P27,2)</f>
        <v>0</v>
      </c>
    </row>
    <row r="28" spans="1:23" ht="14.4" outlineLevel="1" thickBot="1" x14ac:dyDescent="0.35">
      <c r="A28" s="221" t="s">
        <v>64</v>
      </c>
      <c r="B28" s="50" t="s">
        <v>281</v>
      </c>
      <c r="C28" s="225">
        <v>0.21</v>
      </c>
      <c r="D28" s="227"/>
      <c r="E28" s="228">
        <f>ROUND(E25*C28,2)</f>
        <v>0</v>
      </c>
      <c r="F28" s="246"/>
      <c r="G28" s="221" t="s">
        <v>64</v>
      </c>
      <c r="H28" s="50" t="s">
        <v>281</v>
      </c>
      <c r="I28" s="225">
        <v>0.21</v>
      </c>
      <c r="J28" s="227"/>
      <c r="K28" s="228">
        <f>ROUND(K25*I28,2)</f>
        <v>0</v>
      </c>
      <c r="M28" s="221" t="s">
        <v>64</v>
      </c>
      <c r="N28" s="50" t="s">
        <v>281</v>
      </c>
      <c r="O28" s="225">
        <v>0.21</v>
      </c>
      <c r="P28" s="227"/>
      <c r="Q28" s="228">
        <f>ROUND(Q25*O28,2)</f>
        <v>0</v>
      </c>
    </row>
    <row r="29" spans="1:23" ht="14.4" outlineLevel="1" thickTop="1" x14ac:dyDescent="0.3">
      <c r="A29" s="229" t="s">
        <v>282</v>
      </c>
      <c r="B29" s="230"/>
      <c r="C29" s="231"/>
      <c r="D29" s="232"/>
      <c r="E29" s="233">
        <f>SUM(E24:E28)</f>
        <v>0</v>
      </c>
      <c r="F29" s="246"/>
      <c r="G29" s="229" t="s">
        <v>282</v>
      </c>
      <c r="H29" s="230"/>
      <c r="I29" s="231"/>
      <c r="J29" s="232"/>
      <c r="K29" s="233">
        <f>SUM(K24:K28)</f>
        <v>0</v>
      </c>
      <c r="M29" s="229" t="s">
        <v>282</v>
      </c>
      <c r="N29" s="230"/>
      <c r="O29" s="231"/>
      <c r="P29" s="232"/>
      <c r="Q29" s="233">
        <f>SUM(Q24:Q28)</f>
        <v>0</v>
      </c>
    </row>
    <row r="30" spans="1:23" customFormat="1" ht="15" outlineLevel="1" thickBot="1" x14ac:dyDescent="0.35">
      <c r="A30" s="981"/>
      <c r="B30" s="981"/>
      <c r="C30" s="851"/>
      <c r="D30" s="18"/>
      <c r="E30" s="852"/>
      <c r="G30" s="981"/>
      <c r="H30" s="981"/>
      <c r="I30" s="851"/>
      <c r="J30" s="18"/>
      <c r="K30" s="852"/>
      <c r="M30" s="981"/>
      <c r="N30" s="981"/>
      <c r="O30" s="851"/>
      <c r="P30" s="18"/>
      <c r="Q30" s="852"/>
    </row>
    <row r="31" spans="1:23" ht="15" thickBot="1" x14ac:dyDescent="0.35">
      <c r="A31" s="5" t="s">
        <v>297</v>
      </c>
      <c r="B31" s="6"/>
      <c r="C31" s="7"/>
      <c r="E31" s="1">
        <f>E29+E16+E8</f>
        <v>0</v>
      </c>
      <c r="F31"/>
      <c r="G31" s="5" t="s">
        <v>282</v>
      </c>
      <c r="H31" s="6"/>
      <c r="I31" s="7"/>
      <c r="K31" s="1">
        <f>K29+K16+K8</f>
        <v>0</v>
      </c>
      <c r="L31"/>
      <c r="M31" s="5" t="s">
        <v>282</v>
      </c>
      <c r="N31" s="6"/>
      <c r="O31" s="7"/>
      <c r="Q31" s="1">
        <f>Q29+Q16+Q8</f>
        <v>0</v>
      </c>
    </row>
    <row r="32" spans="1:23" ht="15" thickBot="1" x14ac:dyDescent="0.35">
      <c r="A32" s="981"/>
      <c r="B32" s="981"/>
      <c r="C32" s="851"/>
      <c r="D32" s="852"/>
      <c r="E32" s="51"/>
      <c r="F32"/>
      <c r="G32"/>
      <c r="H32"/>
      <c r="I32"/>
      <c r="J32"/>
      <c r="K32"/>
      <c r="L32"/>
      <c r="M32"/>
      <c r="N32"/>
      <c r="O32"/>
      <c r="P32"/>
      <c r="Q32"/>
    </row>
    <row r="33" spans="1:17" ht="19.95" customHeight="1" thickBot="1" x14ac:dyDescent="0.35">
      <c r="A33" s="1224" t="s">
        <v>298</v>
      </c>
      <c r="B33" s="1225"/>
      <c r="C33" s="130">
        <f>E4+E12+E24</f>
        <v>0</v>
      </c>
      <c r="D33" s="128" t="s">
        <v>289</v>
      </c>
      <c r="E33" s="492">
        <f>C33*10/6</f>
        <v>0</v>
      </c>
      <c r="G33" s="1226" t="s">
        <v>298</v>
      </c>
      <c r="H33" s="1227"/>
      <c r="I33" s="130">
        <f>K4+K12+K24</f>
        <v>0</v>
      </c>
      <c r="J33" s="235" t="s">
        <v>289</v>
      </c>
      <c r="K33" s="494">
        <f>I33*10/6</f>
        <v>0</v>
      </c>
      <c r="M33" s="1226" t="s">
        <v>298</v>
      </c>
      <c r="N33" s="1227"/>
      <c r="O33" s="130">
        <f>Q4+Q12+Q24</f>
        <v>0</v>
      </c>
      <c r="P33" s="235" t="s">
        <v>289</v>
      </c>
      <c r="Q33" s="494">
        <f>O33*10/6</f>
        <v>0</v>
      </c>
    </row>
    <row r="34" spans="1:17" x14ac:dyDescent="0.3">
      <c r="D34" s="247"/>
    </row>
    <row r="35" spans="1:17" ht="14.4" x14ac:dyDescent="0.3">
      <c r="A35" s="244" t="s">
        <v>290</v>
      </c>
      <c r="B35" s="221"/>
      <c r="C35" s="221"/>
      <c r="D35" s="247"/>
      <c r="G35" s="244" t="s">
        <v>290</v>
      </c>
      <c r="H35" s="221"/>
      <c r="I35" s="221"/>
      <c r="J35"/>
      <c r="K35"/>
      <c r="L35"/>
      <c r="M35" s="244" t="s">
        <v>290</v>
      </c>
      <c r="N35" s="221"/>
      <c r="O35" s="221"/>
    </row>
    <row r="36" spans="1:17" ht="14.4" x14ac:dyDescent="0.3">
      <c r="A36" s="221" t="s">
        <v>123</v>
      </c>
      <c r="B36" s="245">
        <f>IF(ISNUMBER(MATCH($A$2,'Overzicht BTA'!$B$7:$B$10,0)),IF(MATCH(Bron!$B$14,'uitgebreide raming'!$B$2:$I$2,0)=1,'uitgebreide raming'!B6,IF(MATCH(Bron!$B$14,'uitgebreide raming'!$B$2:$I$2,0)=3,'uitgebreide raming'!D6,IF(MATCH(Bron!$B$14,'uitgebreide raming'!$B$2:$I$2,0)=5,'uitgebreide raming'!F6,IF(MATCH(Bron!$B$14,'uitgebreide raming'!$B$2:$I$2,0)=7,'uitgebreide raming'!H6,0)))),0)</f>
        <v>0</v>
      </c>
      <c r="C36" s="225" t="e">
        <f>ROUND(B36/$B$41,2)</f>
        <v>#DIV/0!</v>
      </c>
      <c r="D36" s="247"/>
      <c r="G36" s="221" t="s">
        <v>123</v>
      </c>
      <c r="H36" s="245">
        <f>IF(ISNUMBER(MATCH($G$2,'Overzicht BTA'!$H$7:$H$10,0)),IF(MATCH(Bron!$B$14,'uitgebreide raming'!$B$29:$I$29,0)=1,'uitgebreide raming'!B32,IF(MATCH(Bron!$B$14,'uitgebreide raming'!$B$29:$I$29,0)=3,'uitgebreide raming'!D32,IF(MATCH(Bron!$B$14,'uitgebreide raming'!$B$29:$I$29,0)=5,'uitgebreide raming'!F32,IF(MATCH(Bron!$B$14,'uitgebreide raming'!$B$29:$I$29,0)=7,'uitgebreide raming'!H32,0)))),0)</f>
        <v>0</v>
      </c>
      <c r="I36" s="225" t="e">
        <f>ROUND(H36/$H$41,2)</f>
        <v>#DIV/0!</v>
      </c>
      <c r="J36"/>
      <c r="K36"/>
      <c r="L36"/>
      <c r="M36" s="221" t="s">
        <v>123</v>
      </c>
      <c r="N36" s="245">
        <f>IF(ISNUMBER(MATCH($M$2,'Overzicht BTA'!$N$7:$N$10,0)),IF(MATCH(Bron!$B$14,'uitgebreide raming'!$B$56:$I$56,0)=1,'uitgebreide raming'!B59,IF(MATCH(Bron!$B$14,'uitgebreide raming'!$B$56:$I$56,0)=3,'uitgebreide raming'!D59,IF(MATCH(Bron!$B$14,'uitgebreide raming'!$B$56:$I$56,0)=5,'uitgebreide raming'!F59,IF(MATCH(Bron!$B$14,'uitgebreide raming'!$B$56:$I$56,0)=7,'uitgebreide raming'!H59,0)))),0)</f>
        <v>0</v>
      </c>
      <c r="O36" s="225" t="e">
        <f>ROUND(N36/$N$41,2)</f>
        <v>#DIV/0!</v>
      </c>
    </row>
    <row r="37" spans="1:17" ht="14.4" x14ac:dyDescent="0.3">
      <c r="A37" s="221" t="s">
        <v>124</v>
      </c>
      <c r="B37" s="245">
        <f>IF(ISNUMBER(MATCH($A$2,'Overzicht BTA'!$B$7:$B$10,0)),IF(MATCH(Bron!$B$14,'uitgebreide raming'!$B$2:$I$2,0)=1,'uitgebreide raming'!B7,IF(MATCH(Bron!$B$14,'uitgebreide raming'!$B$2:$I$2,0)=3,'uitgebreide raming'!D7,IF(MATCH(Bron!$B$14,'uitgebreide raming'!$B$2:$I$2,0)=5,'uitgebreide raming'!F7,IF(MATCH(Bron!$B$14,'uitgebreide raming'!$B$2:$I$2,0)=7,'uitgebreide raming'!H7,0)))),0)</f>
        <v>0</v>
      </c>
      <c r="C37" s="225" t="e">
        <f t="shared" ref="C37:C41" si="0">ROUND(B37/$B$41,2)</f>
        <v>#DIV/0!</v>
      </c>
      <c r="D37" s="247"/>
      <c r="G37" s="221" t="s">
        <v>124</v>
      </c>
      <c r="H37" s="245">
        <f>IF(ISNUMBER(MATCH($G$2,'Overzicht BTA'!$H$7:$H$10,0)),IF(MATCH(Bron!$B$14,'uitgebreide raming'!$B$29:$I$29,0)=1,'uitgebreide raming'!B33,IF(MATCH(Bron!$B$14,'uitgebreide raming'!$B$29:$I$29,0)=3,'uitgebreide raming'!D33,IF(MATCH(Bron!$B$14,'uitgebreide raming'!$B$29:$I$29,0)=5,'uitgebreide raming'!F33,IF(MATCH(Bron!$B$14,'uitgebreide raming'!$B$29:$I$29,0)=7,'uitgebreide raming'!H33,0)))),0)</f>
        <v>0</v>
      </c>
      <c r="I37" s="225" t="e">
        <f t="shared" ref="I37:I41" si="1">ROUND(H37/$H$41,2)</f>
        <v>#DIV/0!</v>
      </c>
      <c r="J37"/>
      <c r="K37"/>
      <c r="L37"/>
      <c r="M37" s="221" t="s">
        <v>124</v>
      </c>
      <c r="N37" s="245">
        <f>IF(ISNUMBER(MATCH($M$2,'Overzicht BTA'!$N$7:$N$10,0)),IF(MATCH(Bron!$B$14,'uitgebreide raming'!$B$56:$I$56,0)=1,'uitgebreide raming'!B60,IF(MATCH(Bron!$B$14,'uitgebreide raming'!$B$56:$I$56,0)=3,'uitgebreide raming'!D60,IF(MATCH(Bron!$B$14,'uitgebreide raming'!$B$56:$I$56,0)=5,'uitgebreide raming'!F60,IF(MATCH(Bron!$B$14,'uitgebreide raming'!$B$56:$I$56,0)=7,'uitgebreide raming'!H60,0)))),0)</f>
        <v>0</v>
      </c>
      <c r="O37" s="225" t="e">
        <f t="shared" ref="O37:O41" si="2">ROUND(N37/$N$41,2)</f>
        <v>#DIV/0!</v>
      </c>
    </row>
    <row r="38" spans="1:17" ht="14.4" x14ac:dyDescent="0.3">
      <c r="A38" s="221" t="s">
        <v>125</v>
      </c>
      <c r="B38" s="245">
        <f>IF(ISNUMBER(MATCH($A$2,'Overzicht BTA'!$B$7:$B$10,0)),IF(MATCH(Bron!$B$14,'uitgebreide raming'!$B$2:$I$2,0)=1,'uitgebreide raming'!B8,IF(MATCH(Bron!$B$14,'uitgebreide raming'!$B$2:$I$2,0)=3,'uitgebreide raming'!D8,IF(MATCH(Bron!$B$14,'uitgebreide raming'!$B$2:$I$2,0)=5,'uitgebreide raming'!F8,IF(MATCH(Bron!$B$14,'uitgebreide raming'!$B$2:$I$2,0)=7,'uitgebreide raming'!H8,0)))),0)</f>
        <v>0</v>
      </c>
      <c r="C38" s="225" t="e">
        <f t="shared" si="0"/>
        <v>#DIV/0!</v>
      </c>
      <c r="D38" s="247"/>
      <c r="G38" s="221" t="s">
        <v>125</v>
      </c>
      <c r="H38" s="245">
        <f>IF(ISNUMBER(MATCH($G$2,'Overzicht BTA'!$H$7:$H$10,0)),IF(MATCH(Bron!$B$14,'uitgebreide raming'!$B$29:$I$29,0)=1,'uitgebreide raming'!B34,IF(MATCH(Bron!$B$14,'uitgebreide raming'!$B$29:$I$29,0)=3,'uitgebreide raming'!D34,IF(MATCH(Bron!$B$14,'uitgebreide raming'!$B$29:$I$29,0)=5,'uitgebreide raming'!F34,IF(MATCH(Bron!$B$14,'uitgebreide raming'!$B$29:$I$29,0)=7,'uitgebreide raming'!H34,0)))),0)</f>
        <v>0</v>
      </c>
      <c r="I38" s="225" t="e">
        <f t="shared" si="1"/>
        <v>#DIV/0!</v>
      </c>
      <c r="J38"/>
      <c r="K38"/>
      <c r="L38"/>
      <c r="M38" s="221" t="s">
        <v>125</v>
      </c>
      <c r="N38" s="245">
        <f>IF(ISNUMBER(MATCH($M$2,'Overzicht BTA'!$N$7:$N$10,0)),IF(MATCH(Bron!$B$14,'uitgebreide raming'!$B$56:$I$56,0)=1,'uitgebreide raming'!B61,IF(MATCH(Bron!$B$14,'uitgebreide raming'!$B$56:$I$56,0)=3,'uitgebreide raming'!D61,IF(MATCH(Bron!$B$14,'uitgebreide raming'!$B$56:$I$56,0)=5,'uitgebreide raming'!F61,IF(MATCH(Bron!$B$14,'uitgebreide raming'!$B$56:$I$56,0)=7,'uitgebreide raming'!H61,0)))),0)</f>
        <v>0</v>
      </c>
      <c r="O38" s="225" t="e">
        <f t="shared" si="2"/>
        <v>#DIV/0!</v>
      </c>
    </row>
    <row r="39" spans="1:17" ht="14.4" x14ac:dyDescent="0.3">
      <c r="A39" s="221" t="s">
        <v>126</v>
      </c>
      <c r="B39" s="245">
        <f>IF(ISNUMBER(MATCH($A$2,'Overzicht BTA'!$B$7:$B$10,0)),IF(MATCH(Bron!$B$14,'uitgebreide raming'!$B$2:$I$2,0)=1,'uitgebreide raming'!B9,IF(MATCH(Bron!$B$14,'uitgebreide raming'!$B$2:$I$2,0)=3,'uitgebreide raming'!D9,IF(MATCH(Bron!$B$14,'uitgebreide raming'!$B$2:$I$2,0)=5,'uitgebreide raming'!F9,IF(MATCH(Bron!$B$14,'uitgebreide raming'!$B$2:$I$2,0)=7,'uitgebreide raming'!H9,0)))),0)</f>
        <v>0</v>
      </c>
      <c r="C39" s="225" t="e">
        <f t="shared" si="0"/>
        <v>#DIV/0!</v>
      </c>
      <c r="D39" s="247"/>
      <c r="G39" s="221" t="s">
        <v>126</v>
      </c>
      <c r="H39" s="245">
        <f>IF(ISNUMBER(MATCH($G$2,'Overzicht BTA'!$H$7:$H$10,0)),IF(MATCH(Bron!$B$14,'uitgebreide raming'!$B$29:$I$29,0)=1,'uitgebreide raming'!B35,IF(MATCH(Bron!$B$14,'uitgebreide raming'!$B$29:$I$29,0)=3,'uitgebreide raming'!D35,IF(MATCH(Bron!$B$14,'uitgebreide raming'!$B$29:$I$29,0)=5,'uitgebreide raming'!F35,IF(MATCH(Bron!$B$14,'uitgebreide raming'!$B$29:$I$29,0)=7,'uitgebreide raming'!H35,0)))),0)</f>
        <v>0</v>
      </c>
      <c r="I39" s="225" t="e">
        <f t="shared" si="1"/>
        <v>#DIV/0!</v>
      </c>
      <c r="J39"/>
      <c r="K39"/>
      <c r="L39"/>
      <c r="M39" s="221" t="s">
        <v>126</v>
      </c>
      <c r="N39" s="245">
        <f>IF(ISNUMBER(MATCH($M$2,'Overzicht BTA'!$N$7:$N$10,0)),IF(MATCH(Bron!$B$14,'uitgebreide raming'!$B$56:$I$56,0)=1,'uitgebreide raming'!B62,IF(MATCH(Bron!$B$14,'uitgebreide raming'!$B$56:$I$56,0)=3,'uitgebreide raming'!D62,IF(MATCH(Bron!$B$14,'uitgebreide raming'!$B$56:$I$56,0)=5,'uitgebreide raming'!F62,IF(MATCH(Bron!$B$14,'uitgebreide raming'!$B$56:$I$56,0)=7,'uitgebreide raming'!H62,0)))),0)</f>
        <v>0</v>
      </c>
      <c r="O39" s="225" t="e">
        <f t="shared" si="2"/>
        <v>#DIV/0!</v>
      </c>
    </row>
    <row r="40" spans="1:17" ht="14.4" x14ac:dyDescent="0.3">
      <c r="A40" s="221" t="s">
        <v>127</v>
      </c>
      <c r="B40" s="245">
        <f>IF(ISNUMBER(MATCH($A$2,'Overzicht BTA'!$B$7:$B$10,0)),IF(MATCH(Bron!$B$14,'uitgebreide raming'!$B$2:$I$2,0)=1,'uitgebreide raming'!B10,IF(MATCH(Bron!$B$14,'uitgebreide raming'!$B$2:$I$2,0)=3,'uitgebreide raming'!D10,IF(MATCH(Bron!$B$14,'uitgebreide raming'!$B$2:$I$2,0)=5,'uitgebreide raming'!F10,IF(MATCH(Bron!$B$14,'uitgebreide raming'!$B$2:$I$2,0)=7,'uitgebreide raming'!H10,0)))),0)</f>
        <v>0</v>
      </c>
      <c r="C40" s="225" t="e">
        <f t="shared" si="0"/>
        <v>#DIV/0!</v>
      </c>
      <c r="G40" s="221" t="s">
        <v>127</v>
      </c>
      <c r="H40" s="245">
        <f>IF(ISNUMBER(MATCH($G$2,'Overzicht BTA'!$H$7:$H$10,0)),IF(MATCH(Bron!$B$14,'uitgebreide raming'!$B$29:$I$29,0)=1,'uitgebreide raming'!B36,IF(MATCH(Bron!$B$14,'uitgebreide raming'!$B$29:$I$29,0)=3,'uitgebreide raming'!D36,IF(MATCH(Bron!$B$14,'uitgebreide raming'!$B$29:$I$29,0)=5,'uitgebreide raming'!F36,IF(MATCH(Bron!$B$14,'uitgebreide raming'!$B$29:$I$29,0)=7,'uitgebreide raming'!H36,0)))),0)</f>
        <v>0</v>
      </c>
      <c r="I40" s="225" t="e">
        <f t="shared" si="1"/>
        <v>#DIV/0!</v>
      </c>
      <c r="J40"/>
      <c r="K40"/>
      <c r="L40"/>
      <c r="M40" s="221" t="s">
        <v>127</v>
      </c>
      <c r="N40" s="245">
        <f>IF(ISNUMBER(MATCH($M$2,'Overzicht BTA'!$N$7:$N$10,0)),IF(MATCH(Bron!$B$14,'uitgebreide raming'!$B$56:$I$56,0)=1,'uitgebreide raming'!B63,IF(MATCH(Bron!$B$14,'uitgebreide raming'!$B$56:$I$56,0)=3,'uitgebreide raming'!D63,IF(MATCH(Bron!$B$14,'uitgebreide raming'!$B$56:$I$56,0)=5,'uitgebreide raming'!F63,IF(MATCH(Bron!$B$14,'uitgebreide raming'!$B$56:$I$56,0)=7,'uitgebreide raming'!H63,0)))),0)</f>
        <v>0</v>
      </c>
      <c r="O40" s="225" t="e">
        <f t="shared" si="2"/>
        <v>#DIV/0!</v>
      </c>
    </row>
    <row r="41" spans="1:17" ht="14.4" x14ac:dyDescent="0.3">
      <c r="A41" s="221" t="s">
        <v>110</v>
      </c>
      <c r="B41" s="245">
        <f>IF(ISNUMBER(MATCH($A$2,'Overzicht BTA'!$B$7:$B$10,0)),IF(MATCH(Bron!$B$14,'uitgebreide raming'!$B$2:$I$2,0)=1,'uitgebreide raming'!B11,IF(MATCH(Bron!$B$14,'uitgebreide raming'!$B$2:$I$2,0)=3,'uitgebreide raming'!D11,IF(MATCH(Bron!$B$14,'uitgebreide raming'!$B$2:$I$2,0)=5,'uitgebreide raming'!F11,IF(MATCH(Bron!$B$14,'uitgebreide raming'!$B$2:$I$2,0)=7,'uitgebreide raming'!H11,0)))),0)</f>
        <v>0</v>
      </c>
      <c r="C41" s="225" t="e">
        <f t="shared" si="0"/>
        <v>#DIV/0!</v>
      </c>
      <c r="G41" s="221" t="s">
        <v>110</v>
      </c>
      <c r="H41" s="245">
        <f>IF(ISNUMBER(MATCH($G$2,'Overzicht BTA'!$H$7:$H$10,0)),IF(MATCH(Bron!$B$14,'uitgebreide raming'!$B$29:$I$29,0)=1,'uitgebreide raming'!B37,IF(MATCH(Bron!$B$14,'uitgebreide raming'!$B$29:$I$29,0)=3,'uitgebreide raming'!D37,IF(MATCH(Bron!$B$14,'uitgebreide raming'!$B$29:$I$29,0)=5,'uitgebreide raming'!F37,IF(MATCH(Bron!$B$14,'uitgebreide raming'!$B$29:$I$29,0)=7,'uitgebreide raming'!H37,0)))),0)</f>
        <v>0</v>
      </c>
      <c r="I41" s="225" t="e">
        <f t="shared" si="1"/>
        <v>#DIV/0!</v>
      </c>
      <c r="J41"/>
      <c r="K41"/>
      <c r="L41"/>
      <c r="M41" s="221" t="s">
        <v>110</v>
      </c>
      <c r="N41" s="245">
        <f>IF(ISNUMBER(MATCH($M$2,'Overzicht BTA'!$N$7:$N$10,0)),IF(MATCH(Bron!$B$14,'uitgebreide raming'!$B$56:$I$56,0)=1,'uitgebreide raming'!B64,IF(MATCH(Bron!$B$14,'uitgebreide raming'!$B$56:$I$56,0)=3,'uitgebreide raming'!D64,IF(MATCH(Bron!$B$14,'uitgebreide raming'!$B$56:$I$56,0)=5,'uitgebreide raming'!F64,IF(MATCH(Bron!$B$14,'uitgebreide raming'!$B$56:$I$56,0)=7,'uitgebreide raming'!H64,0)))),0)</f>
        <v>0</v>
      </c>
      <c r="O41" s="225" t="e">
        <f t="shared" si="2"/>
        <v>#DIV/0!</v>
      </c>
    </row>
    <row r="43" spans="1:17" ht="18" x14ac:dyDescent="0.3">
      <c r="A43" s="1223" t="s">
        <v>91</v>
      </c>
      <c r="B43" s="1223"/>
      <c r="C43" s="1223"/>
      <c r="D43" s="1223"/>
      <c r="E43" s="1223"/>
      <c r="F43" s="1223"/>
      <c r="G43" s="1223"/>
      <c r="H43" s="1223"/>
      <c r="I43" s="1223"/>
      <c r="J43" s="1223"/>
      <c r="K43" s="1223"/>
      <c r="L43" s="1223"/>
      <c r="M43" s="1223"/>
      <c r="N43" s="1223"/>
      <c r="O43" s="1223"/>
      <c r="P43" s="1223"/>
      <c r="Q43" s="1223"/>
    </row>
    <row r="44" spans="1:17" outlineLevel="1" x14ac:dyDescent="0.3">
      <c r="A44" s="54" t="s">
        <v>292</v>
      </c>
      <c r="B44" s="54" t="str">
        <f>B1</f>
        <v>Kies de zorgvorm</v>
      </c>
      <c r="C44" s="54"/>
      <c r="D44" s="54"/>
      <c r="E44" s="54"/>
      <c r="F44" s="54"/>
      <c r="G44" s="54" t="s">
        <v>292</v>
      </c>
      <c r="H44" s="1231" t="str">
        <f>H1</f>
        <v>Kies de zorgvorm</v>
      </c>
      <c r="I44" s="1231"/>
      <c r="J44" s="1231"/>
      <c r="K44" s="54"/>
      <c r="L44" s="54"/>
      <c r="M44" s="54" t="s">
        <v>292</v>
      </c>
      <c r="N44" s="54" t="str">
        <f>N1</f>
        <v>Kies de zorgvorm</v>
      </c>
      <c r="O44" s="54"/>
      <c r="P44" s="54"/>
      <c r="Q44" s="54"/>
    </row>
    <row r="45" spans="1:17" outlineLevel="1" x14ac:dyDescent="0.3">
      <c r="A45" s="222" t="s">
        <v>76</v>
      </c>
      <c r="B45" s="222"/>
      <c r="C45" s="222"/>
      <c r="D45" s="222"/>
      <c r="E45" s="223"/>
      <c r="F45" s="243"/>
      <c r="G45" s="222" t="s">
        <v>76</v>
      </c>
      <c r="H45" s="222"/>
      <c r="I45" s="222"/>
      <c r="J45" s="222"/>
      <c r="K45" s="223"/>
      <c r="M45" s="222" t="s">
        <v>76</v>
      </c>
      <c r="N45" s="222"/>
      <c r="O45" s="222"/>
      <c r="P45" s="222"/>
      <c r="Q45" s="223"/>
    </row>
    <row r="46" spans="1:17" ht="14.4" outlineLevel="1" thickBot="1" x14ac:dyDescent="0.35">
      <c r="A46" s="211" t="s">
        <v>274</v>
      </c>
      <c r="B46" s="221" t="s">
        <v>275</v>
      </c>
      <c r="C46" s="221" t="s">
        <v>276</v>
      </c>
      <c r="D46" s="221"/>
      <c r="E46" s="221" t="s">
        <v>277</v>
      </c>
      <c r="F46" s="243"/>
      <c r="G46" s="211" t="s">
        <v>274</v>
      </c>
      <c r="H46" s="221" t="s">
        <v>275</v>
      </c>
      <c r="I46" s="221" t="s">
        <v>276</v>
      </c>
      <c r="J46" s="221"/>
      <c r="K46" s="221" t="s">
        <v>277</v>
      </c>
      <c r="M46" s="211" t="s">
        <v>274</v>
      </c>
      <c r="N46" s="221" t="s">
        <v>275</v>
      </c>
      <c r="O46" s="221" t="s">
        <v>276</v>
      </c>
      <c r="P46" s="221"/>
      <c r="Q46" s="221" t="s">
        <v>277</v>
      </c>
    </row>
    <row r="47" spans="1:17" ht="14.4" outlineLevel="1" thickBot="1" x14ac:dyDescent="0.35">
      <c r="A47" s="466">
        <f>IF(ISNUMBER(MATCH(A45,'Overzicht BTA'!B51:B54,0)),'Overzicht BTA'!D63,0)</f>
        <v>0</v>
      </c>
      <c r="B47" s="906">
        <f>B4</f>
        <v>0</v>
      </c>
      <c r="C47" s="208">
        <f>'Overzicht BTA'!$D$37</f>
        <v>2.3958200000000001</v>
      </c>
      <c r="D47" s="221"/>
      <c r="E47" s="224">
        <f>ROUND(A47*B47*C47,2)</f>
        <v>0</v>
      </c>
      <c r="F47" s="246"/>
      <c r="G47" s="466">
        <f>IF(ISNUMBER(MATCH(G45,'Overzicht BTA'!H51:H54,0)),'Overzicht BTA'!J63,0)</f>
        <v>0</v>
      </c>
      <c r="H47" s="905">
        <f>VLOOKUP(H44,'Capaciteiten &amp; forfaits'!$B$3:$H$76,4,FALSE)*0.65</f>
        <v>0</v>
      </c>
      <c r="I47" s="208">
        <f>'Overzicht BTA'!$D$37</f>
        <v>2.3958200000000001</v>
      </c>
      <c r="J47" s="221"/>
      <c r="K47" s="224">
        <f>ROUND(G47*H47*I47,2)</f>
        <v>0</v>
      </c>
      <c r="M47" s="466">
        <f>IF(ISNUMBER(MATCH(M45,'Overzicht BTA'!N51:N54,0)),'Overzicht BTA'!P63,0)</f>
        <v>0</v>
      </c>
      <c r="N47" s="905">
        <f>VLOOKUP(N44,'Capaciteiten &amp; forfaits'!$B$3:$H$76,4,FALSE)*0.65</f>
        <v>0</v>
      </c>
      <c r="O47" s="208">
        <f>'Overzicht BTA'!$D$37</f>
        <v>2.3958200000000001</v>
      </c>
      <c r="P47" s="221"/>
      <c r="Q47" s="224">
        <f>ROUND(M47*N47*O47,2)</f>
        <v>0</v>
      </c>
    </row>
    <row r="48" spans="1:17" ht="14.4" outlineLevel="1" thickBot="1" x14ac:dyDescent="0.35">
      <c r="A48" s="213" t="s">
        <v>279</v>
      </c>
      <c r="B48" s="221"/>
      <c r="C48" s="225">
        <v>0.1</v>
      </c>
      <c r="D48" s="225"/>
      <c r="E48" s="224">
        <f>ROUND(E47*C48,2)</f>
        <v>0</v>
      </c>
      <c r="F48" s="246"/>
      <c r="G48" s="213" t="s">
        <v>279</v>
      </c>
      <c r="H48" s="221"/>
      <c r="I48" s="225">
        <v>0.1</v>
      </c>
      <c r="J48" s="225"/>
      <c r="K48" s="224">
        <f>ROUND(K47*I48,2)</f>
        <v>0</v>
      </c>
      <c r="M48" s="213" t="s">
        <v>279</v>
      </c>
      <c r="N48" s="221"/>
      <c r="O48" s="225">
        <v>0.1</v>
      </c>
      <c r="P48" s="225"/>
      <c r="Q48" s="224">
        <f>ROUND(Q47*O48,2)</f>
        <v>0</v>
      </c>
    </row>
    <row r="49" spans="1:17" outlineLevel="1" x14ac:dyDescent="0.3">
      <c r="A49" s="221" t="s">
        <v>64</v>
      </c>
      <c r="B49" s="221" t="s">
        <v>293</v>
      </c>
      <c r="C49" s="226">
        <f>'Overzicht BTA'!C63</f>
        <v>0</v>
      </c>
      <c r="D49" s="226">
        <f>IF(ISNUMBER(MATCH($A$2,'Overzicht BTA'!$B$7:$B$10,0)),IF(MATCH(Bron!$B$14,'uitgebreide raming_gewijzigd'!$B$2:$I$2,0)=1,'uitgebreide raming_gewijzigd'!C9,IF(MATCH(Bron!$B$14,'uitgebreide raming_gewijzigd'!$B$2:$I$2,0)=3,'uitgebreide raming_gewijzigd'!E9,IF(MATCH(Bron!$B$14,'uitgebreide raming_gewijzigd'!$B$2:$I$2,0)=5,'uitgebreide raming_gewijzigd'!G9,IF(MATCH(Bron!$B$14,'uitgebreide raming_gewijzigd'!$B$2:$I$2,0)=7,'uitgebreide raming_gewijzigd'!I9,0)))),0)</f>
        <v>0</v>
      </c>
      <c r="E49" s="224">
        <f>ROUND(E47*C49*D49,2)</f>
        <v>0</v>
      </c>
      <c r="F49" s="246"/>
      <c r="G49" s="221" t="s">
        <v>64</v>
      </c>
      <c r="H49" s="221" t="s">
        <v>293</v>
      </c>
      <c r="I49" s="226">
        <f>'Overzicht BTA'!I63</f>
        <v>0</v>
      </c>
      <c r="J49" s="225">
        <f>IF(ISNUMBER(MATCH($G$2,'Overzicht BTA'!$H$7:$H$10,0)),IF(MATCH(Bron!$B$9,'uitgebreide raming_gewijzigd'!$B$2:$I$2,0)=1,'uitgebreide raming_gewijzigd'!C36,IF(MATCH(Bron!$B$9,'uitgebreide raming_gewijzigd'!$B$2:$I$2,0)=3,'uitgebreide raming_gewijzigd'!C36,IF(MATCH(Bron!$B$9,'uitgebreide raming_gewijzigd'!$B$2:$I$2,0)=5,'uitgebreide raming_gewijzigd'!C36,IF(MATCH(Bron!$B$9,'uitgebreide raming_gewijzigd'!$B$2:$I$2,0)=7,'uitgebreide raming_gewijzigd'!C36,0)))),0)</f>
        <v>0</v>
      </c>
      <c r="K49" s="224">
        <f>ROUND(K47*I49*J49,2)</f>
        <v>0</v>
      </c>
      <c r="M49" s="221" t="s">
        <v>64</v>
      </c>
      <c r="N49" s="221" t="s">
        <v>293</v>
      </c>
      <c r="O49" s="226">
        <f>'Overzicht BTA'!O63</f>
        <v>0</v>
      </c>
      <c r="P49" s="225">
        <f>IF(ISNUMBER(MATCH($M$2,'Overzicht BTA'!$N$7:$N$10,0)),IF(MATCH(Bron!$B$9,'uitgebreide raming_gewijzigd'!$B$2:$I$2,0)=1,'uitgebreide raming_gewijzigd'!C63,IF(MATCH(Bron!$B$9,'uitgebreide raming_gewijzigd'!$B$2:$I$2,0)=3,'uitgebreide raming_gewijzigd'!C63,IF(MATCH(Bron!$B$9,'uitgebreide raming_gewijzigd'!$B$2:$I$2,0)=5,'uitgebreide raming_gewijzigd'!C63,IF(MATCH(Bron!$B$9,'uitgebreide raming_gewijzigd'!$B$2:$I$2,0)=7,'uitgebreide raming_gewijzigd'!C63,0)))),0)</f>
        <v>0</v>
      </c>
      <c r="Q49" s="224">
        <f>ROUND(Q47*O49*P49,2)</f>
        <v>0</v>
      </c>
    </row>
    <row r="50" spans="1:17" outlineLevel="1" x14ac:dyDescent="0.3">
      <c r="A50" s="221" t="s">
        <v>294</v>
      </c>
      <c r="B50" s="221" t="s">
        <v>295</v>
      </c>
      <c r="C50" s="226">
        <v>0.21</v>
      </c>
      <c r="D50" s="226">
        <f>IF(ISNUMBER(MATCH($A$2,'Overzicht BTA'!$B$7:$B$10,0)),IF(MATCH(Bron!$B$14,'uitgebreide raming_gewijzigd'!$B$2:$I$2,0)=1,'uitgebreide raming_gewijzigd'!C10,IF(MATCH(Bron!$B$14,'uitgebreide raming_gewijzigd'!$B$2:$I$2,0)=3,'uitgebreide raming_gewijzigd'!E10,IF(MATCH(Bron!$B$14,'uitgebreide raming_gewijzigd'!$B$2:$I$2,0)=5,'uitgebreide raming_gewijzigd'!G10,IF(MATCH(Bron!$B$14,'uitgebreide raming_gewijzigd'!$B$2:$I$2,0)=7,'uitgebreide raming_gewijzigd'!I10,0)))),0)</f>
        <v>0</v>
      </c>
      <c r="E50" s="224">
        <f>ROUND(E47*C50*D50,2)</f>
        <v>0</v>
      </c>
      <c r="F50" s="246"/>
      <c r="G50" s="221" t="s">
        <v>294</v>
      </c>
      <c r="H50" s="221" t="s">
        <v>295</v>
      </c>
      <c r="I50" s="226">
        <v>0.21</v>
      </c>
      <c r="J50" s="225">
        <f>IF(ISNUMBER(MATCH($G$2,'Overzicht BTA'!$H$7:$H$10,0)),IF(MATCH(Bron!$B$9,'uitgebreide raming_gewijzigd'!$B$2:$I$2,0)=1,'uitgebreide raming_gewijzigd'!C37,IF(MATCH(Bron!$B$9,'uitgebreide raming_gewijzigd'!$B$2:$I$2,0)=3,'uitgebreide raming_gewijzigd'!C37,IF(MATCH(Bron!$B$9,'uitgebreide raming_gewijzigd'!$B$2:$I$2,0)=5,'uitgebreide raming_gewijzigd'!C37,IF(MATCH(Bron!$B$9,'uitgebreide raming_gewijzigd'!$B$2:$I$2,0)=7,'uitgebreide raming_gewijzigd'!C37,0)))),0)</f>
        <v>0</v>
      </c>
      <c r="K50" s="224">
        <f>ROUND(K47*I50*J50,2)</f>
        <v>0</v>
      </c>
      <c r="M50" s="221" t="s">
        <v>294</v>
      </c>
      <c r="N50" s="221" t="s">
        <v>295</v>
      </c>
      <c r="O50" s="226">
        <v>0.21</v>
      </c>
      <c r="P50" s="225">
        <f>IF(ISNUMBER(MATCH($M$2,'Overzicht BTA'!$N$7:$N$10,0)),IF(MATCH(Bron!$B$9,'uitgebreide raming_gewijzigd'!$B$2:$I$2,0)=1,'uitgebreide raming_gewijzigd'!C64,IF(MATCH(Bron!$B$9,'uitgebreide raming_gewijzigd'!$B$2:$I$2,0)=3,'uitgebreide raming_gewijzigd'!C64,IF(MATCH(Bron!$B$9,'uitgebreide raming_gewijzigd'!$B$2:$I$2,0)=5,'uitgebreide raming_gewijzigd'!C64,IF(MATCH(Bron!$B$9,'uitgebreide raming_gewijzigd'!$B$2:$I$2,0)=7,'uitgebreide raming_gewijzigd'!C64,0)))),0)</f>
        <v>0</v>
      </c>
      <c r="Q50" s="224">
        <f>ROUND(Q47*O50*P50,2)</f>
        <v>0</v>
      </c>
    </row>
    <row r="51" spans="1:17" ht="14.4" outlineLevel="1" thickBot="1" x14ac:dyDescent="0.35">
      <c r="A51" s="221" t="s">
        <v>64</v>
      </c>
      <c r="B51" s="50" t="s">
        <v>281</v>
      </c>
      <c r="C51" s="225">
        <v>0.21</v>
      </c>
      <c r="D51" s="227"/>
      <c r="E51" s="228">
        <f>ROUND(E48*C51,2)</f>
        <v>0</v>
      </c>
      <c r="F51" s="246"/>
      <c r="G51" s="221" t="s">
        <v>64</v>
      </c>
      <c r="H51" s="50" t="s">
        <v>281</v>
      </c>
      <c r="I51" s="225">
        <v>0.21</v>
      </c>
      <c r="J51" s="227"/>
      <c r="K51" s="228">
        <f>ROUND(K48*I51,2)</f>
        <v>0</v>
      </c>
      <c r="M51" s="221" t="s">
        <v>64</v>
      </c>
      <c r="N51" s="50" t="s">
        <v>281</v>
      </c>
      <c r="O51" s="225">
        <v>0.21</v>
      </c>
      <c r="P51" s="227"/>
      <c r="Q51" s="228">
        <f>ROUND(Q48*O51,2)</f>
        <v>0</v>
      </c>
    </row>
    <row r="52" spans="1:17" ht="14.4" outlineLevel="1" thickTop="1" x14ac:dyDescent="0.3">
      <c r="A52" s="229" t="s">
        <v>282</v>
      </c>
      <c r="B52" s="230"/>
      <c r="C52" s="231"/>
      <c r="D52" s="232"/>
      <c r="E52" s="233">
        <f>SUM(E47:E51)</f>
        <v>0</v>
      </c>
      <c r="F52" s="246"/>
      <c r="G52" s="229" t="s">
        <v>282</v>
      </c>
      <c r="H52" s="230"/>
      <c r="I52" s="231"/>
      <c r="J52" s="232"/>
      <c r="K52" s="233">
        <f>SUM(K47:K51)</f>
        <v>0</v>
      </c>
      <c r="M52" s="229" t="s">
        <v>282</v>
      </c>
      <c r="N52" s="230"/>
      <c r="O52" s="231"/>
      <c r="P52" s="232"/>
      <c r="Q52" s="233">
        <f>SUM(Q47:Q51)</f>
        <v>0</v>
      </c>
    </row>
    <row r="53" spans="1:17" outlineLevel="1" x14ac:dyDescent="0.3">
      <c r="A53" s="222" t="s">
        <v>76</v>
      </c>
      <c r="B53" s="138"/>
      <c r="C53" s="138"/>
      <c r="D53" s="138"/>
      <c r="E53" s="138"/>
      <c r="F53" s="246"/>
      <c r="G53" s="222" t="s">
        <v>76</v>
      </c>
      <c r="H53" s="138"/>
      <c r="I53" s="138"/>
      <c r="J53" s="138"/>
      <c r="K53" s="138"/>
      <c r="M53" s="222" t="s">
        <v>76</v>
      </c>
      <c r="N53" s="138"/>
      <c r="O53" s="138"/>
      <c r="P53" s="138"/>
      <c r="Q53" s="138"/>
    </row>
    <row r="54" spans="1:17" ht="14.4" outlineLevel="1" thickBot="1" x14ac:dyDescent="0.35">
      <c r="A54" s="211" t="s">
        <v>274</v>
      </c>
      <c r="B54" s="221" t="s">
        <v>275</v>
      </c>
      <c r="C54" s="221" t="s">
        <v>276</v>
      </c>
      <c r="D54" s="221"/>
      <c r="E54" s="221" t="s">
        <v>277</v>
      </c>
      <c r="F54" s="246"/>
      <c r="G54" s="211" t="s">
        <v>274</v>
      </c>
      <c r="H54" s="221" t="s">
        <v>275</v>
      </c>
      <c r="I54" s="221" t="s">
        <v>276</v>
      </c>
      <c r="J54" s="221"/>
      <c r="K54" s="221" t="s">
        <v>277</v>
      </c>
      <c r="M54" s="211" t="s">
        <v>274</v>
      </c>
      <c r="N54" s="221" t="s">
        <v>275</v>
      </c>
      <c r="O54" s="221" t="s">
        <v>276</v>
      </c>
      <c r="P54" s="221"/>
      <c r="Q54" s="221" t="s">
        <v>277</v>
      </c>
    </row>
    <row r="55" spans="1:17" ht="14.4" outlineLevel="1" thickBot="1" x14ac:dyDescent="0.35">
      <c r="A55" s="466">
        <f>IF(ISNUMBER(MATCH(A53,'Overzicht BTA'!B51:B54,0)),'Overzicht BTA'!F63,0)</f>
        <v>0</v>
      </c>
      <c r="B55" s="221">
        <f>B12</f>
        <v>0</v>
      </c>
      <c r="C55" s="208">
        <f>'Overzicht BTA'!$D$37</f>
        <v>2.3958200000000001</v>
      </c>
      <c r="D55" s="221"/>
      <c r="E55" s="224">
        <f>ROUND(A55*B55*C55,2)</f>
        <v>0</v>
      </c>
      <c r="F55" s="246"/>
      <c r="G55" s="466">
        <f>IF(ISNUMBER(MATCH(G53,'Overzicht BTA'!H51:H54,0)),'Overzicht BTA'!L63,0)</f>
        <v>0</v>
      </c>
      <c r="H55" s="221">
        <f>H12</f>
        <v>0</v>
      </c>
      <c r="I55" s="208">
        <f>'Overzicht BTA'!$D$37</f>
        <v>2.3958200000000001</v>
      </c>
      <c r="J55" s="221"/>
      <c r="K55" s="224">
        <f>ROUND(G55*H55*I55,2)</f>
        <v>0</v>
      </c>
      <c r="M55" s="466">
        <f>IF(ISNUMBER(MATCH(M53,'Overzicht BTA'!N51:N54,0)),'Overzicht BTA'!R63,0)</f>
        <v>0</v>
      </c>
      <c r="N55" s="221">
        <f>N12</f>
        <v>0</v>
      </c>
      <c r="O55" s="208">
        <f>'Overzicht BTA'!$D$37</f>
        <v>2.3958200000000001</v>
      </c>
      <c r="P55" s="221"/>
      <c r="Q55" s="224">
        <f>ROUND(M55*N55*O55,2)</f>
        <v>0</v>
      </c>
    </row>
    <row r="56" spans="1:17" ht="14.4" outlineLevel="1" thickBot="1" x14ac:dyDescent="0.35">
      <c r="A56" s="213" t="s">
        <v>279</v>
      </c>
      <c r="B56" s="221"/>
      <c r="C56" s="225">
        <v>0.1</v>
      </c>
      <c r="D56" s="225"/>
      <c r="E56" s="224">
        <f>ROUND(E55*C56,2)</f>
        <v>0</v>
      </c>
      <c r="F56" s="246"/>
      <c r="G56" s="213" t="s">
        <v>279</v>
      </c>
      <c r="H56" s="221"/>
      <c r="I56" s="225">
        <v>0.1</v>
      </c>
      <c r="J56" s="225"/>
      <c r="K56" s="224">
        <f>ROUND(K55*I56,2)</f>
        <v>0</v>
      </c>
      <c r="M56" s="213" t="s">
        <v>279</v>
      </c>
      <c r="N56" s="221"/>
      <c r="O56" s="225">
        <v>0.1</v>
      </c>
      <c r="P56" s="225"/>
      <c r="Q56" s="224">
        <f>ROUND(Q55*O56,2)</f>
        <v>0</v>
      </c>
    </row>
    <row r="57" spans="1:17" outlineLevel="1" x14ac:dyDescent="0.3">
      <c r="A57" s="221" t="s">
        <v>64</v>
      </c>
      <c r="B57" s="221" t="s">
        <v>293</v>
      </c>
      <c r="C57" s="226">
        <f>'Overzicht BTA'!E63</f>
        <v>0</v>
      </c>
      <c r="D57" s="225">
        <f>D49</f>
        <v>0</v>
      </c>
      <c r="E57" s="224">
        <f>ROUND(E55*C57*D57,2)</f>
        <v>0</v>
      </c>
      <c r="F57" s="246"/>
      <c r="G57" s="221" t="s">
        <v>64</v>
      </c>
      <c r="H57" s="221" t="s">
        <v>293</v>
      </c>
      <c r="I57" s="226">
        <f>'Overzicht BTA'!K63</f>
        <v>0</v>
      </c>
      <c r="J57" s="225">
        <f>J49</f>
        <v>0</v>
      </c>
      <c r="K57" s="224">
        <f>ROUND(K55*I57*J57,2)</f>
        <v>0</v>
      </c>
      <c r="M57" s="221" t="s">
        <v>64</v>
      </c>
      <c r="N57" s="221" t="s">
        <v>293</v>
      </c>
      <c r="O57" s="226">
        <f>'Overzicht BTA'!Q63</f>
        <v>0</v>
      </c>
      <c r="P57" s="225">
        <f>P49</f>
        <v>0</v>
      </c>
      <c r="Q57" s="224">
        <f>ROUND(Q55*O57*P57,2)</f>
        <v>0</v>
      </c>
    </row>
    <row r="58" spans="1:17" outlineLevel="1" x14ac:dyDescent="0.3">
      <c r="A58" s="221" t="s">
        <v>294</v>
      </c>
      <c r="B58" s="221" t="s">
        <v>295</v>
      </c>
      <c r="C58" s="226">
        <v>0.21</v>
      </c>
      <c r="D58" s="225">
        <f>D50</f>
        <v>0</v>
      </c>
      <c r="E58" s="224">
        <f>ROUND(E55*C58*D58,2)</f>
        <v>0</v>
      </c>
      <c r="F58" s="246"/>
      <c r="G58" s="221" t="s">
        <v>294</v>
      </c>
      <c r="H58" s="221" t="s">
        <v>295</v>
      </c>
      <c r="I58" s="226">
        <v>0.21</v>
      </c>
      <c r="J58" s="225">
        <f>J50</f>
        <v>0</v>
      </c>
      <c r="K58" s="224">
        <f>ROUND(K55*I58*J58,2)</f>
        <v>0</v>
      </c>
      <c r="M58" s="221" t="s">
        <v>294</v>
      </c>
      <c r="N58" s="221" t="s">
        <v>295</v>
      </c>
      <c r="O58" s="226">
        <v>0.21</v>
      </c>
      <c r="P58" s="225">
        <f>P50</f>
        <v>0</v>
      </c>
      <c r="Q58" s="224">
        <f>ROUND(Q55*O58*P58,2)</f>
        <v>0</v>
      </c>
    </row>
    <row r="59" spans="1:17" ht="14.4" outlineLevel="1" thickBot="1" x14ac:dyDescent="0.35">
      <c r="A59" s="221" t="s">
        <v>64</v>
      </c>
      <c r="B59" s="50" t="s">
        <v>281</v>
      </c>
      <c r="C59" s="225">
        <v>0.21</v>
      </c>
      <c r="D59" s="227"/>
      <c r="E59" s="228">
        <f>ROUND(E56*C59,2)</f>
        <v>0</v>
      </c>
      <c r="F59" s="246"/>
      <c r="G59" s="221" t="s">
        <v>64</v>
      </c>
      <c r="H59" s="50" t="s">
        <v>281</v>
      </c>
      <c r="I59" s="225">
        <v>0.21</v>
      </c>
      <c r="J59" s="227"/>
      <c r="K59" s="228">
        <f>ROUND(K56*I59,2)</f>
        <v>0</v>
      </c>
      <c r="M59" s="221" t="s">
        <v>64</v>
      </c>
      <c r="N59" s="50" t="s">
        <v>281</v>
      </c>
      <c r="O59" s="225">
        <v>0.21</v>
      </c>
      <c r="P59" s="227"/>
      <c r="Q59" s="228">
        <f>ROUND(Q56*O59,2)</f>
        <v>0</v>
      </c>
    </row>
    <row r="60" spans="1:17" ht="14.4" outlineLevel="1" thickTop="1" x14ac:dyDescent="0.3">
      <c r="A60" s="229" t="s">
        <v>282</v>
      </c>
      <c r="B60" s="230"/>
      <c r="C60" s="231"/>
      <c r="D60" s="232"/>
      <c r="E60" s="233">
        <f>SUM(E55:E59)</f>
        <v>0</v>
      </c>
      <c r="F60" s="246"/>
      <c r="G60" s="229" t="s">
        <v>282</v>
      </c>
      <c r="H60" s="230"/>
      <c r="I60" s="231"/>
      <c r="J60" s="232"/>
      <c r="K60" s="233">
        <f>SUM(K55:K59)</f>
        <v>0</v>
      </c>
      <c r="M60" s="229" t="s">
        <v>282</v>
      </c>
      <c r="N60" s="230"/>
      <c r="O60" s="231"/>
      <c r="P60" s="232"/>
      <c r="Q60" s="233">
        <f>SUM(Q55:Q59)</f>
        <v>0</v>
      </c>
    </row>
    <row r="61" spans="1:17" outlineLevel="1" x14ac:dyDescent="0.3">
      <c r="A61" s="243" t="s">
        <v>197</v>
      </c>
      <c r="B61" s="243"/>
      <c r="C61" s="243"/>
      <c r="D61" s="243"/>
      <c r="E61" s="497">
        <f>E60+E52</f>
        <v>0</v>
      </c>
      <c r="F61" s="246"/>
      <c r="G61" s="243"/>
      <c r="H61" s="243"/>
      <c r="I61" s="243"/>
      <c r="J61" s="243"/>
      <c r="K61" s="497">
        <f>K60+K52</f>
        <v>0</v>
      </c>
      <c r="M61" s="243"/>
      <c r="N61" s="243"/>
      <c r="O61" s="243"/>
      <c r="P61" s="243"/>
      <c r="Q61" s="497">
        <f>Q60+Q52</f>
        <v>0</v>
      </c>
    </row>
    <row r="62" spans="1:17" ht="14.4" outlineLevel="1" thickBot="1" x14ac:dyDescent="0.35"/>
    <row r="63" spans="1:17" ht="15" outlineLevel="2" thickBot="1" x14ac:dyDescent="0.35">
      <c r="A63" s="376" t="s">
        <v>283</v>
      </c>
      <c r="B63" s="140"/>
      <c r="C63" s="140"/>
      <c r="D63" s="141"/>
      <c r="E63" s="141"/>
      <c r="F63"/>
      <c r="G63" s="376" t="s">
        <v>283</v>
      </c>
      <c r="H63" s="140"/>
      <c r="I63" s="140"/>
      <c r="J63" s="141"/>
      <c r="K63" s="141"/>
      <c r="L63"/>
      <c r="M63" s="376" t="s">
        <v>283</v>
      </c>
      <c r="N63" s="140"/>
      <c r="O63" s="140"/>
      <c r="P63" s="141"/>
      <c r="Q63" s="141"/>
    </row>
    <row r="64" spans="1:17" ht="15" outlineLevel="2" thickBot="1" x14ac:dyDescent="0.35">
      <c r="A64" s="372" t="s">
        <v>274</v>
      </c>
      <c r="B64" s="370" t="s">
        <v>275</v>
      </c>
      <c r="C64" s="370" t="s">
        <v>276</v>
      </c>
      <c r="D64" s="369"/>
      <c r="E64" s="370" t="s">
        <v>277</v>
      </c>
      <c r="F64"/>
      <c r="G64" s="372" t="s">
        <v>274</v>
      </c>
      <c r="H64" s="370" t="s">
        <v>275</v>
      </c>
      <c r="I64" s="370" t="s">
        <v>276</v>
      </c>
      <c r="J64" s="369"/>
      <c r="K64" s="370" t="s">
        <v>277</v>
      </c>
      <c r="L64"/>
      <c r="M64" s="372" t="s">
        <v>274</v>
      </c>
      <c r="N64" s="370" t="s">
        <v>275</v>
      </c>
      <c r="O64" s="370" t="s">
        <v>276</v>
      </c>
      <c r="P64" s="369"/>
      <c r="Q64" s="370" t="s">
        <v>277</v>
      </c>
    </row>
    <row r="65" spans="1:17" ht="15" outlineLevel="2" thickBot="1" x14ac:dyDescent="0.35">
      <c r="A65" s="1001">
        <f>MIN($A$4,'Bouwkost NB'!$E$91)</f>
        <v>0</v>
      </c>
      <c r="B65" s="904">
        <f>IF(B44=Bron!$E$40,55,0)</f>
        <v>0</v>
      </c>
      <c r="C65" s="370">
        <f>C47</f>
        <v>2.3958200000000001</v>
      </c>
      <c r="D65" s="369"/>
      <c r="E65" s="982">
        <f>ROUND(A65*B65*C65,2)</f>
        <v>0</v>
      </c>
      <c r="F65"/>
      <c r="G65" s="1002">
        <f>MIN($G$4,'Bouwkost NB'!$N$91)</f>
        <v>0</v>
      </c>
      <c r="H65" s="904">
        <f>IF(H44=Bron!$E$40,55,0)</f>
        <v>0</v>
      </c>
      <c r="I65" s="370">
        <f>I47</f>
        <v>2.3958200000000001</v>
      </c>
      <c r="J65" s="369"/>
      <c r="K65" s="982">
        <f>ROUND(G65*H65*I65,2)</f>
        <v>0</v>
      </c>
      <c r="L65"/>
      <c r="M65" s="1002">
        <f>MIN($M$4,'Bouwkost NB'!$Y$91)</f>
        <v>0</v>
      </c>
      <c r="N65" s="904">
        <f>IF(N44=Bron!$E$40,55,0)</f>
        <v>0</v>
      </c>
      <c r="O65" s="370">
        <f>O47</f>
        <v>2.3958200000000001</v>
      </c>
      <c r="P65" s="369"/>
      <c r="Q65" s="982">
        <f>ROUND(M65*N65*O65,2)</f>
        <v>0</v>
      </c>
    </row>
    <row r="66" spans="1:17" ht="15" outlineLevel="2" thickBot="1" x14ac:dyDescent="0.35">
      <c r="A66" s="368" t="s">
        <v>285</v>
      </c>
      <c r="B66" s="63">
        <f>'Bouwkost NB'!$E$52</f>
        <v>0</v>
      </c>
      <c r="C66" s="66">
        <v>0.6</v>
      </c>
      <c r="D66" s="369"/>
      <c r="E66" s="982">
        <f>B66*C66</f>
        <v>0</v>
      </c>
      <c r="F66"/>
      <c r="G66" s="65" t="s">
        <v>285</v>
      </c>
      <c r="H66" s="63">
        <f>'Bouwkost NB'!$N$52</f>
        <v>0</v>
      </c>
      <c r="I66" s="66">
        <v>0.6</v>
      </c>
      <c r="J66" s="369"/>
      <c r="K66" s="982">
        <f>H66*I66</f>
        <v>0</v>
      </c>
      <c r="L66"/>
      <c r="M66" s="65" t="s">
        <v>285</v>
      </c>
      <c r="N66" s="63">
        <f>'Bouwkost NB'!$Y$52</f>
        <v>0</v>
      </c>
      <c r="O66" s="66">
        <v>0.6</v>
      </c>
      <c r="P66" s="369"/>
      <c r="Q66" s="982">
        <f>N66*O66</f>
        <v>0</v>
      </c>
    </row>
    <row r="67" spans="1:17" ht="15" outlineLevel="2" thickBot="1" x14ac:dyDescent="0.35">
      <c r="A67" s="65" t="s">
        <v>286</v>
      </c>
      <c r="B67" s="63">
        <f>'Bouwkost NB'!$C$58</f>
        <v>0</v>
      </c>
      <c r="C67" s="66">
        <v>0.6</v>
      </c>
      <c r="D67" s="369"/>
      <c r="E67" s="982">
        <f>B67*C67</f>
        <v>0</v>
      </c>
      <c r="F67"/>
      <c r="G67" s="65" t="s">
        <v>286</v>
      </c>
      <c r="H67" s="63">
        <f>'Bouwkost NB'!$N$58</f>
        <v>0</v>
      </c>
      <c r="I67" s="66">
        <v>0.6</v>
      </c>
      <c r="J67" s="369"/>
      <c r="K67" s="982">
        <f>H67*I67</f>
        <v>0</v>
      </c>
      <c r="L67"/>
      <c r="M67" s="65" t="s">
        <v>286</v>
      </c>
      <c r="N67" s="63">
        <f>'Bouwkost NB'!$Y$58</f>
        <v>0</v>
      </c>
      <c r="O67" s="66">
        <v>0.6</v>
      </c>
      <c r="P67" s="369"/>
      <c r="Q67" s="982">
        <f>N67*O67</f>
        <v>0</v>
      </c>
    </row>
    <row r="68" spans="1:17" ht="15" outlineLevel="2" thickBot="1" x14ac:dyDescent="0.35">
      <c r="A68" s="1220" t="s">
        <v>287</v>
      </c>
      <c r="B68" s="1221"/>
      <c r="C68" s="133"/>
      <c r="E68" s="96">
        <f>MIN(E65,(E66+E67))</f>
        <v>0</v>
      </c>
      <c r="F68"/>
      <c r="G68" s="1220" t="s">
        <v>287</v>
      </c>
      <c r="H68" s="1221"/>
      <c r="I68" s="133"/>
      <c r="K68" s="96">
        <f>MIN(K65,(K66+K67))</f>
        <v>0</v>
      </c>
      <c r="L68"/>
      <c r="M68" s="1220" t="s">
        <v>287</v>
      </c>
      <c r="N68" s="1221"/>
      <c r="O68" s="133"/>
      <c r="Q68" s="96">
        <f>MIN(Q65,(Q66+Q67))</f>
        <v>0</v>
      </c>
    </row>
    <row r="69" spans="1:17" ht="14.4" outlineLevel="2" thickBot="1" x14ac:dyDescent="0.35">
      <c r="A69" s="213" t="s">
        <v>279</v>
      </c>
      <c r="B69" s="221"/>
      <c r="C69" s="225">
        <v>0.1</v>
      </c>
      <c r="D69" s="225"/>
      <c r="E69" s="224">
        <f>ROUND(E68*C69,2)</f>
        <v>0</v>
      </c>
      <c r="F69" s="246"/>
      <c r="G69" s="213" t="s">
        <v>279</v>
      </c>
      <c r="H69" s="221"/>
      <c r="I69" s="225">
        <v>0.1</v>
      </c>
      <c r="J69" s="225"/>
      <c r="K69" s="224">
        <f>ROUND(K68*I69,2)</f>
        <v>0</v>
      </c>
      <c r="M69" s="213" t="s">
        <v>279</v>
      </c>
      <c r="N69" s="221"/>
      <c r="O69" s="225">
        <v>0.1</v>
      </c>
      <c r="P69" s="225"/>
      <c r="Q69" s="224">
        <f>ROUND(Q68*O69,2)</f>
        <v>0</v>
      </c>
    </row>
    <row r="70" spans="1:17" outlineLevel="2" x14ac:dyDescent="0.3">
      <c r="A70" s="221" t="s">
        <v>64</v>
      </c>
      <c r="B70" s="221" t="s">
        <v>293</v>
      </c>
      <c r="C70" s="226">
        <f>'Overzicht BTA'!E75</f>
        <v>0</v>
      </c>
      <c r="D70" s="225">
        <f>D62</f>
        <v>0</v>
      </c>
      <c r="E70" s="224">
        <f>ROUND(E68*C70*D70,2)</f>
        <v>0</v>
      </c>
      <c r="F70" s="246"/>
      <c r="G70" s="221" t="s">
        <v>64</v>
      </c>
      <c r="H70" s="221" t="s">
        <v>293</v>
      </c>
      <c r="I70" s="226">
        <f>'Overzicht BTA'!K75</f>
        <v>0</v>
      </c>
      <c r="J70" s="225">
        <f>J62</f>
        <v>0</v>
      </c>
      <c r="K70" s="224">
        <f>ROUND(K68*I70*J70,2)</f>
        <v>0</v>
      </c>
      <c r="M70" s="221" t="s">
        <v>64</v>
      </c>
      <c r="N70" s="221" t="s">
        <v>293</v>
      </c>
      <c r="O70" s="226">
        <f>'Overzicht BTA'!Q75</f>
        <v>0</v>
      </c>
      <c r="P70" s="225">
        <f>P62</f>
        <v>0</v>
      </c>
      <c r="Q70" s="224">
        <f>ROUND(Q68*O70*P70,2)</f>
        <v>0</v>
      </c>
    </row>
    <row r="71" spans="1:17" outlineLevel="2" x14ac:dyDescent="0.3">
      <c r="A71" s="221" t="s">
        <v>294</v>
      </c>
      <c r="B71" s="221" t="s">
        <v>295</v>
      </c>
      <c r="C71" s="226">
        <v>0.21</v>
      </c>
      <c r="D71" s="225">
        <f>D63</f>
        <v>0</v>
      </c>
      <c r="E71" s="224">
        <f>ROUND(E68*C71*D71,2)</f>
        <v>0</v>
      </c>
      <c r="F71" s="246"/>
      <c r="G71" s="221" t="s">
        <v>294</v>
      </c>
      <c r="H71" s="221" t="s">
        <v>295</v>
      </c>
      <c r="I71" s="226">
        <v>0.21</v>
      </c>
      <c r="J71" s="225">
        <f>J63</f>
        <v>0</v>
      </c>
      <c r="K71" s="224">
        <f>ROUND(K68*I71*J71,2)</f>
        <v>0</v>
      </c>
      <c r="M71" s="221" t="s">
        <v>294</v>
      </c>
      <c r="N71" s="221" t="s">
        <v>295</v>
      </c>
      <c r="O71" s="226">
        <v>0.21</v>
      </c>
      <c r="P71" s="225">
        <f>P63</f>
        <v>0</v>
      </c>
      <c r="Q71" s="224">
        <f>ROUND(Q68*O71*P71,2)</f>
        <v>0</v>
      </c>
    </row>
    <row r="72" spans="1:17" ht="14.4" outlineLevel="2" thickBot="1" x14ac:dyDescent="0.35">
      <c r="A72" s="221" t="s">
        <v>64</v>
      </c>
      <c r="B72" s="50" t="s">
        <v>281</v>
      </c>
      <c r="C72" s="225">
        <v>0.21</v>
      </c>
      <c r="D72" s="227"/>
      <c r="E72" s="228">
        <f>ROUND(E69*C72,2)</f>
        <v>0</v>
      </c>
      <c r="F72" s="246"/>
      <c r="G72" s="221" t="s">
        <v>64</v>
      </c>
      <c r="H72" s="50" t="s">
        <v>281</v>
      </c>
      <c r="I72" s="225">
        <v>0.21</v>
      </c>
      <c r="J72" s="227"/>
      <c r="K72" s="228">
        <f>ROUND(K69*I72,2)</f>
        <v>0</v>
      </c>
      <c r="M72" s="221" t="s">
        <v>64</v>
      </c>
      <c r="N72" s="50" t="s">
        <v>281</v>
      </c>
      <c r="O72" s="225">
        <v>0.21</v>
      </c>
      <c r="P72" s="227"/>
      <c r="Q72" s="228">
        <f>ROUND(Q69*O72,2)</f>
        <v>0</v>
      </c>
    </row>
    <row r="73" spans="1:17" ht="14.4" outlineLevel="2" thickTop="1" x14ac:dyDescent="0.3">
      <c r="A73" s="229" t="s">
        <v>282</v>
      </c>
      <c r="B73" s="230"/>
      <c r="C73" s="231"/>
      <c r="D73" s="232"/>
      <c r="E73" s="233">
        <f>SUM(E68:E72)</f>
        <v>0</v>
      </c>
      <c r="F73" s="246"/>
      <c r="G73" s="229" t="s">
        <v>282</v>
      </c>
      <c r="H73" s="230"/>
      <c r="I73" s="231"/>
      <c r="J73" s="232"/>
      <c r="K73" s="233">
        <f>SUM(K68:K72)</f>
        <v>0</v>
      </c>
      <c r="M73" s="229" t="s">
        <v>282</v>
      </c>
      <c r="N73" s="230"/>
      <c r="O73" s="231"/>
      <c r="P73" s="232"/>
      <c r="Q73" s="233">
        <f>SUM(Q68:Q72)</f>
        <v>0</v>
      </c>
    </row>
    <row r="74" spans="1:17" customFormat="1" ht="15" outlineLevel="2" thickBot="1" x14ac:dyDescent="0.35">
      <c r="A74" s="981"/>
      <c r="B74" s="981"/>
      <c r="C74" s="851"/>
      <c r="D74" s="18"/>
      <c r="E74" s="852"/>
      <c r="G74" s="981"/>
      <c r="H74" s="981"/>
      <c r="I74" s="851"/>
      <c r="J74" s="18"/>
      <c r="K74" s="852"/>
      <c r="M74" s="981"/>
      <c r="N74" s="981"/>
      <c r="O74" s="851"/>
      <c r="P74" s="18"/>
      <c r="Q74" s="852"/>
    </row>
    <row r="75" spans="1:17" ht="15" outlineLevel="1" thickBot="1" x14ac:dyDescent="0.35">
      <c r="A75" s="5" t="s">
        <v>297</v>
      </c>
      <c r="B75" s="6"/>
      <c r="C75" s="7"/>
      <c r="E75" s="1">
        <f>E73+E60+E52</f>
        <v>0</v>
      </c>
      <c r="F75"/>
      <c r="G75" s="5" t="s">
        <v>282</v>
      </c>
      <c r="H75" s="6"/>
      <c r="I75" s="7"/>
      <c r="K75" s="1">
        <f>K73+K60+K52</f>
        <v>0</v>
      </c>
      <c r="L75"/>
      <c r="M75" s="5" t="s">
        <v>282</v>
      </c>
      <c r="N75" s="6"/>
      <c r="O75" s="7"/>
      <c r="Q75" s="1">
        <f>Q73+Q60+Q52</f>
        <v>0</v>
      </c>
    </row>
    <row r="76" spans="1:17" ht="14.4" outlineLevel="1" thickBot="1" x14ac:dyDescent="0.35">
      <c r="C76" s="851"/>
      <c r="D76" s="852"/>
      <c r="E76" s="51"/>
      <c r="I76" s="851"/>
      <c r="J76" s="852"/>
      <c r="K76" s="51"/>
      <c r="O76" s="851"/>
      <c r="P76" s="852"/>
      <c r="Q76" s="51"/>
    </row>
    <row r="77" spans="1:17" ht="14.4" outlineLevel="1" thickBot="1" x14ac:dyDescent="0.35">
      <c r="A77" s="1226" t="s">
        <v>298</v>
      </c>
      <c r="B77" s="1227"/>
      <c r="C77" s="234">
        <f>E47+E55+E68</f>
        <v>0</v>
      </c>
      <c r="D77" s="235" t="s">
        <v>289</v>
      </c>
      <c r="E77" s="494">
        <f>ROUND(C77*10/6,2)</f>
        <v>0</v>
      </c>
      <c r="G77" s="1226" t="s">
        <v>298</v>
      </c>
      <c r="H77" s="1227"/>
      <c r="I77" s="234">
        <f>K47+K55+K68</f>
        <v>0</v>
      </c>
      <c r="J77" s="235" t="s">
        <v>289</v>
      </c>
      <c r="K77" s="494">
        <f>ROUND(I77*10/6,2)</f>
        <v>0</v>
      </c>
      <c r="M77" s="1226" t="s">
        <v>298</v>
      </c>
      <c r="N77" s="1227"/>
      <c r="O77" s="234">
        <f>Q47+Q55+Q68</f>
        <v>0</v>
      </c>
      <c r="P77" s="235" t="s">
        <v>289</v>
      </c>
      <c r="Q77" s="494">
        <f>ROUND(O77*10/6,2)</f>
        <v>0</v>
      </c>
    </row>
    <row r="78" spans="1:17" outlineLevel="1" x14ac:dyDescent="0.3">
      <c r="D78" s="247"/>
    </row>
    <row r="79" spans="1:17" ht="14.4" outlineLevel="1" x14ac:dyDescent="0.3">
      <c r="A79" s="244" t="s">
        <v>290</v>
      </c>
      <c r="B79" s="221"/>
      <c r="C79" s="221"/>
      <c r="D79" s="247"/>
      <c r="G79" s="244" t="s">
        <v>290</v>
      </c>
      <c r="H79" s="221"/>
      <c r="I79" s="221"/>
      <c r="J79"/>
      <c r="K79"/>
      <c r="L79"/>
      <c r="M79" s="244" t="s">
        <v>290</v>
      </c>
      <c r="N79" s="221"/>
      <c r="O79" s="221"/>
    </row>
    <row r="80" spans="1:17" ht="14.4" outlineLevel="1" x14ac:dyDescent="0.3">
      <c r="A80" s="221" t="s">
        <v>123</v>
      </c>
      <c r="B80" s="245">
        <f>IF(ISNUMBER(MATCH($A$2,'Overzicht BTA'!$B$7:$B$10,0)),IF(MATCH(Bron!$B$14,'uitgebreide raming_gewijzigd'!$B$2:$I$2,0)=1,'uitgebreide raming_gewijzigd'!$B6,IF(MATCH(Bron!$B$14,'uitgebreide raming_gewijzigd'!$B$2:$I$2,0)=3,'uitgebreide raming_gewijzigd'!$D6,IF(MATCH(Bron!$B$14,'uitgebreide raming_gewijzigd'!$B$2:$I$2,0)=5,'uitgebreide raming_gewijzigd'!$F6,IF(MATCH(Bron!$B$14,'uitgebreide raming_gewijzigd'!$B$2:$I$2,0)=7,'uitgebreide raming_gewijzigd'!$H6,0)))),0)</f>
        <v>0</v>
      </c>
      <c r="C80" s="225" t="e">
        <f>ROUND(B80/$B$85,2)</f>
        <v>#DIV/0!</v>
      </c>
      <c r="D80" s="247"/>
      <c r="G80" s="221" t="s">
        <v>123</v>
      </c>
      <c r="H80" s="245">
        <f>IF(ISNUMBER(MATCH($G$2,'Overzicht BTA'!$H$7:$H$10,0)),IF(MATCH(Bron!$B$14,'uitgebreide raming_gewijzigd'!$B$29:$I$29,0)=1,'uitgebreide raming_gewijzigd'!B32,IF(MATCH(Bron!$B$14,'uitgebreide raming_gewijzigd'!$B$29:$I$29,0)=3,'uitgebreide raming_gewijzigd'!D32,IF(MATCH(Bron!$B$14,'uitgebreide raming_gewijzigd'!$B$29:$I$29,0)=5,'uitgebreide raming_gewijzigd'!F32,IF(MATCH(Bron!$B$14,'uitgebreide raming_gewijzigd'!$B$29:$I$29,0)=7,'uitgebreide raming_gewijzigd'!H32,0)))),0)</f>
        <v>0</v>
      </c>
      <c r="I80" s="225" t="e">
        <f>ROUND(H80/$H$85,2)</f>
        <v>#DIV/0!</v>
      </c>
      <c r="J80"/>
      <c r="K80"/>
      <c r="L80"/>
      <c r="M80" s="221" t="s">
        <v>123</v>
      </c>
      <c r="N80" s="245">
        <f>IF(ISNUMBER(MATCH($M$2,'Overzicht BTA'!$N$7:$N$10,0)),IF(MATCH(Bron!$B$14,'uitgebreide raming_gewijzigd'!$B$56:$I$56,0)=1,'uitgebreide raming_gewijzigd'!B59,IF(MATCH(Bron!$B$14,'uitgebreide raming_gewijzigd'!$B$56:$I$56,0)=3,'uitgebreide raming_gewijzigd'!D59,IF(MATCH(Bron!$B$14,'uitgebreide raming_gewijzigd'!$B$56:$I$56,0)=5,'uitgebreide raming_gewijzigd'!F59,IF(MATCH(Bron!$B$14,'uitgebreide raming_gewijzigd'!$B$56:$I$56,0)=7,'uitgebreide raming_gewijzigd'!H59,0)))),0)</f>
        <v>0</v>
      </c>
      <c r="O80" s="225" t="e">
        <f>ROUND(N80/$N$85,2)</f>
        <v>#DIV/0!</v>
      </c>
    </row>
    <row r="81" spans="1:17" ht="14.4" outlineLevel="1" x14ac:dyDescent="0.3">
      <c r="A81" s="221" t="s">
        <v>124</v>
      </c>
      <c r="B81" s="245">
        <f>IF(ISNUMBER(MATCH($A$2,'Overzicht BTA'!$B$7:$B$10,0)),IF(MATCH(Bron!$B$14,'uitgebreide raming_gewijzigd'!$B$2:$I$2,0)=1,'uitgebreide raming_gewijzigd'!$B7,IF(MATCH(Bron!$B$14,'uitgebreide raming_gewijzigd'!$B$2:$I$2,0)=3,'uitgebreide raming_gewijzigd'!$D7,IF(MATCH(Bron!$B$14,'uitgebreide raming_gewijzigd'!$B$2:$I$2,0)=5,'uitgebreide raming_gewijzigd'!$F7,IF(MATCH(Bron!$B$14,'uitgebreide raming_gewijzigd'!$B$2:$I$2,0)=7,'uitgebreide raming_gewijzigd'!$H7,0)))),0)</f>
        <v>0</v>
      </c>
      <c r="C81" s="225" t="e">
        <f t="shared" ref="C81:C85" si="3">ROUND(B81/$B$85,2)</f>
        <v>#DIV/0!</v>
      </c>
      <c r="D81" s="247"/>
      <c r="G81" s="221" t="s">
        <v>124</v>
      </c>
      <c r="H81" s="245">
        <f>IF(ISNUMBER(MATCH($G$2,'Overzicht BTA'!$H$7:$H$10,0)),IF(MATCH(Bron!$B$14,'uitgebreide raming_gewijzigd'!$B$29:$I$29,0)=1,'uitgebreide raming_gewijzigd'!B33,IF(MATCH(Bron!$B$14,'uitgebreide raming_gewijzigd'!$B$29:$I$29,0)=3,'uitgebreide raming_gewijzigd'!D33,IF(MATCH(Bron!$B$14,'uitgebreide raming_gewijzigd'!$B$29:$I$29,0)=5,'uitgebreide raming_gewijzigd'!F33,IF(MATCH(Bron!$B$14,'uitgebreide raming_gewijzigd'!$B$29:$I$29,0)=7,'uitgebreide raming_gewijzigd'!H33,0)))),0)</f>
        <v>0</v>
      </c>
      <c r="I81" s="225" t="e">
        <f t="shared" ref="I81:I85" si="4">ROUND(H81/$H$85,2)</f>
        <v>#DIV/0!</v>
      </c>
      <c r="J81"/>
      <c r="K81"/>
      <c r="L81"/>
      <c r="M81" s="221" t="s">
        <v>124</v>
      </c>
      <c r="N81" s="245">
        <f>IF(ISNUMBER(MATCH($M$2,'Overzicht BTA'!$N$7:$N$10,0)),IF(MATCH(Bron!$B$14,'uitgebreide raming_gewijzigd'!$B$56:$I$56,0)=1,'uitgebreide raming_gewijzigd'!B60,IF(MATCH(Bron!$B$14,'uitgebreide raming_gewijzigd'!$B$56:$I$56,0)=3,'uitgebreide raming_gewijzigd'!D60,IF(MATCH(Bron!$B$14,'uitgebreide raming_gewijzigd'!$B$56:$I$56,0)=5,'uitgebreide raming_gewijzigd'!F60,IF(MATCH(Bron!$B$14,'uitgebreide raming_gewijzigd'!$B$56:$I$56,0)=7,'uitgebreide raming_gewijzigd'!H60,0)))),0)</f>
        <v>0</v>
      </c>
      <c r="O81" s="225" t="e">
        <f t="shared" ref="O81:O85" si="5">ROUND(N81/$N$85,2)</f>
        <v>#DIV/0!</v>
      </c>
    </row>
    <row r="82" spans="1:17" ht="14.4" outlineLevel="1" x14ac:dyDescent="0.3">
      <c r="A82" s="221" t="s">
        <v>125</v>
      </c>
      <c r="B82" s="245">
        <f>IF(ISNUMBER(MATCH($A$2,'Overzicht BTA'!$B$7:$B$10,0)),IF(MATCH(Bron!$B$14,'uitgebreide raming_gewijzigd'!$B$2:$I$2,0)=1,'uitgebreide raming_gewijzigd'!$B8,IF(MATCH(Bron!$B$14,'uitgebreide raming_gewijzigd'!$B$2:$I$2,0)=3,'uitgebreide raming_gewijzigd'!$D8,IF(MATCH(Bron!$B$14,'uitgebreide raming_gewijzigd'!$B$2:$I$2,0)=5,'uitgebreide raming_gewijzigd'!$F8,IF(MATCH(Bron!$B$14,'uitgebreide raming_gewijzigd'!$B$2:$I$2,0)=7,'uitgebreide raming_gewijzigd'!$H8,0)))),0)</f>
        <v>0</v>
      </c>
      <c r="C82" s="225" t="e">
        <f t="shared" si="3"/>
        <v>#DIV/0!</v>
      </c>
      <c r="D82" s="247"/>
      <c r="G82" s="221" t="s">
        <v>125</v>
      </c>
      <c r="H82" s="245">
        <f>IF(ISNUMBER(MATCH($G$2,'Overzicht BTA'!$H$7:$H$10,0)),IF(MATCH(Bron!$B$14,'uitgebreide raming_gewijzigd'!$B$29:$I$29,0)=1,'uitgebreide raming_gewijzigd'!B34,IF(MATCH(Bron!$B$14,'uitgebreide raming_gewijzigd'!$B$29:$I$29,0)=3,'uitgebreide raming_gewijzigd'!D34,IF(MATCH(Bron!$B$14,'uitgebreide raming_gewijzigd'!$B$29:$I$29,0)=5,'uitgebreide raming_gewijzigd'!F34,IF(MATCH(Bron!$B$14,'uitgebreide raming_gewijzigd'!$B$29:$I$29,0)=7,'uitgebreide raming_gewijzigd'!H34,0)))),0)</f>
        <v>0</v>
      </c>
      <c r="I82" s="225" t="e">
        <f t="shared" si="4"/>
        <v>#DIV/0!</v>
      </c>
      <c r="J82"/>
      <c r="K82"/>
      <c r="L82"/>
      <c r="M82" s="221" t="s">
        <v>125</v>
      </c>
      <c r="N82" s="245">
        <f>IF(ISNUMBER(MATCH($M$2,'Overzicht BTA'!$N$7:$N$10,0)),IF(MATCH(Bron!$B$14,'uitgebreide raming_gewijzigd'!$B$56:$I$56,0)=1,'uitgebreide raming_gewijzigd'!B61,IF(MATCH(Bron!$B$14,'uitgebreide raming_gewijzigd'!$B$56:$I$56,0)=3,'uitgebreide raming_gewijzigd'!D61,IF(MATCH(Bron!$B$14,'uitgebreide raming_gewijzigd'!$B$56:$I$56,0)=5,'uitgebreide raming_gewijzigd'!F61,IF(MATCH(Bron!$B$14,'uitgebreide raming_gewijzigd'!$B$56:$I$56,0)=7,'uitgebreide raming_gewijzigd'!H61,0)))),0)</f>
        <v>0</v>
      </c>
      <c r="O82" s="225" t="e">
        <f t="shared" si="5"/>
        <v>#DIV/0!</v>
      </c>
    </row>
    <row r="83" spans="1:17" ht="14.4" outlineLevel="1" x14ac:dyDescent="0.3">
      <c r="A83" s="221" t="s">
        <v>126</v>
      </c>
      <c r="B83" s="245">
        <f>IF(ISNUMBER(MATCH($A$2,'Overzicht BTA'!$B$7:$B$10,0)),IF(MATCH(Bron!$B$14,'uitgebreide raming_gewijzigd'!$B$2:$I$2,0)=1,'uitgebreide raming_gewijzigd'!$B9,IF(MATCH(Bron!$B$14,'uitgebreide raming_gewijzigd'!$B$2:$I$2,0)=3,'uitgebreide raming_gewijzigd'!$D9,IF(MATCH(Bron!$B$14,'uitgebreide raming_gewijzigd'!$B$2:$I$2,0)=5,'uitgebreide raming_gewijzigd'!$F9,IF(MATCH(Bron!$B$14,'uitgebreide raming_gewijzigd'!$B$2:$I$2,0)=7,'uitgebreide raming_gewijzigd'!$H9,0)))),0)</f>
        <v>0</v>
      </c>
      <c r="C83" s="225" t="e">
        <f t="shared" si="3"/>
        <v>#DIV/0!</v>
      </c>
      <c r="D83" s="247"/>
      <c r="G83" s="221" t="s">
        <v>126</v>
      </c>
      <c r="H83" s="245">
        <f>IF(ISNUMBER(MATCH($G$2,'Overzicht BTA'!$H$7:$H$10,0)),IF(MATCH(Bron!$B$14,'uitgebreide raming_gewijzigd'!$B$29:$I$29,0)=1,'uitgebreide raming_gewijzigd'!B35,IF(MATCH(Bron!$B$14,'uitgebreide raming_gewijzigd'!$B$29:$I$29,0)=3,'uitgebreide raming_gewijzigd'!D35,IF(MATCH(Bron!$B$14,'uitgebreide raming_gewijzigd'!$B$29:$I$29,0)=5,'uitgebreide raming_gewijzigd'!F35,IF(MATCH(Bron!$B$14,'uitgebreide raming_gewijzigd'!$B$29:$I$29,0)=7,'uitgebreide raming_gewijzigd'!H35,0)))),0)</f>
        <v>0</v>
      </c>
      <c r="I83" s="225" t="e">
        <f t="shared" si="4"/>
        <v>#DIV/0!</v>
      </c>
      <c r="J83"/>
      <c r="K83"/>
      <c r="L83"/>
      <c r="M83" s="221" t="s">
        <v>126</v>
      </c>
      <c r="N83" s="245">
        <f>IF(ISNUMBER(MATCH($M$2,'Overzicht BTA'!$N$7:$N$10,0)),IF(MATCH(Bron!$B$14,'uitgebreide raming_gewijzigd'!$B$56:$I$56,0)=1,'uitgebreide raming_gewijzigd'!B62,IF(MATCH(Bron!$B$14,'uitgebreide raming_gewijzigd'!$B$56:$I$56,0)=3,'uitgebreide raming_gewijzigd'!D62,IF(MATCH(Bron!$B$14,'uitgebreide raming_gewijzigd'!$B$56:$I$56,0)=5,'uitgebreide raming_gewijzigd'!F62,IF(MATCH(Bron!$B$14,'uitgebreide raming_gewijzigd'!$B$56:$I$56,0)=7,'uitgebreide raming_gewijzigd'!H62,0)))),0)</f>
        <v>0</v>
      </c>
      <c r="O83" s="225" t="e">
        <f t="shared" si="5"/>
        <v>#DIV/0!</v>
      </c>
    </row>
    <row r="84" spans="1:17" ht="14.4" outlineLevel="1" x14ac:dyDescent="0.3">
      <c r="A84" s="221" t="s">
        <v>127</v>
      </c>
      <c r="B84" s="245">
        <f>IF(ISNUMBER(MATCH($A$2,'Overzicht BTA'!$B$7:$B$10,0)),IF(MATCH(Bron!$B$14,'uitgebreide raming_gewijzigd'!$B$2:$I$2,0)=1,'uitgebreide raming_gewijzigd'!$B10,IF(MATCH(Bron!$B$14,'uitgebreide raming_gewijzigd'!$B$2:$I$2,0)=3,'uitgebreide raming_gewijzigd'!$D10,IF(MATCH(Bron!$B$14,'uitgebreide raming_gewijzigd'!$B$2:$I$2,0)=5,'uitgebreide raming_gewijzigd'!$F10,IF(MATCH(Bron!$B$14,'uitgebreide raming_gewijzigd'!$B$2:$I$2,0)=7,'uitgebreide raming_gewijzigd'!$H10,0)))),0)</f>
        <v>0</v>
      </c>
      <c r="C84" s="225" t="e">
        <f t="shared" si="3"/>
        <v>#DIV/0!</v>
      </c>
      <c r="G84" s="221" t="s">
        <v>127</v>
      </c>
      <c r="H84" s="245">
        <f>IF(ISNUMBER(MATCH($G$2,'Overzicht BTA'!$H$7:$H$10,0)),IF(MATCH(Bron!$B$14,'uitgebreide raming_gewijzigd'!$B$29:$I$29,0)=1,'uitgebreide raming_gewijzigd'!B36,IF(MATCH(Bron!$B$14,'uitgebreide raming_gewijzigd'!$B$29:$I$29,0)=3,'uitgebreide raming_gewijzigd'!D36,IF(MATCH(Bron!$B$14,'uitgebreide raming_gewijzigd'!$B$29:$I$29,0)=5,'uitgebreide raming_gewijzigd'!F36,IF(MATCH(Bron!$B$14,'uitgebreide raming_gewijzigd'!$B$29:$I$29,0)=7,'uitgebreide raming_gewijzigd'!H36,0)))),0)</f>
        <v>0</v>
      </c>
      <c r="I84" s="225" t="e">
        <f t="shared" si="4"/>
        <v>#DIV/0!</v>
      </c>
      <c r="J84"/>
      <c r="K84"/>
      <c r="L84"/>
      <c r="M84" s="221" t="s">
        <v>127</v>
      </c>
      <c r="N84" s="245">
        <f>IF(ISNUMBER(MATCH($M$2,'Overzicht BTA'!$N$7:$N$10,0)),IF(MATCH(Bron!$B$14,'uitgebreide raming_gewijzigd'!$B$56:$I$56,0)=1,'uitgebreide raming_gewijzigd'!B63,IF(MATCH(Bron!$B$14,'uitgebreide raming_gewijzigd'!$B$56:$I$56,0)=3,'uitgebreide raming_gewijzigd'!D63,IF(MATCH(Bron!$B$14,'uitgebreide raming_gewijzigd'!$B$56:$I$56,0)=5,'uitgebreide raming_gewijzigd'!F63,IF(MATCH(Bron!$B$14,'uitgebreide raming_gewijzigd'!$B$56:$I$56,0)=7,'uitgebreide raming_gewijzigd'!H63,0)))),0)</f>
        <v>0</v>
      </c>
      <c r="O84" s="225" t="e">
        <f t="shared" si="5"/>
        <v>#DIV/0!</v>
      </c>
    </row>
    <row r="85" spans="1:17" ht="14.4" outlineLevel="1" x14ac:dyDescent="0.3">
      <c r="A85" s="221" t="s">
        <v>110</v>
      </c>
      <c r="B85" s="245">
        <f>IF(ISNUMBER(MATCH($A$2,'Overzicht BTA'!$B$7:$B$10,0)),IF(MATCH(Bron!$B$14,'uitgebreide raming_gewijzigd'!$B$2:$I$2,0)=1,'uitgebreide raming_gewijzigd'!$B11,IF(MATCH(Bron!$B$14,'uitgebreide raming_gewijzigd'!$B$2:$I$2,0)=3,'uitgebreide raming_gewijzigd'!$D11,IF(MATCH(Bron!$B$14,'uitgebreide raming_gewijzigd'!$B$2:$I$2,0)=5,'uitgebreide raming_gewijzigd'!$F11,IF(MATCH(Bron!$B$14,'uitgebreide raming_gewijzigd'!$B$2:$I$2,0)=7,'uitgebreide raming_gewijzigd'!$H11,0)))),0)</f>
        <v>0</v>
      </c>
      <c r="C85" s="225" t="e">
        <f t="shared" si="3"/>
        <v>#DIV/0!</v>
      </c>
      <c r="G85" s="221" t="s">
        <v>110</v>
      </c>
      <c r="H85" s="245">
        <f>IF(ISNUMBER(MATCH($G$2,'Overzicht BTA'!$H$7:$H$10,0)),IF(MATCH(Bron!$B$14,'uitgebreide raming_gewijzigd'!$B$29:$I$29,0)=1,'uitgebreide raming_gewijzigd'!B37,IF(MATCH(Bron!$B$14,'uitgebreide raming_gewijzigd'!$B$29:$I$29,0)=3,'uitgebreide raming_gewijzigd'!D37,IF(MATCH(Bron!$B$14,'uitgebreide raming_gewijzigd'!$B$29:$I$29,0)=5,'uitgebreide raming_gewijzigd'!F37,IF(MATCH(Bron!$B$14,'uitgebreide raming_gewijzigd'!$B$29:$I$29,0)=7,'uitgebreide raming_gewijzigd'!H37,0)))),0)</f>
        <v>0</v>
      </c>
      <c r="I85" s="225" t="e">
        <f t="shared" si="4"/>
        <v>#DIV/0!</v>
      </c>
      <c r="J85"/>
      <c r="K85"/>
      <c r="L85"/>
      <c r="M85" s="221" t="s">
        <v>110</v>
      </c>
      <c r="N85" s="245">
        <f>IF(ISNUMBER(MATCH($M$2,'Overzicht BTA'!$N$7:$N$10,0)),IF(MATCH(Bron!$B$14,'uitgebreide raming_gewijzigd'!$B$56:$I$56,0)=1,'uitgebreide raming_gewijzigd'!B64,IF(MATCH(Bron!$B$14,'uitgebreide raming_gewijzigd'!$B$56:$I$56,0)=3,'uitgebreide raming_gewijzigd'!D64,IF(MATCH(Bron!$B$14,'uitgebreide raming_gewijzigd'!$B$56:$I$56,0)=5,'uitgebreide raming_gewijzigd'!F64,IF(MATCH(Bron!$B$14,'uitgebreide raming_gewijzigd'!$B$56:$I$56,0)=7,'uitgebreide raming_gewijzigd'!H64,0)))),0)</f>
        <v>0</v>
      </c>
      <c r="O85" s="225" t="e">
        <f t="shared" si="5"/>
        <v>#DIV/0!</v>
      </c>
    </row>
    <row r="87" spans="1:17" ht="18" x14ac:dyDescent="0.3">
      <c r="A87" s="1223" t="s">
        <v>92</v>
      </c>
      <c r="B87" s="1223"/>
      <c r="C87" s="1223"/>
      <c r="D87" s="1223"/>
      <c r="E87" s="1223"/>
      <c r="F87" s="1223"/>
      <c r="G87" s="1223"/>
      <c r="H87" s="1223"/>
      <c r="I87" s="1223"/>
      <c r="J87" s="1223"/>
      <c r="K87" s="1223"/>
      <c r="L87" s="1223"/>
      <c r="M87" s="1223"/>
      <c r="N87" s="1223"/>
      <c r="O87" s="1223"/>
      <c r="P87" s="1223"/>
      <c r="Q87" s="1223"/>
    </row>
    <row r="88" spans="1:17" outlineLevel="1" x14ac:dyDescent="0.3">
      <c r="A88" s="54" t="s">
        <v>292</v>
      </c>
      <c r="B88" s="54" t="str">
        <f>B44</f>
        <v>Kies de zorgvorm</v>
      </c>
      <c r="C88" s="54"/>
      <c r="D88" s="54"/>
      <c r="E88" s="54"/>
      <c r="F88" s="54"/>
      <c r="G88" s="54" t="s">
        <v>292</v>
      </c>
      <c r="H88" s="1231" t="str">
        <f>H44</f>
        <v>Kies de zorgvorm</v>
      </c>
      <c r="I88" s="1231"/>
      <c r="J88" s="1231"/>
      <c r="K88" s="54"/>
      <c r="L88" s="54"/>
      <c r="M88" s="54" t="s">
        <v>292</v>
      </c>
      <c r="N88" s="54" t="str">
        <f>N44</f>
        <v>Kies de zorgvorm</v>
      </c>
      <c r="O88" s="54"/>
      <c r="P88" s="54"/>
      <c r="Q88" s="54"/>
    </row>
    <row r="89" spans="1:17" outlineLevel="1" x14ac:dyDescent="0.3">
      <c r="A89" s="138" t="s">
        <v>299</v>
      </c>
      <c r="B89" s="222"/>
      <c r="C89" s="222"/>
      <c r="D89" s="222"/>
      <c r="E89" s="223"/>
      <c r="F89" s="243"/>
      <c r="G89" s="138" t="s">
        <v>299</v>
      </c>
      <c r="H89" s="222"/>
      <c r="I89" s="222"/>
      <c r="J89" s="222"/>
      <c r="K89" s="223"/>
      <c r="M89" s="138" t="s">
        <v>299</v>
      </c>
      <c r="N89" s="222"/>
      <c r="O89" s="222"/>
      <c r="P89" s="222"/>
      <c r="Q89" s="223"/>
    </row>
    <row r="90" spans="1:17" ht="14.4" outlineLevel="1" thickBot="1" x14ac:dyDescent="0.35">
      <c r="A90" s="211" t="s">
        <v>274</v>
      </c>
      <c r="B90" s="221" t="s">
        <v>275</v>
      </c>
      <c r="C90" s="221" t="s">
        <v>276</v>
      </c>
      <c r="D90" s="221"/>
      <c r="E90" s="221" t="s">
        <v>277</v>
      </c>
      <c r="F90" s="243"/>
      <c r="G90" s="211" t="s">
        <v>274</v>
      </c>
      <c r="H90" s="221" t="s">
        <v>275</v>
      </c>
      <c r="I90" s="221" t="s">
        <v>276</v>
      </c>
      <c r="J90" s="221"/>
      <c r="K90" s="221" t="s">
        <v>277</v>
      </c>
      <c r="M90" s="211" t="s">
        <v>274</v>
      </c>
      <c r="N90" s="221" t="s">
        <v>275</v>
      </c>
      <c r="O90" s="221" t="s">
        <v>276</v>
      </c>
      <c r="P90" s="221"/>
      <c r="Q90" s="221" t="s">
        <v>277</v>
      </c>
    </row>
    <row r="91" spans="1:17" ht="14.4" outlineLevel="1" thickBot="1" x14ac:dyDescent="0.35">
      <c r="A91" s="466">
        <f>A47</f>
        <v>0</v>
      </c>
      <c r="B91" s="906">
        <f>B47</f>
        <v>0</v>
      </c>
      <c r="C91" s="208">
        <f>'Overzicht BTA'!$D$38</f>
        <v>2.3958200000000001</v>
      </c>
      <c r="D91" s="221"/>
      <c r="E91" s="224">
        <f>ROUND(A91*B91*C91,2)</f>
        <v>0</v>
      </c>
      <c r="F91" s="246"/>
      <c r="G91" s="466">
        <f>G47</f>
        <v>0</v>
      </c>
      <c r="H91" s="906">
        <f>H47</f>
        <v>0</v>
      </c>
      <c r="I91" s="208">
        <f>'Overzicht BTA'!$D$38</f>
        <v>2.3958200000000001</v>
      </c>
      <c r="J91" s="221"/>
      <c r="K91" s="224">
        <f>ROUND(G91*H91*I91,2)</f>
        <v>0</v>
      </c>
      <c r="M91" s="466">
        <f>M47</f>
        <v>0</v>
      </c>
      <c r="N91" s="906">
        <f>N47</f>
        <v>0</v>
      </c>
      <c r="O91" s="208">
        <f>'Overzicht BTA'!$D$38</f>
        <v>2.3958200000000001</v>
      </c>
      <c r="P91" s="221"/>
      <c r="Q91" s="224">
        <f>ROUND(M91*N91*O91,2)</f>
        <v>0</v>
      </c>
    </row>
    <row r="92" spans="1:17" ht="14.4" outlineLevel="1" thickBot="1" x14ac:dyDescent="0.35">
      <c r="A92" s="213" t="s">
        <v>279</v>
      </c>
      <c r="B92" s="221"/>
      <c r="C92" s="225">
        <v>0.1</v>
      </c>
      <c r="D92" s="225"/>
      <c r="E92" s="224">
        <f>ROUND(E91*C92,2)</f>
        <v>0</v>
      </c>
      <c r="F92" s="246"/>
      <c r="G92" s="213" t="s">
        <v>279</v>
      </c>
      <c r="H92" s="221"/>
      <c r="I92" s="225">
        <v>0.1</v>
      </c>
      <c r="J92" s="225"/>
      <c r="K92" s="224">
        <f>ROUND(K91*I92,2)</f>
        <v>0</v>
      </c>
      <c r="M92" s="213" t="s">
        <v>279</v>
      </c>
      <c r="N92" s="221"/>
      <c r="O92" s="225">
        <v>0.1</v>
      </c>
      <c r="P92" s="225"/>
      <c r="Q92" s="224">
        <f>ROUND(Q91*O92,2)</f>
        <v>0</v>
      </c>
    </row>
    <row r="93" spans="1:17" outlineLevel="1" x14ac:dyDescent="0.3">
      <c r="A93" s="221" t="s">
        <v>64</v>
      </c>
      <c r="B93" s="221" t="s">
        <v>293</v>
      </c>
      <c r="C93" s="226">
        <f>C49</f>
        <v>0</v>
      </c>
      <c r="D93" s="226">
        <f>D57</f>
        <v>0</v>
      </c>
      <c r="E93" s="224">
        <f>ROUND(E91*C93*D93,2)</f>
        <v>0</v>
      </c>
      <c r="F93" s="246"/>
      <c r="G93" s="221" t="s">
        <v>64</v>
      </c>
      <c r="H93" s="221" t="s">
        <v>293</v>
      </c>
      <c r="I93" s="226">
        <f>I49</f>
        <v>0</v>
      </c>
      <c r="J93" s="226">
        <f>J57</f>
        <v>0</v>
      </c>
      <c r="K93" s="224">
        <f>ROUND(K91*I93*J93,2)</f>
        <v>0</v>
      </c>
      <c r="M93" s="221" t="s">
        <v>64</v>
      </c>
      <c r="N93" s="221" t="s">
        <v>293</v>
      </c>
      <c r="O93" s="226">
        <f>O49</f>
        <v>0</v>
      </c>
      <c r="P93" s="226">
        <f>P57</f>
        <v>0</v>
      </c>
      <c r="Q93" s="224">
        <f>ROUND(Q91*O93*P93,2)</f>
        <v>0</v>
      </c>
    </row>
    <row r="94" spans="1:17" outlineLevel="1" x14ac:dyDescent="0.3">
      <c r="A94" s="221" t="s">
        <v>294</v>
      </c>
      <c r="B94" s="221" t="s">
        <v>295</v>
      </c>
      <c r="C94" s="226">
        <v>0.21</v>
      </c>
      <c r="D94" s="226">
        <f>D58</f>
        <v>0</v>
      </c>
      <c r="E94" s="224">
        <f>ROUND(E91*C94*D94,2)</f>
        <v>0</v>
      </c>
      <c r="F94" s="246"/>
      <c r="G94" s="221" t="s">
        <v>294</v>
      </c>
      <c r="H94" s="221" t="s">
        <v>295</v>
      </c>
      <c r="I94" s="226">
        <v>0.21</v>
      </c>
      <c r="J94" s="226">
        <f>J58</f>
        <v>0</v>
      </c>
      <c r="K94" s="224">
        <f>ROUND(K91*I94*J94,2)</f>
        <v>0</v>
      </c>
      <c r="M94" s="221" t="s">
        <v>294</v>
      </c>
      <c r="N94" s="221" t="s">
        <v>295</v>
      </c>
      <c r="O94" s="226">
        <v>0.21</v>
      </c>
      <c r="P94" s="226">
        <f>P58</f>
        <v>0</v>
      </c>
      <c r="Q94" s="224">
        <f>ROUND(Q91*O94*P94,2)</f>
        <v>0</v>
      </c>
    </row>
    <row r="95" spans="1:17" ht="14.4" outlineLevel="1" thickBot="1" x14ac:dyDescent="0.35">
      <c r="A95" s="221" t="s">
        <v>64</v>
      </c>
      <c r="B95" s="50" t="s">
        <v>281</v>
      </c>
      <c r="C95" s="225">
        <v>0.21</v>
      </c>
      <c r="D95" s="227"/>
      <c r="E95" s="228">
        <f>ROUND(E92*C95,2)</f>
        <v>0</v>
      </c>
      <c r="F95" s="246"/>
      <c r="G95" s="221" t="s">
        <v>64</v>
      </c>
      <c r="H95" s="50" t="s">
        <v>281</v>
      </c>
      <c r="I95" s="225">
        <v>0.21</v>
      </c>
      <c r="J95" s="227"/>
      <c r="K95" s="228">
        <f>ROUND(K92*I95,2)</f>
        <v>0</v>
      </c>
      <c r="M95" s="221" t="s">
        <v>64</v>
      </c>
      <c r="N95" s="50" t="s">
        <v>281</v>
      </c>
      <c r="O95" s="225">
        <v>0.21</v>
      </c>
      <c r="P95" s="227"/>
      <c r="Q95" s="228">
        <f>ROUND(Q92*O95,2)</f>
        <v>0</v>
      </c>
    </row>
    <row r="96" spans="1:17" ht="14.4" outlineLevel="1" thickTop="1" x14ac:dyDescent="0.3">
      <c r="A96" s="229" t="s">
        <v>282</v>
      </c>
      <c r="B96" s="230"/>
      <c r="C96" s="231"/>
      <c r="D96" s="232"/>
      <c r="E96" s="233">
        <f>SUM(E91:E95)</f>
        <v>0</v>
      </c>
      <c r="F96" s="246"/>
      <c r="G96" s="229" t="s">
        <v>282</v>
      </c>
      <c r="H96" s="230"/>
      <c r="I96" s="231"/>
      <c r="J96" s="232"/>
      <c r="K96" s="233">
        <f>SUM(K91:K95)</f>
        <v>0</v>
      </c>
      <c r="M96" s="229" t="s">
        <v>282</v>
      </c>
      <c r="N96" s="230"/>
      <c r="O96" s="231"/>
      <c r="P96" s="232"/>
      <c r="Q96" s="233">
        <f>SUM(Q91:Q95)</f>
        <v>0</v>
      </c>
    </row>
    <row r="97" spans="1:17" outlineLevel="1" x14ac:dyDescent="0.3">
      <c r="A97" s="138" t="s">
        <v>299</v>
      </c>
      <c r="B97" s="138"/>
      <c r="C97" s="138"/>
      <c r="D97" s="138"/>
      <c r="E97" s="138"/>
      <c r="F97" s="246"/>
      <c r="G97" s="138" t="s">
        <v>299</v>
      </c>
      <c r="H97" s="138"/>
      <c r="I97" s="138"/>
      <c r="J97" s="138"/>
      <c r="K97" s="138"/>
      <c r="M97" s="138" t="s">
        <v>299</v>
      </c>
      <c r="N97" s="138"/>
      <c r="O97" s="138"/>
      <c r="P97" s="138"/>
      <c r="Q97" s="138"/>
    </row>
    <row r="98" spans="1:17" ht="14.4" outlineLevel="1" thickBot="1" x14ac:dyDescent="0.35">
      <c r="A98" s="211" t="s">
        <v>274</v>
      </c>
      <c r="B98" s="221" t="s">
        <v>275</v>
      </c>
      <c r="C98" s="221" t="s">
        <v>276</v>
      </c>
      <c r="D98" s="221"/>
      <c r="E98" s="221" t="s">
        <v>277</v>
      </c>
      <c r="F98" s="246"/>
      <c r="G98" s="211" t="s">
        <v>274</v>
      </c>
      <c r="H98" s="221" t="s">
        <v>275</v>
      </c>
      <c r="I98" s="221" t="s">
        <v>276</v>
      </c>
      <c r="J98" s="221"/>
      <c r="K98" s="221" t="s">
        <v>277</v>
      </c>
      <c r="M98" s="211" t="s">
        <v>274</v>
      </c>
      <c r="N98" s="221" t="s">
        <v>275</v>
      </c>
      <c r="O98" s="221" t="s">
        <v>276</v>
      </c>
      <c r="P98" s="221"/>
      <c r="Q98" s="221" t="s">
        <v>277</v>
      </c>
    </row>
    <row r="99" spans="1:17" ht="14.4" outlineLevel="1" thickBot="1" x14ac:dyDescent="0.35">
      <c r="A99" s="466">
        <f>A55</f>
        <v>0</v>
      </c>
      <c r="B99" s="221">
        <f>B55</f>
        <v>0</v>
      </c>
      <c r="C99" s="208">
        <f>'Overzicht BTA'!$D$38</f>
        <v>2.3958200000000001</v>
      </c>
      <c r="D99" s="221"/>
      <c r="E99" s="224">
        <f>A99*B99*C99</f>
        <v>0</v>
      </c>
      <c r="F99" s="246"/>
      <c r="G99" s="466">
        <f>G55</f>
        <v>0</v>
      </c>
      <c r="H99" s="221">
        <f>H55</f>
        <v>0</v>
      </c>
      <c r="I99" s="208">
        <f>'Overzicht BTA'!$D$38</f>
        <v>2.3958200000000001</v>
      </c>
      <c r="J99" s="221"/>
      <c r="K99" s="224">
        <f>G99*H99*I99</f>
        <v>0</v>
      </c>
      <c r="M99" s="466">
        <f>M55</f>
        <v>0</v>
      </c>
      <c r="N99" s="221">
        <f>N55</f>
        <v>0</v>
      </c>
      <c r="O99" s="208">
        <f>'Overzicht BTA'!$D$38</f>
        <v>2.3958200000000001</v>
      </c>
      <c r="P99" s="221"/>
      <c r="Q99" s="224">
        <f>M99*N99*O99</f>
        <v>0</v>
      </c>
    </row>
    <row r="100" spans="1:17" ht="14.4" outlineLevel="1" thickBot="1" x14ac:dyDescent="0.35">
      <c r="A100" s="213" t="s">
        <v>279</v>
      </c>
      <c r="B100" s="221"/>
      <c r="C100" s="225">
        <v>0.1</v>
      </c>
      <c r="D100" s="225"/>
      <c r="E100" s="224">
        <f>E99*C100</f>
        <v>0</v>
      </c>
      <c r="F100" s="246"/>
      <c r="G100" s="213" t="s">
        <v>279</v>
      </c>
      <c r="H100" s="221"/>
      <c r="I100" s="225">
        <v>0.1</v>
      </c>
      <c r="J100" s="225"/>
      <c r="K100" s="224">
        <f>K99*I100</f>
        <v>0</v>
      </c>
      <c r="M100" s="213" t="s">
        <v>279</v>
      </c>
      <c r="N100" s="221"/>
      <c r="O100" s="225">
        <v>0.1</v>
      </c>
      <c r="P100" s="225"/>
      <c r="Q100" s="224">
        <f>Q99*O100</f>
        <v>0</v>
      </c>
    </row>
    <row r="101" spans="1:17" outlineLevel="1" x14ac:dyDescent="0.3">
      <c r="A101" s="221" t="s">
        <v>64</v>
      </c>
      <c r="B101" s="221" t="s">
        <v>293</v>
      </c>
      <c r="C101" s="226">
        <f>C57</f>
        <v>0</v>
      </c>
      <c r="D101" s="226">
        <f>D79</f>
        <v>0</v>
      </c>
      <c r="E101" s="224">
        <f>E99*C101*D101</f>
        <v>0</v>
      </c>
      <c r="F101" s="246"/>
      <c r="G101" s="221" t="s">
        <v>64</v>
      </c>
      <c r="H101" s="221" t="s">
        <v>293</v>
      </c>
      <c r="I101" s="226">
        <f>I57</f>
        <v>0</v>
      </c>
      <c r="J101" s="226">
        <f>J79</f>
        <v>0</v>
      </c>
      <c r="K101" s="224">
        <f>K99*I101*J101</f>
        <v>0</v>
      </c>
      <c r="M101" s="221" t="s">
        <v>64</v>
      </c>
      <c r="N101" s="221" t="s">
        <v>293</v>
      </c>
      <c r="O101" s="226">
        <f>O57</f>
        <v>0</v>
      </c>
      <c r="P101" s="226">
        <f>P79</f>
        <v>0</v>
      </c>
      <c r="Q101" s="224">
        <f>Q99*O101*P101</f>
        <v>0</v>
      </c>
    </row>
    <row r="102" spans="1:17" outlineLevel="1" x14ac:dyDescent="0.3">
      <c r="A102" s="221" t="s">
        <v>294</v>
      </c>
      <c r="B102" s="221" t="s">
        <v>295</v>
      </c>
      <c r="C102" s="226">
        <v>0.21</v>
      </c>
      <c r="D102" s="226">
        <f>D80</f>
        <v>0</v>
      </c>
      <c r="E102" s="224">
        <f>E99*C102*D102</f>
        <v>0</v>
      </c>
      <c r="F102" s="246"/>
      <c r="G102" s="221" t="s">
        <v>294</v>
      </c>
      <c r="H102" s="221" t="s">
        <v>295</v>
      </c>
      <c r="I102" s="226">
        <v>0.21</v>
      </c>
      <c r="J102" s="226">
        <f>J80</f>
        <v>0</v>
      </c>
      <c r="K102" s="224">
        <f>K99*I102*J102</f>
        <v>0</v>
      </c>
      <c r="M102" s="221" t="s">
        <v>294</v>
      </c>
      <c r="N102" s="221" t="s">
        <v>295</v>
      </c>
      <c r="O102" s="226">
        <v>0.21</v>
      </c>
      <c r="P102" s="226">
        <f>P80</f>
        <v>0</v>
      </c>
      <c r="Q102" s="224">
        <f>Q99*O102*P102</f>
        <v>0</v>
      </c>
    </row>
    <row r="103" spans="1:17" ht="14.4" outlineLevel="1" thickBot="1" x14ac:dyDescent="0.35">
      <c r="A103" s="221" t="s">
        <v>64</v>
      </c>
      <c r="B103" s="50" t="s">
        <v>281</v>
      </c>
      <c r="C103" s="225">
        <v>0.21</v>
      </c>
      <c r="D103" s="227"/>
      <c r="E103" s="228">
        <f>E100*C103</f>
        <v>0</v>
      </c>
      <c r="F103" s="246"/>
      <c r="G103" s="221" t="s">
        <v>64</v>
      </c>
      <c r="H103" s="50" t="s">
        <v>281</v>
      </c>
      <c r="I103" s="225">
        <v>0.21</v>
      </c>
      <c r="J103" s="227"/>
      <c r="K103" s="228">
        <f>K100*I103</f>
        <v>0</v>
      </c>
      <c r="M103" s="221" t="s">
        <v>64</v>
      </c>
      <c r="N103" s="50" t="s">
        <v>281</v>
      </c>
      <c r="O103" s="225">
        <v>0.21</v>
      </c>
      <c r="P103" s="227"/>
      <c r="Q103" s="228">
        <f>Q100*O103</f>
        <v>0</v>
      </c>
    </row>
    <row r="104" spans="1:17" ht="14.4" outlineLevel="1" thickTop="1" x14ac:dyDescent="0.3">
      <c r="A104" s="229" t="s">
        <v>282</v>
      </c>
      <c r="B104" s="230"/>
      <c r="C104" s="231"/>
      <c r="D104" s="232"/>
      <c r="E104" s="233">
        <f>SUM(E99:E103)</f>
        <v>0</v>
      </c>
      <c r="F104" s="246"/>
      <c r="G104" s="229" t="s">
        <v>282</v>
      </c>
      <c r="H104" s="230"/>
      <c r="I104" s="231"/>
      <c r="J104" s="232"/>
      <c r="K104" s="233">
        <f>SUM(K99:K103)</f>
        <v>0</v>
      </c>
      <c r="M104" s="229" t="s">
        <v>282</v>
      </c>
      <c r="N104" s="230"/>
      <c r="O104" s="231"/>
      <c r="P104" s="232"/>
      <c r="Q104" s="233">
        <f>SUM(Q99:Q103)</f>
        <v>0</v>
      </c>
    </row>
    <row r="105" spans="1:17" outlineLevel="1" x14ac:dyDescent="0.3">
      <c r="A105" s="243" t="s">
        <v>197</v>
      </c>
      <c r="B105" s="243"/>
      <c r="C105" s="243"/>
      <c r="D105" s="243"/>
      <c r="E105" s="497">
        <f>E104+E96</f>
        <v>0</v>
      </c>
      <c r="F105" s="246"/>
      <c r="G105" s="243"/>
      <c r="H105" s="243"/>
      <c r="I105" s="243"/>
      <c r="J105" s="243"/>
      <c r="K105" s="497">
        <f>K104+K96</f>
        <v>0</v>
      </c>
      <c r="M105" s="243"/>
      <c r="N105" s="243"/>
      <c r="O105" s="243"/>
      <c r="P105" s="243"/>
      <c r="Q105" s="497">
        <f>Q104+Q96</f>
        <v>0</v>
      </c>
    </row>
    <row r="106" spans="1:17" ht="14.4" outlineLevel="1" thickBot="1" x14ac:dyDescent="0.35"/>
    <row r="107" spans="1:17" ht="15" hidden="1" outlineLevel="2" thickBot="1" x14ac:dyDescent="0.35">
      <c r="A107" s="376" t="s">
        <v>283</v>
      </c>
      <c r="B107" s="140"/>
      <c r="C107" s="140"/>
      <c r="D107" s="141"/>
      <c r="E107" s="141"/>
      <c r="F107"/>
      <c r="G107" s="376" t="s">
        <v>283</v>
      </c>
      <c r="H107" s="140"/>
      <c r="I107" s="140"/>
      <c r="J107" s="141"/>
      <c r="K107" s="141"/>
      <c r="L107"/>
      <c r="M107" s="376" t="s">
        <v>283</v>
      </c>
      <c r="N107" s="140"/>
      <c r="O107" s="140"/>
      <c r="P107" s="141"/>
      <c r="Q107" s="141"/>
    </row>
    <row r="108" spans="1:17" ht="15" hidden="1" outlineLevel="2" thickBot="1" x14ac:dyDescent="0.35">
      <c r="A108" s="372" t="s">
        <v>274</v>
      </c>
      <c r="B108" s="370" t="s">
        <v>275</v>
      </c>
      <c r="C108" s="370" t="s">
        <v>276</v>
      </c>
      <c r="D108" s="369"/>
      <c r="E108" s="370" t="s">
        <v>277</v>
      </c>
      <c r="F108"/>
      <c r="G108" s="372" t="s">
        <v>274</v>
      </c>
      <c r="H108" s="370" t="s">
        <v>275</v>
      </c>
      <c r="I108" s="370" t="s">
        <v>276</v>
      </c>
      <c r="J108" s="369"/>
      <c r="K108" s="370" t="s">
        <v>277</v>
      </c>
      <c r="L108"/>
      <c r="M108" s="372" t="s">
        <v>274</v>
      </c>
      <c r="N108" s="370" t="s">
        <v>275</v>
      </c>
      <c r="O108" s="370" t="s">
        <v>276</v>
      </c>
      <c r="P108" s="369"/>
      <c r="Q108" s="370" t="s">
        <v>277</v>
      </c>
    </row>
    <row r="109" spans="1:17" ht="15" hidden="1" outlineLevel="2" thickBot="1" x14ac:dyDescent="0.35">
      <c r="A109" s="1001">
        <f>MIN($A$4,'Bouwkost NB'!$E$91)</f>
        <v>0</v>
      </c>
      <c r="B109" s="904">
        <f>IF(B88=Bron!$E$40,55,0)</f>
        <v>0</v>
      </c>
      <c r="C109" s="370">
        <f>C91</f>
        <v>2.3958200000000001</v>
      </c>
      <c r="D109" s="369"/>
      <c r="E109" s="982">
        <f>ROUND(A109*B109*C109,2)</f>
        <v>0</v>
      </c>
      <c r="F109"/>
      <c r="G109" s="1002">
        <f>MIN($G$4,'Bouwkost NB'!$N$91)</f>
        <v>0</v>
      </c>
      <c r="H109" s="904">
        <f>IF(H88=Bron!$E$40,55,0)</f>
        <v>0</v>
      </c>
      <c r="I109" s="370">
        <f>I91</f>
        <v>2.3958200000000001</v>
      </c>
      <c r="J109" s="369"/>
      <c r="K109" s="982">
        <f>ROUND(G109*H109*I109,2)</f>
        <v>0</v>
      </c>
      <c r="L109"/>
      <c r="M109" s="1002">
        <f>MIN($M$4,'Bouwkost NB'!$Y$91)</f>
        <v>0</v>
      </c>
      <c r="N109" s="904">
        <f>IF(N88=Bron!$E$40,55,0)</f>
        <v>0</v>
      </c>
      <c r="O109" s="370">
        <f>O91</f>
        <v>2.3958200000000001</v>
      </c>
      <c r="P109" s="369"/>
      <c r="Q109" s="982">
        <f>ROUND(M109*N109*O109,2)</f>
        <v>0</v>
      </c>
    </row>
    <row r="110" spans="1:17" ht="15" hidden="1" outlineLevel="2" thickBot="1" x14ac:dyDescent="0.35">
      <c r="A110" s="368" t="s">
        <v>285</v>
      </c>
      <c r="B110" s="63">
        <f>'Bouwkost NB'!$E$52</f>
        <v>0</v>
      </c>
      <c r="C110" s="66">
        <v>0.6</v>
      </c>
      <c r="D110" s="369"/>
      <c r="E110" s="982">
        <f>B110*C110</f>
        <v>0</v>
      </c>
      <c r="F110"/>
      <c r="G110" s="65" t="s">
        <v>285</v>
      </c>
      <c r="H110" s="63">
        <f>'Bouwkost NB'!$N$52</f>
        <v>0</v>
      </c>
      <c r="I110" s="66">
        <v>0.6</v>
      </c>
      <c r="J110" s="369"/>
      <c r="K110" s="982">
        <f>H110*I110</f>
        <v>0</v>
      </c>
      <c r="L110"/>
      <c r="M110" s="65" t="s">
        <v>285</v>
      </c>
      <c r="N110" s="63">
        <f>'Bouwkost NB'!$Y$52</f>
        <v>0</v>
      </c>
      <c r="O110" s="66">
        <v>0.6</v>
      </c>
      <c r="P110" s="369"/>
      <c r="Q110" s="982">
        <f>N110*O110</f>
        <v>0</v>
      </c>
    </row>
    <row r="111" spans="1:17" ht="15" hidden="1" outlineLevel="2" thickBot="1" x14ac:dyDescent="0.35">
      <c r="A111" s="65" t="s">
        <v>286</v>
      </c>
      <c r="B111" s="63">
        <f>'Bouwkost NB'!$C$58</f>
        <v>0</v>
      </c>
      <c r="C111" s="66">
        <v>0.6</v>
      </c>
      <c r="D111" s="369"/>
      <c r="E111" s="982">
        <f>B111*C111</f>
        <v>0</v>
      </c>
      <c r="F111"/>
      <c r="G111" s="65" t="s">
        <v>286</v>
      </c>
      <c r="H111" s="63">
        <f>'Bouwkost NB'!$N$58</f>
        <v>0</v>
      </c>
      <c r="I111" s="66">
        <v>0.6</v>
      </c>
      <c r="J111" s="369"/>
      <c r="K111" s="982">
        <f>H111*I111</f>
        <v>0</v>
      </c>
      <c r="L111"/>
      <c r="M111" s="65" t="s">
        <v>286</v>
      </c>
      <c r="N111" s="63">
        <f>'Bouwkost NB'!$Y$58</f>
        <v>0</v>
      </c>
      <c r="O111" s="66">
        <v>0.6</v>
      </c>
      <c r="P111" s="369"/>
      <c r="Q111" s="982">
        <f>N111*O111</f>
        <v>0</v>
      </c>
    </row>
    <row r="112" spans="1:17" ht="15" hidden="1" outlineLevel="2" thickBot="1" x14ac:dyDescent="0.35">
      <c r="A112" s="1220" t="s">
        <v>287</v>
      </c>
      <c r="B112" s="1221"/>
      <c r="C112" s="133"/>
      <c r="E112" s="96">
        <f>MIN(E109,(E110+E111))</f>
        <v>0</v>
      </c>
      <c r="F112"/>
      <c r="G112" s="1220" t="s">
        <v>287</v>
      </c>
      <c r="H112" s="1221"/>
      <c r="I112" s="133"/>
      <c r="K112" s="96">
        <f>MIN(K109,(K110+K111))</f>
        <v>0</v>
      </c>
      <c r="L112"/>
      <c r="M112" s="1220" t="s">
        <v>287</v>
      </c>
      <c r="N112" s="1221"/>
      <c r="O112" s="133"/>
      <c r="Q112" s="96">
        <f>MIN(Q109,(Q110+Q111))</f>
        <v>0</v>
      </c>
    </row>
    <row r="113" spans="1:17" ht="14.4" hidden="1" outlineLevel="2" thickBot="1" x14ac:dyDescent="0.35">
      <c r="A113" s="213" t="s">
        <v>279</v>
      </c>
      <c r="B113" s="221"/>
      <c r="C113" s="225">
        <v>0.1</v>
      </c>
      <c r="D113" s="225"/>
      <c r="E113" s="224">
        <f>ROUND(E112*C113,2)</f>
        <v>0</v>
      </c>
      <c r="F113" s="246"/>
      <c r="G113" s="213" t="s">
        <v>279</v>
      </c>
      <c r="H113" s="221"/>
      <c r="I113" s="225">
        <v>0.1</v>
      </c>
      <c r="J113" s="225"/>
      <c r="K113" s="224">
        <f>ROUND(K112*I113,2)</f>
        <v>0</v>
      </c>
      <c r="M113" s="213" t="s">
        <v>279</v>
      </c>
      <c r="N113" s="221"/>
      <c r="O113" s="225">
        <v>0.1</v>
      </c>
      <c r="P113" s="225"/>
      <c r="Q113" s="224">
        <f>ROUND(Q112*O113,2)</f>
        <v>0</v>
      </c>
    </row>
    <row r="114" spans="1:17" hidden="1" outlineLevel="2" x14ac:dyDescent="0.3">
      <c r="A114" s="221" t="s">
        <v>64</v>
      </c>
      <c r="B114" s="221" t="s">
        <v>293</v>
      </c>
      <c r="C114" s="226">
        <f>'Overzicht BTA'!E119</f>
        <v>0</v>
      </c>
      <c r="D114" s="225">
        <f>D106</f>
        <v>0</v>
      </c>
      <c r="E114" s="224">
        <f>ROUND(E112*C114*D114,2)</f>
        <v>0</v>
      </c>
      <c r="F114" s="246"/>
      <c r="G114" s="221" t="s">
        <v>64</v>
      </c>
      <c r="H114" s="221" t="s">
        <v>293</v>
      </c>
      <c r="I114" s="226">
        <f>'Overzicht BTA'!K119</f>
        <v>0</v>
      </c>
      <c r="J114" s="225">
        <f>J106</f>
        <v>0</v>
      </c>
      <c r="K114" s="224">
        <f>ROUND(K112*I114*J114,2)</f>
        <v>0</v>
      </c>
      <c r="M114" s="221" t="s">
        <v>64</v>
      </c>
      <c r="N114" s="221" t="s">
        <v>293</v>
      </c>
      <c r="O114" s="226">
        <f>'Overzicht BTA'!Q119</f>
        <v>0</v>
      </c>
      <c r="P114" s="225">
        <f>P106</f>
        <v>0</v>
      </c>
      <c r="Q114" s="224">
        <f>ROUND(Q112*O114*P114,2)</f>
        <v>0</v>
      </c>
    </row>
    <row r="115" spans="1:17" hidden="1" outlineLevel="2" x14ac:dyDescent="0.3">
      <c r="A115" s="221" t="s">
        <v>294</v>
      </c>
      <c r="B115" s="221" t="s">
        <v>295</v>
      </c>
      <c r="C115" s="226">
        <v>0.21</v>
      </c>
      <c r="D115" s="225">
        <f>D107</f>
        <v>0</v>
      </c>
      <c r="E115" s="224">
        <f>ROUND(E112*C115*D115,2)</f>
        <v>0</v>
      </c>
      <c r="F115" s="246"/>
      <c r="G115" s="221" t="s">
        <v>294</v>
      </c>
      <c r="H115" s="221" t="s">
        <v>295</v>
      </c>
      <c r="I115" s="226">
        <v>0.21</v>
      </c>
      <c r="J115" s="225">
        <f>J107</f>
        <v>0</v>
      </c>
      <c r="K115" s="224">
        <f>ROUND(K112*I115*J115,2)</f>
        <v>0</v>
      </c>
      <c r="M115" s="221" t="s">
        <v>294</v>
      </c>
      <c r="N115" s="221" t="s">
        <v>295</v>
      </c>
      <c r="O115" s="226">
        <v>0.21</v>
      </c>
      <c r="P115" s="225">
        <f>P107</f>
        <v>0</v>
      </c>
      <c r="Q115" s="224">
        <f>ROUND(Q112*O115*P115,2)</f>
        <v>0</v>
      </c>
    </row>
    <row r="116" spans="1:17" ht="14.4" hidden="1" outlineLevel="2" thickBot="1" x14ac:dyDescent="0.35">
      <c r="A116" s="221" t="s">
        <v>64</v>
      </c>
      <c r="B116" s="50" t="s">
        <v>281</v>
      </c>
      <c r="C116" s="225">
        <v>0.21</v>
      </c>
      <c r="D116" s="227"/>
      <c r="E116" s="228">
        <f>ROUND(E113*C116,2)</f>
        <v>0</v>
      </c>
      <c r="F116" s="246"/>
      <c r="G116" s="221" t="s">
        <v>64</v>
      </c>
      <c r="H116" s="50" t="s">
        <v>281</v>
      </c>
      <c r="I116" s="225">
        <v>0.21</v>
      </c>
      <c r="J116" s="227"/>
      <c r="K116" s="228">
        <f>ROUND(K113*I116,2)</f>
        <v>0</v>
      </c>
      <c r="M116" s="221" t="s">
        <v>64</v>
      </c>
      <c r="N116" s="50" t="s">
        <v>281</v>
      </c>
      <c r="O116" s="225">
        <v>0.21</v>
      </c>
      <c r="P116" s="227"/>
      <c r="Q116" s="228">
        <f>ROUND(Q113*O116,2)</f>
        <v>0</v>
      </c>
    </row>
    <row r="117" spans="1:17" ht="14.4" hidden="1" outlineLevel="2" thickTop="1" x14ac:dyDescent="0.3">
      <c r="A117" s="229" t="s">
        <v>282</v>
      </c>
      <c r="B117" s="230"/>
      <c r="C117" s="231"/>
      <c r="D117" s="232"/>
      <c r="E117" s="233">
        <f>SUM(E112:E116)</f>
        <v>0</v>
      </c>
      <c r="F117" s="246"/>
      <c r="G117" s="229" t="s">
        <v>282</v>
      </c>
      <c r="H117" s="230"/>
      <c r="I117" s="231"/>
      <c r="J117" s="232"/>
      <c r="K117" s="233">
        <f>SUM(K112:K116)</f>
        <v>0</v>
      </c>
      <c r="M117" s="229" t="s">
        <v>282</v>
      </c>
      <c r="N117" s="230"/>
      <c r="O117" s="231"/>
      <c r="P117" s="232"/>
      <c r="Q117" s="233">
        <f>SUM(Q112:Q116)</f>
        <v>0</v>
      </c>
    </row>
    <row r="118" spans="1:17" customFormat="1" ht="15" hidden="1" outlineLevel="2" thickBot="1" x14ac:dyDescent="0.35">
      <c r="A118" s="981"/>
      <c r="B118" s="981"/>
      <c r="C118" s="851"/>
      <c r="D118" s="18"/>
      <c r="E118" s="852"/>
      <c r="G118" s="981"/>
      <c r="H118" s="981"/>
      <c r="I118" s="851"/>
      <c r="J118" s="18"/>
      <c r="K118" s="852"/>
      <c r="M118" s="981"/>
      <c r="N118" s="981"/>
      <c r="O118" s="851"/>
      <c r="P118" s="18"/>
      <c r="Q118" s="852"/>
    </row>
    <row r="119" spans="1:17" ht="15" outlineLevel="1" collapsed="1" thickBot="1" x14ac:dyDescent="0.35">
      <c r="A119" s="5" t="s">
        <v>297</v>
      </c>
      <c r="B119" s="6"/>
      <c r="C119" s="7"/>
      <c r="E119" s="1">
        <f>E117+E104+E96</f>
        <v>0</v>
      </c>
      <c r="F119"/>
      <c r="G119" s="5" t="s">
        <v>282</v>
      </c>
      <c r="H119" s="6"/>
      <c r="I119" s="7"/>
      <c r="K119" s="1">
        <f>K117+K104+K96</f>
        <v>0</v>
      </c>
      <c r="L119"/>
      <c r="M119" s="5" t="s">
        <v>282</v>
      </c>
      <c r="N119" s="6"/>
      <c r="O119" s="7"/>
      <c r="Q119" s="1">
        <f>Q117+Q104+Q96</f>
        <v>0</v>
      </c>
    </row>
    <row r="120" spans="1:17" ht="14.4" outlineLevel="1" thickBot="1" x14ac:dyDescent="0.35">
      <c r="C120" s="851"/>
      <c r="D120" s="852"/>
      <c r="E120" s="51"/>
      <c r="I120" s="851"/>
      <c r="J120" s="852"/>
      <c r="K120" s="51"/>
      <c r="O120" s="851"/>
      <c r="P120" s="852"/>
      <c r="Q120" s="51"/>
    </row>
    <row r="121" spans="1:17" ht="14.4" outlineLevel="1" thickBot="1" x14ac:dyDescent="0.35">
      <c r="A121" s="1226" t="s">
        <v>298</v>
      </c>
      <c r="B121" s="1227"/>
      <c r="C121" s="234">
        <f>E91+E99+E112</f>
        <v>0</v>
      </c>
      <c r="D121" s="235" t="s">
        <v>289</v>
      </c>
      <c r="E121" s="494">
        <f>ROUND(C121*10/6,2)</f>
        <v>0</v>
      </c>
      <c r="G121" s="1226" t="s">
        <v>298</v>
      </c>
      <c r="H121" s="1227"/>
      <c r="I121" s="234">
        <f>K91+K99+K112</f>
        <v>0</v>
      </c>
      <c r="J121" s="235" t="s">
        <v>289</v>
      </c>
      <c r="K121" s="494">
        <f>ROUND(I121*10/6,2)</f>
        <v>0</v>
      </c>
      <c r="M121" s="1226" t="s">
        <v>298</v>
      </c>
      <c r="N121" s="1227"/>
      <c r="O121" s="234">
        <f>Q91+Q99+Q112</f>
        <v>0</v>
      </c>
      <c r="P121" s="235" t="s">
        <v>289</v>
      </c>
      <c r="Q121" s="494">
        <f>ROUND(O121*10/6,2)</f>
        <v>0</v>
      </c>
    </row>
  </sheetData>
  <mergeCells count="23">
    <mergeCell ref="A68:B68"/>
    <mergeCell ref="G68:H68"/>
    <mergeCell ref="M68:N68"/>
    <mergeCell ref="A43:Q43"/>
    <mergeCell ref="A87:Q87"/>
    <mergeCell ref="H1:J1"/>
    <mergeCell ref="A33:B33"/>
    <mergeCell ref="G33:H33"/>
    <mergeCell ref="M33:N33"/>
    <mergeCell ref="H44:J44"/>
    <mergeCell ref="A24:B24"/>
    <mergeCell ref="G24:H24"/>
    <mergeCell ref="M24:N24"/>
    <mergeCell ref="H88:J88"/>
    <mergeCell ref="A121:B121"/>
    <mergeCell ref="G121:H121"/>
    <mergeCell ref="M121:N121"/>
    <mergeCell ref="A77:B77"/>
    <mergeCell ref="G77:H77"/>
    <mergeCell ref="M77:N77"/>
    <mergeCell ref="A112:B112"/>
    <mergeCell ref="G112:H112"/>
    <mergeCell ref="M112:N112"/>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5"/>
  <dimension ref="A1:W126"/>
  <sheetViews>
    <sheetView zoomScale="80" zoomScaleNormal="80" workbookViewId="0">
      <selection activeCell="A2" sqref="A2:E19"/>
    </sheetView>
  </sheetViews>
  <sheetFormatPr defaultRowHeight="14.4" outlineLevelRow="2" outlineLevelCol="1" x14ac:dyDescent="0.3"/>
  <cols>
    <col min="1" max="1" width="21.109375" bestFit="1" customWidth="1"/>
    <col min="2" max="2" width="15.6640625" customWidth="1"/>
    <col min="3" max="3" width="14.6640625" bestFit="1" customWidth="1"/>
    <col min="4" max="4" width="4.6640625" bestFit="1" customWidth="1"/>
    <col min="5" max="5" width="14.88671875" customWidth="1"/>
    <col min="6" max="6" width="2.6640625" customWidth="1"/>
    <col min="7" max="7" width="21.6640625" style="18" hidden="1" customWidth="1" outlineLevel="1"/>
    <col min="8" max="8" width="15.6640625" style="18" hidden="1" customWidth="1" outlineLevel="1"/>
    <col min="9" max="9" width="7.44140625" style="18" hidden="1" customWidth="1" outlineLevel="1"/>
    <col min="10" max="10" width="4.6640625" style="18" hidden="1" customWidth="1" outlineLevel="1"/>
    <col min="11" max="11" width="14.88671875" style="18" hidden="1" customWidth="1" outlineLevel="1"/>
    <col min="12" max="12" width="3" customWidth="1" collapsed="1"/>
    <col min="13" max="13" width="21.5546875" style="18" hidden="1" customWidth="1" outlineLevel="1"/>
    <col min="14" max="14" width="15.6640625" style="18" hidden="1" customWidth="1" outlineLevel="1"/>
    <col min="15" max="15" width="14.6640625" style="18" hidden="1" customWidth="1" outlineLevel="1"/>
    <col min="16" max="16" width="5.33203125" style="18" hidden="1" customWidth="1" outlineLevel="1"/>
    <col min="17" max="17" width="14.88671875" style="18" hidden="1" customWidth="1" outlineLevel="1"/>
    <col min="18" max="18" width="8.88671875" collapsed="1"/>
  </cols>
  <sheetData>
    <row r="1" spans="1:17" s="106" customFormat="1" x14ac:dyDescent="0.3">
      <c r="A1" s="106" t="s">
        <v>23</v>
      </c>
      <c r="B1" s="106" t="str">
        <f>'Overzicht BTA'!$C$3</f>
        <v>Kies de zorgvorm</v>
      </c>
      <c r="G1" s="54" t="s">
        <v>23</v>
      </c>
      <c r="H1" s="54" t="str">
        <f>'Overzicht BTA'!$H$3</f>
        <v>Kies de zorgvorm</v>
      </c>
      <c r="I1" s="54"/>
      <c r="J1" s="54"/>
      <c r="K1" s="54"/>
      <c r="M1" s="54" t="s">
        <v>23</v>
      </c>
      <c r="N1" s="54" t="str">
        <f>'Overzicht BTA'!$N$3</f>
        <v>Kies de zorgvorm</v>
      </c>
      <c r="O1" s="54"/>
      <c r="P1" s="54"/>
      <c r="Q1" s="54"/>
    </row>
    <row r="2" spans="1:17" x14ac:dyDescent="0.3">
      <c r="A2" s="134" t="s">
        <v>72</v>
      </c>
      <c r="B2" s="135"/>
      <c r="C2" s="135"/>
      <c r="D2" s="135"/>
      <c r="E2" s="136"/>
      <c r="G2" s="134" t="s">
        <v>72</v>
      </c>
      <c r="H2" s="135"/>
      <c r="I2" s="135"/>
      <c r="J2" s="135"/>
      <c r="K2" s="136"/>
      <c r="M2" s="134" t="s">
        <v>72</v>
      </c>
      <c r="N2" s="135"/>
      <c r="O2" s="135"/>
      <c r="P2" s="135"/>
      <c r="Q2" s="136"/>
    </row>
    <row r="3" spans="1:17" ht="15" customHeight="1" x14ac:dyDescent="0.3">
      <c r="A3" s="1235" t="s">
        <v>300</v>
      </c>
      <c r="B3" s="1236"/>
      <c r="C3" s="111"/>
      <c r="D3" s="111"/>
      <c r="E3" s="111"/>
      <c r="G3" s="1235" t="s">
        <v>300</v>
      </c>
      <c r="H3" s="1236"/>
      <c r="I3" s="111"/>
      <c r="J3" s="111"/>
      <c r="K3" s="111"/>
      <c r="M3" s="1235" t="s">
        <v>300</v>
      </c>
      <c r="N3" s="1236"/>
      <c r="O3" s="111"/>
      <c r="P3" s="111"/>
      <c r="Q3" s="111"/>
    </row>
    <row r="4" spans="1:17" x14ac:dyDescent="0.3">
      <c r="A4" s="369" t="s">
        <v>301</v>
      </c>
      <c r="B4" s="369" t="s">
        <v>275</v>
      </c>
      <c r="C4" s="369" t="s">
        <v>276</v>
      </c>
      <c r="D4" s="369"/>
      <c r="E4" s="369" t="s">
        <v>277</v>
      </c>
      <c r="F4" s="23"/>
      <c r="G4" s="369" t="s">
        <v>301</v>
      </c>
      <c r="H4" s="32" t="s">
        <v>275</v>
      </c>
      <c r="I4" s="32" t="s">
        <v>276</v>
      </c>
      <c r="J4" s="33"/>
      <c r="K4" s="32" t="s">
        <v>277</v>
      </c>
      <c r="M4" s="369" t="s">
        <v>301</v>
      </c>
      <c r="N4" s="32" t="s">
        <v>275</v>
      </c>
      <c r="O4" s="32" t="s">
        <v>276</v>
      </c>
      <c r="P4" s="33"/>
      <c r="Q4" s="32" t="s">
        <v>277</v>
      </c>
    </row>
    <row r="5" spans="1:17" ht="15" thickBot="1" x14ac:dyDescent="0.35">
      <c r="A5" s="368">
        <f>IFERROR(IF(AND('Overzicht BTA'!D17=0,'Overzicht BTA'!D16=0),IF(MATCH(Bron!$B$10,'Overzicht BTA'!B$7:B$10,0)=1,'Overzicht BTA'!D7,IF(MATCH(Bron!$B$10,'Overzicht BTA'!B$7:B$10,0)=2,'Overzicht BTA'!D8,IF(MATCH(Bron!$B$10,'Overzicht BTA'!B$7:B$10,0)=3,'Overzicht BTA'!D9,IF(MATCH(Bron!$B$10,'Overzicht BTA'!B$7:B$10,0)=4,'Overzicht BTA'!D10,0)))),0),0)</f>
        <v>0</v>
      </c>
      <c r="B5" s="907">
        <f>VLOOKUP(B1,'Capaciteiten &amp; forfaits'!$B$3:$H$76,6,FALSE)</f>
        <v>0</v>
      </c>
      <c r="C5" s="370">
        <f>'Overzicht BTA'!$D$36</f>
        <v>2.3958200000000001</v>
      </c>
      <c r="D5" s="219" t="s">
        <v>19</v>
      </c>
      <c r="E5" s="220">
        <f>ROUND(A5*B5*C5,2)</f>
        <v>0</v>
      </c>
      <c r="F5" s="25"/>
      <c r="G5" s="368">
        <f>IFERROR(IF('Overzicht BTA'!J17=0,IF(MATCH(Bron!$B$10,'Overzicht BTA'!H$7:H$10,0)=1,'Overzicht BTA'!J7,IF(MATCH(Bron!$B$10,'Overzicht BTA'!H$7:H$10,0)=2,'Overzicht BTA'!J8,IF(MATCH(Bron!$B$10,'Overzicht BTA'!H$7:H$10,0)=3,'Overzicht BTA'!J9,IF(MATCH(Bron!$B$10,'Overzicht BTA'!H$7:H$10,0)=4,'Overzicht BTA'!J10,0)))),0),0)</f>
        <v>0</v>
      </c>
      <c r="H5" s="907">
        <f>VLOOKUP(H1,'Capaciteiten &amp; forfaits'!$B$3:$H$76,6,FALSE)</f>
        <v>0</v>
      </c>
      <c r="I5" s="71">
        <f>'Overzicht BTA'!$D$36</f>
        <v>2.3958200000000001</v>
      </c>
      <c r="J5" s="241" t="s">
        <v>19</v>
      </c>
      <c r="K5" s="220">
        <f>ROUND(G5*H5*I5,2)</f>
        <v>0</v>
      </c>
      <c r="M5" s="368">
        <f>IFERROR(IF('Overzicht BTA'!P17=0,IF(MATCH(Bron!$B$10,'Overzicht BTA'!N$7:N$10,0)=1,'Overzicht BTA'!P7,IF(MATCH(Bron!$B$10,'Overzicht BTA'!N$7:N$10,0)=2,'Overzicht BTA'!P8,IF(MATCH(Bron!$B$10,'Overzicht BTA'!N$7:N$10,0)=3,'Overzicht BTA'!P9,IF(MATCH(Bron!$B$10,'Overzicht BTA'!N$7:N$10,0)=4,'Overzicht BTA'!P10,0)))),0),0)</f>
        <v>0</v>
      </c>
      <c r="N5" s="907">
        <f>VLOOKUP(N1,'Capaciteiten &amp; forfaits'!$B$3:$H$76,6,FALSE)</f>
        <v>0</v>
      </c>
      <c r="O5" s="71">
        <f>'Overzicht BTA'!$D$36</f>
        <v>2.3958200000000001</v>
      </c>
      <c r="P5" s="241" t="s">
        <v>19</v>
      </c>
      <c r="Q5" s="220">
        <f>ROUND(M5*N5*O5,2)</f>
        <v>0</v>
      </c>
    </row>
    <row r="6" spans="1:17" ht="15" customHeight="1" thickBot="1" x14ac:dyDescent="0.35">
      <c r="A6" s="213" t="s">
        <v>302</v>
      </c>
      <c r="B6" s="8"/>
      <c r="C6" s="9">
        <v>0.1</v>
      </c>
      <c r="D6" s="9"/>
      <c r="E6" s="24">
        <f>ROUND(E5*C6,2)</f>
        <v>0</v>
      </c>
      <c r="F6" s="25"/>
      <c r="G6" s="221" t="s">
        <v>279</v>
      </c>
      <c r="H6" s="8"/>
      <c r="I6" s="9">
        <v>0.1</v>
      </c>
      <c r="J6" s="9"/>
      <c r="K6" s="24">
        <f>ROUND(K5*I6,2)</f>
        <v>0</v>
      </c>
      <c r="M6" s="221" t="s">
        <v>279</v>
      </c>
      <c r="N6" s="8"/>
      <c r="O6" s="9">
        <v>0.1</v>
      </c>
      <c r="P6" s="9"/>
      <c r="Q6" s="24">
        <f>ROUND(Q5*O6,2)</f>
        <v>0</v>
      </c>
    </row>
    <row r="7" spans="1:17" x14ac:dyDescent="0.3">
      <c r="A7" s="8" t="s">
        <v>64</v>
      </c>
      <c r="B7" s="8" t="s">
        <v>293</v>
      </c>
      <c r="C7" s="97">
        <f>'Overzicht BTA'!$C$15</f>
        <v>0</v>
      </c>
      <c r="D7" s="9"/>
      <c r="E7" s="24">
        <f>ROUND(E5*C7,2)</f>
        <v>0</v>
      </c>
      <c r="F7" s="25"/>
      <c r="G7" s="8" t="s">
        <v>64</v>
      </c>
      <c r="H7" s="8" t="s">
        <v>293</v>
      </c>
      <c r="I7" s="97">
        <f>'Overzicht BTA'!I15</f>
        <v>0</v>
      </c>
      <c r="J7" s="9"/>
      <c r="K7" s="24">
        <f>ROUND(K5*I7,2)</f>
        <v>0</v>
      </c>
      <c r="M7" s="8" t="s">
        <v>64</v>
      </c>
      <c r="N7" s="8" t="s">
        <v>293</v>
      </c>
      <c r="O7" s="97">
        <f>'Overzicht BTA'!O15</f>
        <v>0</v>
      </c>
      <c r="P7" s="9"/>
      <c r="Q7" s="24">
        <f>ROUND(Q5*O7,2)</f>
        <v>0</v>
      </c>
    </row>
    <row r="8" spans="1:17" ht="15" thickBot="1" x14ac:dyDescent="0.35">
      <c r="A8" s="8" t="s">
        <v>64</v>
      </c>
      <c r="B8" s="50" t="s">
        <v>281</v>
      </c>
      <c r="C8" s="9">
        <v>0.21</v>
      </c>
      <c r="D8" s="26"/>
      <c r="E8" s="27">
        <f>ROUND(E6*C8,2)</f>
        <v>0</v>
      </c>
      <c r="F8" s="25"/>
      <c r="G8" s="8" t="s">
        <v>64</v>
      </c>
      <c r="H8" s="50" t="s">
        <v>281</v>
      </c>
      <c r="I8" s="9">
        <v>0.21</v>
      </c>
      <c r="J8" s="26"/>
      <c r="K8" s="27">
        <f>ROUND(K6*I8,2)</f>
        <v>0</v>
      </c>
      <c r="M8" s="8" t="s">
        <v>64</v>
      </c>
      <c r="N8" s="50" t="s">
        <v>281</v>
      </c>
      <c r="O8" s="9">
        <v>0.21</v>
      </c>
      <c r="P8" s="26"/>
      <c r="Q8" s="27">
        <f>ROUND(Q6*O8,2)</f>
        <v>0</v>
      </c>
    </row>
    <row r="9" spans="1:17" ht="15" thickTop="1" x14ac:dyDescent="0.3">
      <c r="A9" s="28" t="s">
        <v>282</v>
      </c>
      <c r="B9" s="29"/>
      <c r="C9" s="30"/>
      <c r="D9" s="31"/>
      <c r="E9" s="95">
        <f>SUM(E5:E8)</f>
        <v>0</v>
      </c>
      <c r="F9" s="25"/>
      <c r="G9" s="28" t="s">
        <v>282</v>
      </c>
      <c r="H9" s="29"/>
      <c r="I9" s="30"/>
      <c r="J9" s="31"/>
      <c r="K9" s="95">
        <f>SUM(K5:K8)</f>
        <v>0</v>
      </c>
      <c r="M9" s="28" t="s">
        <v>282</v>
      </c>
      <c r="N9" s="29"/>
      <c r="O9" s="30"/>
      <c r="P9" s="31"/>
      <c r="Q9" s="95">
        <f>SUM(Q5:Q8)</f>
        <v>0</v>
      </c>
    </row>
    <row r="11" spans="1:17" ht="15" customHeight="1" x14ac:dyDescent="0.3">
      <c r="A11" s="1232" t="s">
        <v>303</v>
      </c>
      <c r="B11" s="1233"/>
      <c r="C11" s="153"/>
      <c r="D11" s="154"/>
      <c r="E11" s="153"/>
      <c r="G11" s="1232" t="s">
        <v>303</v>
      </c>
      <c r="H11" s="1233"/>
      <c r="I11" s="153"/>
      <c r="J11" s="154"/>
      <c r="K11" s="153"/>
      <c r="M11" s="1232" t="s">
        <v>303</v>
      </c>
      <c r="N11" s="1233"/>
      <c r="O11" s="153"/>
      <c r="P11" s="154"/>
      <c r="Q11" s="153"/>
    </row>
    <row r="12" spans="1:17" x14ac:dyDescent="0.3">
      <c r="A12" s="70" t="s">
        <v>304</v>
      </c>
      <c r="B12" s="32" t="s">
        <v>275</v>
      </c>
      <c r="C12" s="239" t="s">
        <v>276</v>
      </c>
      <c r="D12" s="33"/>
      <c r="E12" s="32" t="s">
        <v>277</v>
      </c>
      <c r="G12" s="70" t="s">
        <v>304</v>
      </c>
      <c r="H12" s="32" t="s">
        <v>275</v>
      </c>
      <c r="I12" s="32" t="s">
        <v>276</v>
      </c>
      <c r="J12" s="33"/>
      <c r="K12" s="32" t="s">
        <v>277</v>
      </c>
      <c r="M12" s="70" t="s">
        <v>304</v>
      </c>
      <c r="N12" s="32" t="s">
        <v>275</v>
      </c>
      <c r="O12" s="32" t="s">
        <v>276</v>
      </c>
      <c r="P12" s="33"/>
      <c r="Q12" s="32" t="s">
        <v>277</v>
      </c>
    </row>
    <row r="13" spans="1:17" x14ac:dyDescent="0.3">
      <c r="A13" s="367">
        <f>A5</f>
        <v>0</v>
      </c>
      <c r="B13" s="907">
        <f>VLOOKUP('Overzicht BTA'!$C$3,'Capaciteiten &amp; forfaits'!$B$3:$H$76,7,FALSE)</f>
        <v>0</v>
      </c>
      <c r="C13" s="240">
        <f>'Overzicht BTA'!$D$36</f>
        <v>2.3958200000000001</v>
      </c>
      <c r="D13" s="238"/>
      <c r="E13" s="73">
        <f>ROUND(A13*B13*C13,2)</f>
        <v>0</v>
      </c>
      <c r="G13" s="367">
        <f>G5</f>
        <v>0</v>
      </c>
      <c r="H13" s="907">
        <f>VLOOKUP('Overzicht BTA'!$C$3,'Capaciteiten &amp; forfaits'!$B$3:$H$76,7,FALSE)</f>
        <v>0</v>
      </c>
      <c r="I13" s="71">
        <f>'Overzicht BTA'!$D$36</f>
        <v>2.3958200000000001</v>
      </c>
      <c r="J13" s="72"/>
      <c r="K13" s="73">
        <f>ROUND(G13*H13*I13,2)</f>
        <v>0</v>
      </c>
      <c r="M13" s="367">
        <f>M5</f>
        <v>0</v>
      </c>
      <c r="N13" s="907">
        <f>VLOOKUP('Overzicht BTA'!$C$3,'Capaciteiten &amp; forfaits'!$B$3:$H$76,7,FALSE)</f>
        <v>0</v>
      </c>
      <c r="O13" s="71">
        <f>'Overzicht BTA'!$D$36</f>
        <v>2.3958200000000001</v>
      </c>
      <c r="P13" s="72"/>
      <c r="Q13" s="73">
        <f>ROUND(M13*N13*O13,2)</f>
        <v>0</v>
      </c>
    </row>
    <row r="14" spans="1:17" x14ac:dyDescent="0.3">
      <c r="A14" s="65" t="s">
        <v>305</v>
      </c>
      <c r="B14" s="63">
        <f>B41</f>
        <v>0</v>
      </c>
      <c r="C14" s="66">
        <v>0.6</v>
      </c>
      <c r="D14" s="67"/>
      <c r="E14" s="68">
        <f>ROUND(B14*C14,2)</f>
        <v>0</v>
      </c>
      <c r="G14" s="65" t="s">
        <v>305</v>
      </c>
      <c r="H14" s="63">
        <f>H41</f>
        <v>0</v>
      </c>
      <c r="I14" s="66">
        <v>0.6</v>
      </c>
      <c r="J14" s="67"/>
      <c r="K14" s="68">
        <f>ROUND(H14*I14,2)</f>
        <v>0</v>
      </c>
      <c r="M14" s="65" t="s">
        <v>305</v>
      </c>
      <c r="N14" s="63">
        <f>N41</f>
        <v>0</v>
      </c>
      <c r="O14" s="66">
        <v>0.6</v>
      </c>
      <c r="P14" s="67"/>
      <c r="Q14" s="68">
        <f>ROUND(N14*O14,2)</f>
        <v>0</v>
      </c>
    </row>
    <row r="15" spans="1:17" x14ac:dyDescent="0.3">
      <c r="A15" s="1220" t="s">
        <v>287</v>
      </c>
      <c r="B15" s="1221"/>
      <c r="C15" s="20"/>
      <c r="D15" s="133" t="s">
        <v>29</v>
      </c>
      <c r="E15" s="34">
        <f>MIN(E13,E14)</f>
        <v>0</v>
      </c>
      <c r="G15" s="1220" t="s">
        <v>287</v>
      </c>
      <c r="H15" s="1221"/>
      <c r="I15" s="20"/>
      <c r="J15" s="133" t="s">
        <v>29</v>
      </c>
      <c r="K15" s="34">
        <f>MIN(K13,K14)</f>
        <v>0</v>
      </c>
      <c r="M15" s="1220" t="s">
        <v>287</v>
      </c>
      <c r="N15" s="1221"/>
      <c r="O15" s="20"/>
      <c r="P15" s="133" t="s">
        <v>29</v>
      </c>
      <c r="Q15" s="34">
        <f>MIN(Q13,Q14)</f>
        <v>0</v>
      </c>
    </row>
    <row r="16" spans="1:17" x14ac:dyDescent="0.3">
      <c r="A16" s="22" t="s">
        <v>306</v>
      </c>
      <c r="B16" s="22"/>
      <c r="C16" s="35">
        <v>0.1</v>
      </c>
      <c r="D16" s="22"/>
      <c r="E16" s="34">
        <f>ROUND(E15*C16,2)</f>
        <v>0</v>
      </c>
      <c r="G16" s="22" t="s">
        <v>306</v>
      </c>
      <c r="H16" s="22"/>
      <c r="I16" s="35">
        <v>0.1</v>
      </c>
      <c r="J16" s="22"/>
      <c r="K16" s="34">
        <f>ROUND(K15*I16,2)</f>
        <v>0</v>
      </c>
      <c r="M16" s="22" t="s">
        <v>306</v>
      </c>
      <c r="N16" s="22"/>
      <c r="O16" s="35">
        <v>0.1</v>
      </c>
      <c r="P16" s="22"/>
      <c r="Q16" s="34">
        <f>ROUND(Q15*O16,2)</f>
        <v>0</v>
      </c>
    </row>
    <row r="17" spans="1:23" x14ac:dyDescent="0.3">
      <c r="A17" s="22" t="s">
        <v>64</v>
      </c>
      <c r="B17" s="22" t="s">
        <v>307</v>
      </c>
      <c r="C17" s="35">
        <v>0.21</v>
      </c>
      <c r="D17" s="22"/>
      <c r="E17" s="34">
        <f>ROUND(E15*C17,2)</f>
        <v>0</v>
      </c>
      <c r="G17" s="22" t="s">
        <v>64</v>
      </c>
      <c r="H17" s="22" t="s">
        <v>307</v>
      </c>
      <c r="I17" s="35">
        <v>0.21</v>
      </c>
      <c r="J17" s="22"/>
      <c r="K17" s="34">
        <f>ROUND(K15*I17,2)</f>
        <v>0</v>
      </c>
      <c r="M17" s="22" t="s">
        <v>64</v>
      </c>
      <c r="N17" s="22" t="s">
        <v>307</v>
      </c>
      <c r="O17" s="35">
        <v>0.21</v>
      </c>
      <c r="P17" s="22"/>
      <c r="Q17" s="34">
        <f>ROUND(Q15*O17,2)</f>
        <v>0</v>
      </c>
    </row>
    <row r="18" spans="1:23" ht="15" thickBot="1" x14ac:dyDescent="0.35">
      <c r="A18" s="36" t="s">
        <v>294</v>
      </c>
      <c r="B18" s="36" t="s">
        <v>308</v>
      </c>
      <c r="C18" s="37">
        <v>0.21</v>
      </c>
      <c r="D18" s="36"/>
      <c r="E18" s="38">
        <f>ROUND(E16*C18,2)</f>
        <v>0</v>
      </c>
      <c r="G18" s="36" t="s">
        <v>294</v>
      </c>
      <c r="H18" s="36" t="s">
        <v>308</v>
      </c>
      <c r="I18" s="37">
        <v>0.21</v>
      </c>
      <c r="J18" s="36"/>
      <c r="K18" s="38">
        <f>ROUND(K16*I18,2)</f>
        <v>0</v>
      </c>
      <c r="M18" s="36" t="s">
        <v>294</v>
      </c>
      <c r="N18" s="36" t="s">
        <v>308</v>
      </c>
      <c r="O18" s="37">
        <v>0.21</v>
      </c>
      <c r="P18" s="36"/>
      <c r="Q18" s="38">
        <f>ROUND(Q16*O18,2)</f>
        <v>0</v>
      </c>
    </row>
    <row r="19" spans="1:23" ht="15" thickTop="1" x14ac:dyDescent="0.3">
      <c r="A19" s="22" t="s">
        <v>282</v>
      </c>
      <c r="B19" s="22"/>
      <c r="C19" s="35"/>
      <c r="D19" s="22"/>
      <c r="E19" s="96">
        <f>SUM(E16:E18)+E15</f>
        <v>0</v>
      </c>
      <c r="G19" s="22" t="s">
        <v>282</v>
      </c>
      <c r="H19" s="22"/>
      <c r="I19" s="35"/>
      <c r="J19" s="22"/>
      <c r="K19" s="96">
        <f>SUM(K16:K18)+K15</f>
        <v>0</v>
      </c>
      <c r="M19" s="22" t="s">
        <v>282</v>
      </c>
      <c r="N19" s="22"/>
      <c r="O19" s="35"/>
      <c r="P19" s="22"/>
      <c r="Q19" s="96">
        <f>SUM(Q16:Q18)+Q15</f>
        <v>0</v>
      </c>
    </row>
    <row r="20" spans="1:23" ht="15" thickBot="1" x14ac:dyDescent="0.35">
      <c r="A20" s="18"/>
      <c r="B20" s="18"/>
      <c r="C20" s="39"/>
      <c r="D20" s="18"/>
      <c r="I20" s="39"/>
      <c r="K20"/>
      <c r="O20" s="39"/>
      <c r="Q20"/>
    </row>
    <row r="21" spans="1:23" ht="15" outlineLevel="1" thickBot="1" x14ac:dyDescent="0.35">
      <c r="A21" s="376" t="s">
        <v>283</v>
      </c>
      <c r="B21" s="1015"/>
      <c r="C21" s="1015"/>
      <c r="D21" s="1016"/>
      <c r="E21" s="1016"/>
      <c r="G21" s="376" t="s">
        <v>283</v>
      </c>
      <c r="H21" s="1015"/>
      <c r="I21" s="1015"/>
      <c r="J21" s="1016"/>
      <c r="K21" s="1016"/>
      <c r="M21" s="376" t="s">
        <v>283</v>
      </c>
      <c r="N21" s="1015"/>
      <c r="O21" s="1015"/>
      <c r="P21" s="1016"/>
      <c r="Q21" s="1016"/>
      <c r="S21" s="23"/>
      <c r="T21" s="23"/>
      <c r="U21" s="23"/>
      <c r="V21" s="496"/>
      <c r="W21" s="149"/>
    </row>
    <row r="22" spans="1:23" outlineLevel="1" x14ac:dyDescent="0.3">
      <c r="A22" s="240" t="s">
        <v>274</v>
      </c>
      <c r="B22" s="240" t="s">
        <v>275</v>
      </c>
      <c r="C22" s="240" t="s">
        <v>276</v>
      </c>
      <c r="D22" s="240"/>
      <c r="E22" s="240" t="s">
        <v>277</v>
      </c>
      <c r="F22" s="89"/>
      <c r="G22" s="240" t="s">
        <v>274</v>
      </c>
      <c r="H22" s="240" t="s">
        <v>275</v>
      </c>
      <c r="I22" s="240" t="s">
        <v>276</v>
      </c>
      <c r="J22" s="240"/>
      <c r="K22" s="240" t="s">
        <v>277</v>
      </c>
      <c r="L22" s="89"/>
      <c r="M22" s="240" t="s">
        <v>274</v>
      </c>
      <c r="N22" s="240" t="s">
        <v>275</v>
      </c>
      <c r="O22" s="240" t="s">
        <v>276</v>
      </c>
      <c r="P22" s="240"/>
      <c r="Q22" s="240" t="s">
        <v>277</v>
      </c>
      <c r="S22" s="23"/>
      <c r="T22" s="23"/>
      <c r="U22" s="23"/>
      <c r="V22" s="496"/>
      <c r="W22" s="149"/>
    </row>
    <row r="23" spans="1:23" outlineLevel="1" x14ac:dyDescent="0.3">
      <c r="A23" s="1017">
        <f>A5</f>
        <v>0</v>
      </c>
      <c r="B23" s="1018">
        <f>IF(B1=Bron!$E$40,55,0)</f>
        <v>0</v>
      </c>
      <c r="C23" s="240">
        <f>C5</f>
        <v>2.3958200000000001</v>
      </c>
      <c r="D23" s="240"/>
      <c r="E23" s="1019">
        <f>ROUND(A23*B23*C23,2)</f>
        <v>0</v>
      </c>
      <c r="F23" s="89"/>
      <c r="G23" s="1017">
        <f>G5</f>
        <v>0</v>
      </c>
      <c r="H23" s="1018">
        <f>IF(H1=Bron!$E$40,55,0)</f>
        <v>0</v>
      </c>
      <c r="I23" s="240">
        <f>I5</f>
        <v>2.3958200000000001</v>
      </c>
      <c r="J23" s="240"/>
      <c r="K23" s="1019">
        <f>ROUND(G23*H23*I23,2)</f>
        <v>0</v>
      </c>
      <c r="L23" s="89"/>
      <c r="M23" s="1017">
        <f>M5</f>
        <v>0</v>
      </c>
      <c r="N23" s="1018">
        <f>IF(N1=Bron!$E$40,55,0)</f>
        <v>0</v>
      </c>
      <c r="O23" s="240">
        <f>O5</f>
        <v>2.3958200000000001</v>
      </c>
      <c r="P23" s="240"/>
      <c r="Q23" s="1019">
        <f>ROUND(M23*N23*O23,2)</f>
        <v>0</v>
      </c>
      <c r="S23" s="23"/>
      <c r="T23" s="23"/>
      <c r="U23" s="23"/>
      <c r="V23" s="496"/>
      <c r="W23" s="149"/>
    </row>
    <row r="24" spans="1:23" outlineLevel="1" x14ac:dyDescent="0.3">
      <c r="A24" s="1020" t="s">
        <v>285</v>
      </c>
      <c r="B24" s="1019">
        <f>'Bouwkost UITB'!$C$51</f>
        <v>0</v>
      </c>
      <c r="C24" s="1021">
        <v>0.6</v>
      </c>
      <c r="D24" s="240"/>
      <c r="E24" s="1019">
        <f>B24*C24</f>
        <v>0</v>
      </c>
      <c r="F24" s="89"/>
      <c r="G24" s="1020" t="s">
        <v>285</v>
      </c>
      <c r="H24" s="1019">
        <f>'Bouwkost UITB'!$N$51</f>
        <v>0</v>
      </c>
      <c r="I24" s="1021">
        <v>0.6</v>
      </c>
      <c r="J24" s="240"/>
      <c r="K24" s="1019">
        <f>H24*I24</f>
        <v>0</v>
      </c>
      <c r="L24" s="89"/>
      <c r="M24" s="1020" t="s">
        <v>285</v>
      </c>
      <c r="N24" s="1019">
        <f>'Bouwkost UITB'!$Y$51</f>
        <v>0</v>
      </c>
      <c r="O24" s="1021">
        <v>0.6</v>
      </c>
      <c r="P24" s="240"/>
      <c r="Q24" s="1019">
        <f>N24*O24</f>
        <v>0</v>
      </c>
      <c r="S24" s="23"/>
      <c r="T24" s="23"/>
      <c r="U24" s="23"/>
      <c r="V24" s="496"/>
      <c r="W24" s="149"/>
    </row>
    <row r="25" spans="1:23" outlineLevel="1" x14ac:dyDescent="0.3">
      <c r="A25" s="32" t="s">
        <v>286</v>
      </c>
      <c r="B25" s="1019">
        <f>'Bouwkost UITB'!$C$57</f>
        <v>0</v>
      </c>
      <c r="C25" s="1021">
        <v>0.6</v>
      </c>
      <c r="D25" s="240"/>
      <c r="E25" s="1019">
        <f>B25*C25</f>
        <v>0</v>
      </c>
      <c r="F25" s="89"/>
      <c r="G25" s="32" t="s">
        <v>286</v>
      </c>
      <c r="H25" s="1019">
        <f>'Bouwkost UITB'!$N$57</f>
        <v>0</v>
      </c>
      <c r="I25" s="1021">
        <v>0.6</v>
      </c>
      <c r="J25" s="240"/>
      <c r="K25" s="1019">
        <f>H25*I25</f>
        <v>0</v>
      </c>
      <c r="L25" s="89"/>
      <c r="M25" s="32" t="s">
        <v>286</v>
      </c>
      <c r="N25" s="1019">
        <f>'Bouwkost UITB'!$Y$57</f>
        <v>0</v>
      </c>
      <c r="O25" s="1021">
        <v>0.6</v>
      </c>
      <c r="P25" s="240"/>
      <c r="Q25" s="1019">
        <f>N25*O25</f>
        <v>0</v>
      </c>
      <c r="S25" s="23"/>
      <c r="T25" s="23"/>
      <c r="U25" s="23"/>
      <c r="V25" s="496"/>
      <c r="W25" s="149"/>
    </row>
    <row r="26" spans="1:23" outlineLevel="1" x14ac:dyDescent="0.3">
      <c r="A26" s="1237" t="s">
        <v>287</v>
      </c>
      <c r="B26" s="1237"/>
      <c r="C26" s="1022"/>
      <c r="D26" s="1023" t="s">
        <v>32</v>
      </c>
      <c r="E26" s="1024">
        <f>MIN(E23,E24+E25)</f>
        <v>0</v>
      </c>
      <c r="F26" s="89"/>
      <c r="G26" s="1237" t="s">
        <v>287</v>
      </c>
      <c r="H26" s="1237"/>
      <c r="I26" s="1022"/>
      <c r="J26" s="1023" t="s">
        <v>32</v>
      </c>
      <c r="K26" s="1024">
        <f>MIN(K25:K25)</f>
        <v>0</v>
      </c>
      <c r="L26" s="89"/>
      <c r="M26" s="1237" t="s">
        <v>287</v>
      </c>
      <c r="N26" s="1237"/>
      <c r="O26" s="1022"/>
      <c r="P26" s="1023" t="s">
        <v>32</v>
      </c>
      <c r="Q26" s="1024">
        <f>MIN(Q25:Q25)</f>
        <v>0</v>
      </c>
    </row>
    <row r="27" spans="1:23" outlineLevel="1" x14ac:dyDescent="0.3">
      <c r="A27" s="22" t="s">
        <v>306</v>
      </c>
      <c r="B27" s="22"/>
      <c r="C27" s="35">
        <v>0.1</v>
      </c>
      <c r="D27" s="22"/>
      <c r="E27" s="34">
        <f>ROUND(E26*C27,2)</f>
        <v>0</v>
      </c>
      <c r="G27" s="22" t="s">
        <v>306</v>
      </c>
      <c r="H27" s="22"/>
      <c r="I27" s="35">
        <v>0.1</v>
      </c>
      <c r="J27" s="22"/>
      <c r="K27" s="34">
        <f>ROUND(K26*I27,2)</f>
        <v>0</v>
      </c>
      <c r="M27" s="22" t="s">
        <v>306</v>
      </c>
      <c r="N27" s="22"/>
      <c r="O27" s="35">
        <v>0.1</v>
      </c>
      <c r="P27" s="22"/>
      <c r="Q27" s="34">
        <f>ROUND(Q26*O27,2)</f>
        <v>0</v>
      </c>
    </row>
    <row r="28" spans="1:23" outlineLevel="1" x14ac:dyDescent="0.3">
      <c r="A28" s="22" t="s">
        <v>64</v>
      </c>
      <c r="B28" s="22" t="s">
        <v>307</v>
      </c>
      <c r="C28" s="35">
        <v>0.21</v>
      </c>
      <c r="D28" s="22"/>
      <c r="E28" s="34">
        <f>ROUND(E26*C28,2)</f>
        <v>0</v>
      </c>
      <c r="G28" s="22" t="s">
        <v>64</v>
      </c>
      <c r="H28" s="22" t="s">
        <v>307</v>
      </c>
      <c r="I28" s="35">
        <v>0.21</v>
      </c>
      <c r="J28" s="22"/>
      <c r="K28" s="34">
        <f>ROUND(K26*I28,2)</f>
        <v>0</v>
      </c>
      <c r="M28" s="22" t="s">
        <v>64</v>
      </c>
      <c r="N28" s="22" t="s">
        <v>307</v>
      </c>
      <c r="O28" s="35">
        <v>0.21</v>
      </c>
      <c r="P28" s="22"/>
      <c r="Q28" s="34">
        <f>ROUND(Q26*O28,2)</f>
        <v>0</v>
      </c>
    </row>
    <row r="29" spans="1:23" ht="15" outlineLevel="1" thickBot="1" x14ac:dyDescent="0.35">
      <c r="A29" s="36" t="s">
        <v>294</v>
      </c>
      <c r="B29" s="36" t="s">
        <v>308</v>
      </c>
      <c r="C29" s="37">
        <v>0.21</v>
      </c>
      <c r="D29" s="36"/>
      <c r="E29" s="38">
        <f>ROUND(E27*C29,2)</f>
        <v>0</v>
      </c>
      <c r="G29" s="36" t="s">
        <v>294</v>
      </c>
      <c r="H29" s="36" t="s">
        <v>308</v>
      </c>
      <c r="I29" s="37">
        <v>0.21</v>
      </c>
      <c r="J29" s="36"/>
      <c r="K29" s="38">
        <f>ROUND(K27*I29,2)</f>
        <v>0</v>
      </c>
      <c r="M29" s="36" t="s">
        <v>294</v>
      </c>
      <c r="N29" s="36" t="s">
        <v>308</v>
      </c>
      <c r="O29" s="37">
        <v>0.21</v>
      </c>
      <c r="P29" s="36"/>
      <c r="Q29" s="38">
        <f>ROUND(Q27*O29,2)</f>
        <v>0</v>
      </c>
    </row>
    <row r="30" spans="1:23" ht="15" outlineLevel="1" thickTop="1" x14ac:dyDescent="0.3">
      <c r="A30" s="22" t="s">
        <v>282</v>
      </c>
      <c r="B30" s="22"/>
      <c r="C30" s="35"/>
      <c r="D30" s="22"/>
      <c r="E30" s="96">
        <f>SUM(E27:E29)+E26</f>
        <v>0</v>
      </c>
      <c r="G30" s="22" t="s">
        <v>282</v>
      </c>
      <c r="H30" s="22"/>
      <c r="I30" s="35"/>
      <c r="J30" s="22"/>
      <c r="K30" s="96">
        <f>SUM(K27:K29)+K26</f>
        <v>0</v>
      </c>
      <c r="M30" s="22" t="s">
        <v>282</v>
      </c>
      <c r="N30" s="22"/>
      <c r="O30" s="35"/>
      <c r="P30" s="22"/>
      <c r="Q30" s="96">
        <f>SUM(Q27:Q29)+Q26</f>
        <v>0</v>
      </c>
    </row>
    <row r="31" spans="1:23" outlineLevel="1" x14ac:dyDescent="0.3">
      <c r="A31" s="981"/>
      <c r="B31" s="981"/>
      <c r="C31" s="851"/>
      <c r="D31" s="852"/>
      <c r="E31" s="51"/>
      <c r="G31" s="981"/>
      <c r="H31" s="981"/>
      <c r="I31" s="851"/>
      <c r="J31" s="852"/>
      <c r="K31" s="51"/>
      <c r="M31" s="981"/>
      <c r="N31" s="981"/>
      <c r="O31" s="851"/>
      <c r="P31" s="852"/>
      <c r="Q31" s="51"/>
    </row>
    <row r="32" spans="1:23" x14ac:dyDescent="0.3">
      <c r="A32" s="22" t="s">
        <v>309</v>
      </c>
      <c r="B32" s="22"/>
      <c r="C32" s="35"/>
      <c r="D32" s="22"/>
      <c r="E32" s="495">
        <f>E9+E19+E30</f>
        <v>0</v>
      </c>
      <c r="G32" s="22" t="s">
        <v>309</v>
      </c>
      <c r="H32" s="22"/>
      <c r="I32" s="35"/>
      <c r="J32" s="22"/>
      <c r="K32" s="495">
        <f>K9+K19+K30</f>
        <v>0</v>
      </c>
      <c r="M32" s="22" t="s">
        <v>309</v>
      </c>
      <c r="N32" s="22"/>
      <c r="O32" s="35"/>
      <c r="P32" s="22"/>
      <c r="Q32" s="495">
        <f>Q9+Q19+Q30</f>
        <v>0</v>
      </c>
    </row>
    <row r="33" spans="1:17" ht="15" thickBot="1" x14ac:dyDescent="0.35">
      <c r="A33" s="18"/>
      <c r="B33" s="18"/>
      <c r="C33" s="39"/>
      <c r="D33" s="18"/>
      <c r="I33" s="39"/>
      <c r="K33"/>
      <c r="O33" s="39"/>
      <c r="Q33"/>
    </row>
    <row r="34" spans="1:17" ht="15" customHeight="1" thickBot="1" x14ac:dyDescent="0.35">
      <c r="A34" s="1224" t="s">
        <v>310</v>
      </c>
      <c r="B34" s="1225"/>
      <c r="C34" s="127">
        <f>(E5+E15+E26)</f>
        <v>0</v>
      </c>
      <c r="D34" s="131" t="s">
        <v>289</v>
      </c>
      <c r="E34" s="492">
        <f>ROUND(C34*10/6,2)</f>
        <v>0</v>
      </c>
      <c r="G34" s="1224" t="s">
        <v>310</v>
      </c>
      <c r="H34" s="1225"/>
      <c r="I34" s="127">
        <f>(K5+K15+K26)</f>
        <v>0</v>
      </c>
      <c r="J34" s="131" t="s">
        <v>289</v>
      </c>
      <c r="K34" s="492">
        <f>ROUND(I34*10/6,2)</f>
        <v>0</v>
      </c>
      <c r="M34" s="1224" t="s">
        <v>310</v>
      </c>
      <c r="N34" s="1225"/>
      <c r="O34" s="127">
        <f>(Q5+Q15+Q26)</f>
        <v>0</v>
      </c>
      <c r="P34" s="131" t="s">
        <v>289</v>
      </c>
      <c r="Q34" s="492">
        <f>ROUND(O34*10/6,2)</f>
        <v>0</v>
      </c>
    </row>
    <row r="35" spans="1:17" x14ac:dyDescent="0.3">
      <c r="I35" s="39"/>
      <c r="O35" s="39"/>
    </row>
    <row r="36" spans="1:17" x14ac:dyDescent="0.3">
      <c r="A36" s="8" t="s">
        <v>290</v>
      </c>
      <c r="B36" s="8"/>
      <c r="C36" s="8"/>
      <c r="G36" s="237" t="s">
        <v>290</v>
      </c>
      <c r="H36" s="8"/>
      <c r="I36" s="8"/>
      <c r="J36"/>
      <c r="K36"/>
      <c r="M36" s="237" t="s">
        <v>290</v>
      </c>
      <c r="N36" s="8"/>
      <c r="O36" s="8"/>
    </row>
    <row r="37" spans="1:17" x14ac:dyDescent="0.3">
      <c r="A37" s="8" t="s">
        <v>123</v>
      </c>
      <c r="B37" s="10">
        <f>IF('Overzicht BTA'!$D$15=0,0,IF(MATCH(Bron!$B$10,'uitgebreide raming'!$B$2:$I$2,0)=1,'uitgebreide raming'!B6,IF(MATCH(Bron!$B$10,'uitgebreide raming'!$B$2:$I$2,0)=3,'uitgebreide raming'!D6,IF(MATCH(Bron!$B$10,'uitgebreide raming'!$B$2:$I$2,0)=5,'uitgebreide raming'!F6,IF(MATCH(Bron!$B$10,'uitgebreide raming'!$B$2:$I$2,0)=7,'uitgebreide raming'!H6,0)))))</f>
        <v>0</v>
      </c>
      <c r="C37" s="9" t="e">
        <f>ROUND(B37/$B$42,2)</f>
        <v>#DIV/0!</v>
      </c>
      <c r="G37" s="8" t="s">
        <v>123</v>
      </c>
      <c r="H37" s="10">
        <f>IF('Overzicht BTA'!$J$15=0,0,IF(MATCH(Bron!$B$10,'uitgebreide raming'!$B$29:$J$29,0)=1,'uitgebreide raming'!$B33,IF(MATCH(Bron!$B$10,'uitgebreide raming'!$B$29:$J$29,0)=3,'uitgebreide raming'!$D33,IF(MATCH(Bron!$B$10,'uitgebreide raming'!$B$29:$J$29,0)=5,'uitgebreide raming'!$F33,IF(MATCH(Bron!$B$10,'uitgebreide raming'!$B$29:$J$29,0)=7,'uitgebreide raming'!$H33,0)))))</f>
        <v>0</v>
      </c>
      <c r="I37" s="9" t="e">
        <f>ROUND(H37/$H$42,2)</f>
        <v>#DIV/0!</v>
      </c>
      <c r="J37"/>
      <c r="K37"/>
      <c r="M37" s="8" t="s">
        <v>123</v>
      </c>
      <c r="N37" s="10">
        <f>IF('Overzicht BTA'!$P$15=0,0,IF(MATCH(Bron!$B$10,'uitgebreide raming'!$B$56:$I$56,0)=1,'uitgebreide raming'!$B60,IF(MATCH(Bron!$B$10,'uitgebreide raming'!$B$56:$I$56,0)=3,'uitgebreide raming'!$D60,IF(MATCH(Bron!$B$10,'uitgebreide raming'!$B$56:$I$56,0)=5,'uitgebreide raming'!$F60,IF(MATCH(Bron!$B$10,'uitgebreide raming'!$B$56:$I$56,0)=7,'uitgebreide raming'!$H60,0)))))</f>
        <v>0</v>
      </c>
      <c r="O37" s="9" t="e">
        <f>ROUND(N37/$N$42,2)</f>
        <v>#DIV/0!</v>
      </c>
    </row>
    <row r="38" spans="1:17" x14ac:dyDescent="0.3">
      <c r="A38" s="8" t="s">
        <v>124</v>
      </c>
      <c r="B38" s="10">
        <f>IF('Overzicht BTA'!$D$15=0,0,IF(MATCH(Bron!$B$10,'uitgebreide raming'!$B$2:$I$2,0)=1,'uitgebreide raming'!B7,IF(MATCH(Bron!$B$10,'uitgebreide raming'!$B$2:$I$2,0)=3,'uitgebreide raming'!D7,IF(MATCH(Bron!$B$10,'uitgebreide raming'!$B$2:$I$2,0)=5,'uitgebreide raming'!F7,IF(MATCH(Bron!$B$10,'uitgebreide raming'!$B$2:$I$2,0)=7,'uitgebreide raming'!H7,0)))))</f>
        <v>0</v>
      </c>
      <c r="C38" s="9" t="e">
        <f t="shared" ref="C38:C42" si="0">ROUND(B38/$B$42,2)</f>
        <v>#DIV/0!</v>
      </c>
      <c r="G38" s="8" t="s">
        <v>124</v>
      </c>
      <c r="H38" s="10">
        <f>IF('Overzicht BTA'!$J$15=0,0,IF(MATCH(Bron!$B$10,'uitgebreide raming'!$B$29:$J$29,0)=1,'uitgebreide raming'!$B34,IF(MATCH(Bron!$B$10,'uitgebreide raming'!$B$29:$J$29,0)=3,'uitgebreide raming'!$D34,IF(MATCH(Bron!$B$10,'uitgebreide raming'!$B$29:$J$29,0)=5,'uitgebreide raming'!$F34,IF(MATCH(Bron!$B$10,'uitgebreide raming'!$B$29:$J$29,0)=7,'uitgebreide raming'!$H34,0)))))</f>
        <v>0</v>
      </c>
      <c r="I38" s="9" t="e">
        <f t="shared" ref="I38:I42" si="1">ROUND(H38/$H$42,2)</f>
        <v>#DIV/0!</v>
      </c>
      <c r="J38"/>
      <c r="K38"/>
      <c r="M38" s="8" t="s">
        <v>124</v>
      </c>
      <c r="N38" s="10">
        <f>IF('Overzicht BTA'!$P$15=0,0,IF(MATCH(Bron!$B$10,'uitgebreide raming'!$B$56:$I$56,0)=1,'uitgebreide raming'!$B61,IF(MATCH(Bron!$B$10,'uitgebreide raming'!$B$56:$I$56,0)=3,'uitgebreide raming'!$D61,IF(MATCH(Bron!$B$10,'uitgebreide raming'!$B$56:$I$56,0)=5,'uitgebreide raming'!$F61,IF(MATCH(Bron!$B$10,'uitgebreide raming'!$B$56:$I$56,0)=7,'uitgebreide raming'!$H61,0)))))</f>
        <v>0</v>
      </c>
      <c r="O38" s="9" t="e">
        <f t="shared" ref="O38:O42" si="2">ROUND(N38/$N$42,2)</f>
        <v>#DIV/0!</v>
      </c>
    </row>
    <row r="39" spans="1:17" x14ac:dyDescent="0.3">
      <c r="A39" s="8" t="s">
        <v>125</v>
      </c>
      <c r="B39" s="10">
        <f>IF('Overzicht BTA'!$D$15=0,0,IF(MATCH(Bron!$B$10,'uitgebreide raming'!$B$2:$I$2,0)=1,'uitgebreide raming'!B8,IF(MATCH(Bron!$B$10,'uitgebreide raming'!$B$2:$I$2,0)=3,'uitgebreide raming'!D8,IF(MATCH(Bron!$B$10,'uitgebreide raming'!$B$2:$I$2,0)=5,'uitgebreide raming'!F8,IF(MATCH(Bron!$B$10,'uitgebreide raming'!$B$2:$I$2,0)=7,'uitgebreide raming'!H8,0)))))</f>
        <v>0</v>
      </c>
      <c r="C39" s="9" t="e">
        <f t="shared" si="0"/>
        <v>#DIV/0!</v>
      </c>
      <c r="G39" s="8" t="s">
        <v>125</v>
      </c>
      <c r="H39" s="10">
        <f>IF('Overzicht BTA'!$J$15=0,0,IF(MATCH(Bron!$B$10,'uitgebreide raming'!$B$29:$J$29,0)=1,'uitgebreide raming'!$B35,IF(MATCH(Bron!$B$10,'uitgebreide raming'!$B$29:$J$29,0)=3,'uitgebreide raming'!$D35,IF(MATCH(Bron!$B$10,'uitgebreide raming'!$B$29:$J$29,0)=5,'uitgebreide raming'!$F35,IF(MATCH(Bron!$B$10,'uitgebreide raming'!$B$29:$J$29,0)=7,'uitgebreide raming'!$H35,0)))))</f>
        <v>0</v>
      </c>
      <c r="I39" s="9" t="e">
        <f t="shared" si="1"/>
        <v>#DIV/0!</v>
      </c>
      <c r="J39"/>
      <c r="K39"/>
      <c r="M39" s="8" t="s">
        <v>125</v>
      </c>
      <c r="N39" s="10">
        <f>IF('Overzicht BTA'!$P$15=0,0,IF(MATCH(Bron!$B$10,'uitgebreide raming'!$B$56:$I$56,0)=1,'uitgebreide raming'!$B62,IF(MATCH(Bron!$B$10,'uitgebreide raming'!$B$56:$I$56,0)=3,'uitgebreide raming'!$D62,IF(MATCH(Bron!$B$10,'uitgebreide raming'!$B$56:$I$56,0)=5,'uitgebreide raming'!$F62,IF(MATCH(Bron!$B$10,'uitgebreide raming'!$B$56:$I$56,0)=7,'uitgebreide raming'!$H62,0)))))</f>
        <v>0</v>
      </c>
      <c r="O39" s="9" t="e">
        <f t="shared" si="2"/>
        <v>#DIV/0!</v>
      </c>
      <c r="Q39" s="18" t="s">
        <v>69</v>
      </c>
    </row>
    <row r="40" spans="1:17" x14ac:dyDescent="0.3">
      <c r="A40" s="8" t="s">
        <v>126</v>
      </c>
      <c r="B40" s="10">
        <f>SUM(B37:B39)</f>
        <v>0</v>
      </c>
      <c r="C40" s="9" t="e">
        <f t="shared" si="0"/>
        <v>#DIV/0!</v>
      </c>
      <c r="G40" s="8" t="s">
        <v>126</v>
      </c>
      <c r="H40" s="10">
        <f>SUM(H37:H39)</f>
        <v>0</v>
      </c>
      <c r="I40" s="9" t="e">
        <f t="shared" si="1"/>
        <v>#DIV/0!</v>
      </c>
      <c r="J40"/>
      <c r="K40"/>
      <c r="M40" s="8" t="s">
        <v>126</v>
      </c>
      <c r="N40" s="10">
        <f>SUM(N37:N39)</f>
        <v>0</v>
      </c>
      <c r="O40" s="9" t="e">
        <f t="shared" si="2"/>
        <v>#DIV/0!</v>
      </c>
    </row>
    <row r="41" spans="1:17" ht="27.6" x14ac:dyDescent="0.3">
      <c r="A41" s="8" t="s">
        <v>127</v>
      </c>
      <c r="B41" s="10">
        <f>IF('Overzicht BTA'!$D$15=0,0,IF(MATCH(Bron!$B$10,'uitgebreide raming'!$B$2:$I$2,0)=1,'uitgebreide raming'!B10,IF(MATCH(Bron!$B$10,'uitgebreide raming'!$B$2:$I$2,0)=3,'uitgebreide raming'!D10,IF(MATCH(Bron!$B$10,'uitgebreide raming'!$B$2:$I$2,0)=5,'uitgebreide raming'!F10,IF(MATCH(Bron!$B$10,'uitgebreide raming'!$B$2:$I$2,0)=7,'uitgebreide raming'!H10,0)))))</f>
        <v>0</v>
      </c>
      <c r="C41" s="9" t="e">
        <f t="shared" si="0"/>
        <v>#DIV/0!</v>
      </c>
      <c r="G41" s="8" t="s">
        <v>127</v>
      </c>
      <c r="H41" s="10">
        <f>IF('Overzicht BTA'!$J$15=0,0,IF(MATCH(Bron!$B$10,'uitgebreide raming'!$B$29:$J$29,0)=1,'uitgebreide raming'!$B37,IF(MATCH(Bron!$B$10,'uitgebreide raming'!$B$29:$J$29,0)=3,'uitgebreide raming'!$D37,IF(MATCH(Bron!$B$10,'uitgebreide raming'!$B$29:$J$29,0)=5,'uitgebreide raming'!$F37,IF(MATCH(Bron!$B$10,'uitgebreide raming'!$B$29:$J$29,0)=7,'uitgebreide raming'!$H37,0)))))</f>
        <v>0</v>
      </c>
      <c r="I41" s="9" t="e">
        <f t="shared" si="1"/>
        <v>#DIV/0!</v>
      </c>
      <c r="J41"/>
      <c r="K41"/>
      <c r="M41" s="8" t="s">
        <v>127</v>
      </c>
      <c r="N41" s="10">
        <f>IF('Overzicht BTA'!$P$15=0,0,IF(MATCH(Bron!$B$10,'uitgebreide raming'!$B$56:$I$56,0)=1,'uitgebreide raming'!$B64,IF(MATCH(Bron!$B$10,'uitgebreide raming'!$B$56:$I$56,0)=3,'uitgebreide raming'!$D64,IF(MATCH(Bron!$B$10,'uitgebreide raming'!$B$56:$I$56,0)=5,'uitgebreide raming'!$F64,IF(MATCH(Bron!$B$10,'uitgebreide raming'!$B$56:$I$56,0)=7,'uitgebreide raming'!$H64,0)))))</f>
        <v>0</v>
      </c>
      <c r="O41" s="9" t="e">
        <f t="shared" si="2"/>
        <v>#DIV/0!</v>
      </c>
    </row>
    <row r="42" spans="1:17" x14ac:dyDescent="0.3">
      <c r="A42" s="8" t="s">
        <v>110</v>
      </c>
      <c r="B42" s="10">
        <f>B41+B40</f>
        <v>0</v>
      </c>
      <c r="C42" s="9" t="e">
        <f t="shared" si="0"/>
        <v>#DIV/0!</v>
      </c>
      <c r="G42" s="8" t="s">
        <v>110</v>
      </c>
      <c r="H42" s="10">
        <f>H41+H40</f>
        <v>0</v>
      </c>
      <c r="I42" s="9" t="e">
        <f t="shared" si="1"/>
        <v>#DIV/0!</v>
      </c>
      <c r="J42"/>
      <c r="K42"/>
      <c r="M42" s="8" t="s">
        <v>110</v>
      </c>
      <c r="N42" s="10">
        <f>N41+N40</f>
        <v>0</v>
      </c>
      <c r="O42" s="9" t="e">
        <f t="shared" si="2"/>
        <v>#DIV/0!</v>
      </c>
    </row>
    <row r="44" spans="1:17" ht="18" x14ac:dyDescent="0.3">
      <c r="A44" s="1223" t="s">
        <v>91</v>
      </c>
      <c r="B44" s="1223"/>
      <c r="C44" s="1223"/>
      <c r="D44" s="1223"/>
      <c r="E44" s="1223"/>
      <c r="F44" s="1223"/>
      <c r="G44" s="1223"/>
      <c r="H44" s="1223"/>
      <c r="I44" s="1223"/>
      <c r="J44" s="1223"/>
      <c r="K44" s="1223"/>
      <c r="L44" s="1223"/>
      <c r="M44" s="1223"/>
      <c r="N44" s="1223"/>
      <c r="O44" s="1223"/>
      <c r="P44" s="1223"/>
      <c r="Q44" s="1223"/>
    </row>
    <row r="45" spans="1:17" outlineLevel="1" x14ac:dyDescent="0.3">
      <c r="A45" s="106" t="s">
        <v>23</v>
      </c>
      <c r="B45" s="106" t="str">
        <f>'Overzicht BTA'!$C$3</f>
        <v>Kies de zorgvorm</v>
      </c>
      <c r="C45" s="106"/>
      <c r="D45" s="106"/>
      <c r="E45" s="106"/>
      <c r="F45" s="106"/>
      <c r="G45" s="54" t="s">
        <v>23</v>
      </c>
      <c r="H45" s="54" t="str">
        <f>'Overzicht BTA'!$H$3</f>
        <v>Kies de zorgvorm</v>
      </c>
      <c r="I45" s="54"/>
      <c r="J45" s="54"/>
      <c r="K45" s="54"/>
      <c r="L45" s="106"/>
      <c r="M45" s="54" t="s">
        <v>23</v>
      </c>
      <c r="N45" s="54" t="str">
        <f>N1</f>
        <v>Kies de zorgvorm</v>
      </c>
      <c r="O45" s="54"/>
      <c r="P45" s="54"/>
      <c r="Q45" s="54"/>
    </row>
    <row r="46" spans="1:17" outlineLevel="1" x14ac:dyDescent="0.3">
      <c r="A46" s="134" t="s">
        <v>72</v>
      </c>
      <c r="B46" s="135"/>
      <c r="C46" s="135"/>
      <c r="D46" s="135"/>
      <c r="E46" s="136"/>
      <c r="G46" s="134" t="s">
        <v>72</v>
      </c>
      <c r="H46" s="135"/>
      <c r="I46" s="135"/>
      <c r="J46" s="135"/>
      <c r="K46" s="136"/>
      <c r="M46" s="134" t="s">
        <v>72</v>
      </c>
      <c r="N46" s="135"/>
      <c r="O46" s="135"/>
      <c r="P46" s="135"/>
      <c r="Q46" s="136"/>
    </row>
    <row r="47" spans="1:17" outlineLevel="1" x14ac:dyDescent="0.3">
      <c r="A47" s="1235" t="s">
        <v>300</v>
      </c>
      <c r="B47" s="1236"/>
      <c r="C47" s="111"/>
      <c r="D47" s="111"/>
      <c r="E47" s="111"/>
      <c r="G47" s="1235" t="s">
        <v>300</v>
      </c>
      <c r="H47" s="1236"/>
      <c r="I47" s="111"/>
      <c r="J47" s="111"/>
      <c r="K47" s="111"/>
      <c r="M47" s="1235" t="s">
        <v>300</v>
      </c>
      <c r="N47" s="1236"/>
      <c r="O47" s="111"/>
      <c r="P47" s="111"/>
      <c r="Q47" s="111"/>
    </row>
    <row r="48" spans="1:17" outlineLevel="1" x14ac:dyDescent="0.3">
      <c r="A48" s="369" t="s">
        <v>301</v>
      </c>
      <c r="B48" s="369" t="s">
        <v>275</v>
      </c>
      <c r="C48" s="369" t="s">
        <v>276</v>
      </c>
      <c r="D48" s="369"/>
      <c r="E48" s="369" t="s">
        <v>277</v>
      </c>
      <c r="F48" s="23"/>
      <c r="G48" s="369" t="s">
        <v>301</v>
      </c>
      <c r="H48" s="32" t="s">
        <v>275</v>
      </c>
      <c r="I48" s="32" t="s">
        <v>276</v>
      </c>
      <c r="J48" s="33"/>
      <c r="K48" s="32" t="s">
        <v>277</v>
      </c>
      <c r="M48" s="369" t="s">
        <v>301</v>
      </c>
      <c r="N48" s="32" t="s">
        <v>275</v>
      </c>
      <c r="O48" s="32" t="s">
        <v>276</v>
      </c>
      <c r="P48" s="33"/>
      <c r="Q48" s="32" t="s">
        <v>277</v>
      </c>
    </row>
    <row r="49" spans="1:17" ht="15" outlineLevel="1" thickBot="1" x14ac:dyDescent="0.35">
      <c r="A49" s="368">
        <f>IFERROR(IF(AND('Overzicht BTA'!D61=0,'Overzicht BTA'!D60=0),IF(MATCH(Bron!$B$10,'Overzicht BTA'!B51:B54,0)=1,'Overzicht BTA'!D51,IF(MATCH(Bron!$B$10,'Overzicht BTA'!B51:B54,0)=2,'Overzicht BTA'!D52,IF(MATCH(Bron!$B$10,'Overzicht BTA'!B51:B54,0)=3,'Overzicht BTA'!D53,IF(MATCH(Bron!$B$10,'Overzicht BTA'!B51:B54,0)=4,'Overzicht BTA'!D54,0)))),0),0)</f>
        <v>0</v>
      </c>
      <c r="B49" s="907">
        <f>VLOOKUP(B45,'Capaciteiten &amp; forfaits'!$B$3:$H$76,6,FALSE)</f>
        <v>0</v>
      </c>
      <c r="C49" s="370">
        <f>'Overzicht BTA'!$D$37</f>
        <v>2.3958200000000001</v>
      </c>
      <c r="D49" s="219" t="s">
        <v>19</v>
      </c>
      <c r="E49" s="220">
        <f>ROUND(A49*B49*C49,2)</f>
        <v>0</v>
      </c>
      <c r="F49" s="25"/>
      <c r="G49" s="368">
        <f>IFERROR(IF('Overzicht BTA'!J61=0,IF(MATCH(Bron!$B$10,'Overzicht BTA'!H51:H54,0)=1,'Overzicht BTA'!J51,IF(MATCH(Bron!$B$10,'Overzicht BTA'!H51:H54,0)=2,'Overzicht BTA'!J52,IF(MATCH(Bron!$B$10,'Overzicht BTA'!H51:H54,0)=3,'Overzicht BTA'!J53,IF(MATCH(Bron!$B$10,'Overzicht BTA'!H51:H54,0)=4,'Overzicht BTA'!J54,0)))),0),0)</f>
        <v>0</v>
      </c>
      <c r="H49" s="907">
        <f>VLOOKUP(H45,'Capaciteiten &amp; forfaits'!$B$3:$H$76,6,FALSE)</f>
        <v>0</v>
      </c>
      <c r="I49" s="71">
        <f>'Overzicht BTA'!$D$37</f>
        <v>2.3958200000000001</v>
      </c>
      <c r="J49" s="241" t="s">
        <v>19</v>
      </c>
      <c r="K49" s="220">
        <f>ROUND(G49*H49*I49,2)</f>
        <v>0</v>
      </c>
      <c r="M49" s="368">
        <f>IFERROR(IF('Overzicht BTA'!P61=0,IF(MATCH(Bron!$B$10,'Overzicht BTA'!N51:N54,0)=1,'Overzicht BTA'!P51,IF(MATCH(Bron!$B$10,'Overzicht BTA'!N51:N54,0)=2,'Overzicht BTA'!P52,IF(MATCH(Bron!$B$10,'Overzicht BTA'!N51:N54,0)=3,'Overzicht BTA'!P53,IF(MATCH(Bron!$B$10,'Overzicht BTA'!N51:N54,0)=4,'Overzicht BTA'!P54,0)))),0),0)</f>
        <v>0</v>
      </c>
      <c r="N49" s="907">
        <f>VLOOKUP(N45,'Capaciteiten &amp; forfaits'!$B$3:$H$76,6,FALSE)</f>
        <v>0</v>
      </c>
      <c r="O49" s="71">
        <f>'Overzicht BTA'!$D$37</f>
        <v>2.3958200000000001</v>
      </c>
      <c r="P49" s="241" t="s">
        <v>19</v>
      </c>
      <c r="Q49" s="220">
        <f>ROUND(M49*N49*O49,2)</f>
        <v>0</v>
      </c>
    </row>
    <row r="50" spans="1:17" ht="15" outlineLevel="1" thickBot="1" x14ac:dyDescent="0.35">
      <c r="A50" s="213" t="s">
        <v>302</v>
      </c>
      <c r="B50" s="8"/>
      <c r="C50" s="9">
        <v>0.1</v>
      </c>
      <c r="D50" s="9"/>
      <c r="E50" s="24">
        <f>ROUND(E49*C50,2)</f>
        <v>0</v>
      </c>
      <c r="F50" s="25"/>
      <c r="G50" s="221" t="s">
        <v>279</v>
      </c>
      <c r="H50" s="8"/>
      <c r="I50" s="9">
        <v>0.1</v>
      </c>
      <c r="J50" s="9"/>
      <c r="K50" s="24">
        <f>ROUND(K49*I50,2)</f>
        <v>0</v>
      </c>
      <c r="M50" s="221" t="s">
        <v>279</v>
      </c>
      <c r="N50" s="8"/>
      <c r="O50" s="9">
        <v>0.1</v>
      </c>
      <c r="P50" s="9"/>
      <c r="Q50" s="24">
        <f>ROUND(Q49*O50,2)</f>
        <v>0</v>
      </c>
    </row>
    <row r="51" spans="1:17" outlineLevel="1" x14ac:dyDescent="0.3">
      <c r="A51" s="8" t="s">
        <v>64</v>
      </c>
      <c r="B51" s="8" t="s">
        <v>293</v>
      </c>
      <c r="C51" s="97">
        <f>'Overzicht BTA'!$C$59</f>
        <v>0</v>
      </c>
      <c r="D51" s="9"/>
      <c r="E51" s="24">
        <f>ROUND(E49*C51,2)</f>
        <v>0</v>
      </c>
      <c r="F51" s="25"/>
      <c r="G51" s="8" t="s">
        <v>64</v>
      </c>
      <c r="H51" s="8" t="s">
        <v>293</v>
      </c>
      <c r="I51" s="97">
        <f>'Overzicht BTA'!I59</f>
        <v>0</v>
      </c>
      <c r="J51" s="9"/>
      <c r="K51" s="24">
        <f>ROUND(K49*I51,2)</f>
        <v>0</v>
      </c>
      <c r="M51" s="8" t="s">
        <v>64</v>
      </c>
      <c r="N51" s="8" t="s">
        <v>293</v>
      </c>
      <c r="O51" s="97">
        <f>'Overzicht BTA'!O59</f>
        <v>0</v>
      </c>
      <c r="P51" s="9"/>
      <c r="Q51" s="24">
        <f>ROUND(Q49*O51,2)</f>
        <v>0</v>
      </c>
    </row>
    <row r="52" spans="1:17" ht="15" outlineLevel="1" thickBot="1" x14ac:dyDescent="0.35">
      <c r="A52" s="8" t="s">
        <v>64</v>
      </c>
      <c r="B52" s="50" t="s">
        <v>281</v>
      </c>
      <c r="C52" s="9">
        <v>0.21</v>
      </c>
      <c r="D52" s="26"/>
      <c r="E52" s="27">
        <f>ROUND(E50*C52,2)</f>
        <v>0</v>
      </c>
      <c r="F52" s="25"/>
      <c r="G52" s="8" t="s">
        <v>64</v>
      </c>
      <c r="H52" s="50" t="s">
        <v>281</v>
      </c>
      <c r="I52" s="9">
        <v>0.21</v>
      </c>
      <c r="J52" s="26"/>
      <c r="K52" s="27">
        <f>ROUND(K50*I52,2)</f>
        <v>0</v>
      </c>
      <c r="M52" s="8" t="s">
        <v>64</v>
      </c>
      <c r="N52" s="50" t="s">
        <v>281</v>
      </c>
      <c r="O52" s="9">
        <v>0.21</v>
      </c>
      <c r="P52" s="26"/>
      <c r="Q52" s="27">
        <f>ROUND(Q50*O52,2)</f>
        <v>0</v>
      </c>
    </row>
    <row r="53" spans="1:17" ht="15" outlineLevel="1" thickTop="1" x14ac:dyDescent="0.3">
      <c r="A53" s="28" t="s">
        <v>282</v>
      </c>
      <c r="B53" s="29"/>
      <c r="C53" s="30"/>
      <c r="D53" s="31"/>
      <c r="E53" s="95">
        <f>SUM(E49:E52)</f>
        <v>0</v>
      </c>
      <c r="F53" s="25"/>
      <c r="G53" s="28" t="s">
        <v>282</v>
      </c>
      <c r="H53" s="29"/>
      <c r="I53" s="30"/>
      <c r="J53" s="31"/>
      <c r="K53" s="95">
        <f>SUM(K49:K52)</f>
        <v>0</v>
      </c>
      <c r="M53" s="28" t="s">
        <v>282</v>
      </c>
      <c r="N53" s="29"/>
      <c r="O53" s="30"/>
      <c r="P53" s="31"/>
      <c r="Q53" s="95">
        <f>SUM(Q49:Q52)</f>
        <v>0</v>
      </c>
    </row>
    <row r="54" spans="1:17" outlineLevel="1" x14ac:dyDescent="0.3"/>
    <row r="55" spans="1:17" outlineLevel="1" x14ac:dyDescent="0.3">
      <c r="A55" s="1232" t="s">
        <v>303</v>
      </c>
      <c r="B55" s="1233"/>
      <c r="C55" s="153"/>
      <c r="D55" s="154"/>
      <c r="E55" s="153"/>
      <c r="G55" s="1232" t="s">
        <v>303</v>
      </c>
      <c r="H55" s="1233"/>
      <c r="I55" s="153"/>
      <c r="J55" s="154"/>
      <c r="K55" s="153"/>
      <c r="M55" s="1232" t="s">
        <v>303</v>
      </c>
      <c r="N55" s="1233"/>
      <c r="O55" s="153"/>
      <c r="P55" s="154"/>
      <c r="Q55" s="153"/>
    </row>
    <row r="56" spans="1:17" outlineLevel="1" x14ac:dyDescent="0.3">
      <c r="A56" s="70" t="s">
        <v>304</v>
      </c>
      <c r="B56" s="32" t="s">
        <v>275</v>
      </c>
      <c r="C56" s="239" t="s">
        <v>276</v>
      </c>
      <c r="D56" s="33"/>
      <c r="E56" s="32" t="s">
        <v>277</v>
      </c>
      <c r="G56" s="70" t="s">
        <v>304</v>
      </c>
      <c r="H56" s="32" t="s">
        <v>275</v>
      </c>
      <c r="I56" s="32" t="s">
        <v>276</v>
      </c>
      <c r="J56" s="33"/>
      <c r="K56" s="32" t="s">
        <v>277</v>
      </c>
      <c r="M56" s="70" t="s">
        <v>304</v>
      </c>
      <c r="N56" s="32" t="s">
        <v>275</v>
      </c>
      <c r="O56" s="32" t="s">
        <v>276</v>
      </c>
      <c r="P56" s="33"/>
      <c r="Q56" s="32" t="s">
        <v>277</v>
      </c>
    </row>
    <row r="57" spans="1:17" outlineLevel="1" x14ac:dyDescent="0.3">
      <c r="A57" s="367">
        <f>A49</f>
        <v>0</v>
      </c>
      <c r="B57" s="907">
        <f>B13</f>
        <v>0</v>
      </c>
      <c r="C57" s="240">
        <f>'Overzicht BTA'!$D$37</f>
        <v>2.3958200000000001</v>
      </c>
      <c r="D57" s="238"/>
      <c r="E57" s="73">
        <f>ROUND(A57*B57*C57,2)</f>
        <v>0</v>
      </c>
      <c r="G57" s="367">
        <f>G49</f>
        <v>0</v>
      </c>
      <c r="H57" s="907">
        <f>H13</f>
        <v>0</v>
      </c>
      <c r="I57" s="71">
        <f>'Overzicht BTA'!$D$37</f>
        <v>2.3958200000000001</v>
      </c>
      <c r="J57" s="72"/>
      <c r="K57" s="73">
        <f>ROUND(G57*H57*I57,2)</f>
        <v>0</v>
      </c>
      <c r="M57" s="367">
        <f>M49</f>
        <v>0</v>
      </c>
      <c r="N57" s="907">
        <f>N13</f>
        <v>0</v>
      </c>
      <c r="O57" s="71">
        <f>'Overzicht BTA'!$D$37</f>
        <v>2.3958200000000001</v>
      </c>
      <c r="P57" s="72"/>
      <c r="Q57" s="73">
        <f>ROUND(M57*N57*O57,2)</f>
        <v>0</v>
      </c>
    </row>
    <row r="58" spans="1:17" outlineLevel="1" x14ac:dyDescent="0.3">
      <c r="A58" s="65" t="s">
        <v>305</v>
      </c>
      <c r="B58" s="63">
        <f>B85</f>
        <v>0</v>
      </c>
      <c r="C58" s="66">
        <v>0.6</v>
      </c>
      <c r="D58" s="67"/>
      <c r="E58" s="68">
        <f>ROUND(B58*C58,2)</f>
        <v>0</v>
      </c>
      <c r="G58" s="65" t="s">
        <v>305</v>
      </c>
      <c r="H58" s="63">
        <f>H85</f>
        <v>0</v>
      </c>
      <c r="I58" s="66">
        <v>0.6</v>
      </c>
      <c r="J58" s="67"/>
      <c r="K58" s="68">
        <f>ROUND(H58*I58,2)</f>
        <v>0</v>
      </c>
      <c r="M58" s="65" t="s">
        <v>305</v>
      </c>
      <c r="N58" s="63">
        <f>N85</f>
        <v>0</v>
      </c>
      <c r="O58" s="66">
        <v>0.6</v>
      </c>
      <c r="P58" s="67"/>
      <c r="Q58" s="68">
        <f>ROUND(N58*O58,2)</f>
        <v>0</v>
      </c>
    </row>
    <row r="59" spans="1:17" outlineLevel="1" x14ac:dyDescent="0.3">
      <c r="A59" s="1220" t="s">
        <v>287</v>
      </c>
      <c r="B59" s="1221"/>
      <c r="C59" s="20"/>
      <c r="D59" s="133" t="s">
        <v>29</v>
      </c>
      <c r="E59" s="34">
        <f>MIN(E57,E58)</f>
        <v>0</v>
      </c>
      <c r="G59" s="1220" t="s">
        <v>287</v>
      </c>
      <c r="H59" s="1221"/>
      <c r="I59" s="20"/>
      <c r="J59" s="133" t="s">
        <v>29</v>
      </c>
      <c r="K59" s="34">
        <f>MIN(K57,K58)</f>
        <v>0</v>
      </c>
      <c r="M59" s="1220" t="s">
        <v>287</v>
      </c>
      <c r="N59" s="1221"/>
      <c r="O59" s="20"/>
      <c r="P59" s="133" t="s">
        <v>29</v>
      </c>
      <c r="Q59" s="34">
        <f>MIN(Q57,Q58)</f>
        <v>0</v>
      </c>
    </row>
    <row r="60" spans="1:17" outlineLevel="1" x14ac:dyDescent="0.3">
      <c r="A60" s="22" t="s">
        <v>306</v>
      </c>
      <c r="B60" s="22"/>
      <c r="C60" s="35">
        <v>0.1</v>
      </c>
      <c r="D60" s="22"/>
      <c r="E60" s="34">
        <f>ROUND(E59*C60,2)</f>
        <v>0</v>
      </c>
      <c r="G60" s="22" t="s">
        <v>306</v>
      </c>
      <c r="H60" s="22"/>
      <c r="I60" s="35">
        <v>0.1</v>
      </c>
      <c r="J60" s="22"/>
      <c r="K60" s="34">
        <f>ROUND(K59*I60,2)</f>
        <v>0</v>
      </c>
      <c r="M60" s="22" t="s">
        <v>306</v>
      </c>
      <c r="N60" s="22"/>
      <c r="O60" s="35">
        <v>0.1</v>
      </c>
      <c r="P60" s="22"/>
      <c r="Q60" s="34">
        <f>ROUND(Q59*O60,2)</f>
        <v>0</v>
      </c>
    </row>
    <row r="61" spans="1:17" outlineLevel="1" x14ac:dyDescent="0.3">
      <c r="A61" s="22" t="s">
        <v>64</v>
      </c>
      <c r="B61" s="22" t="s">
        <v>307</v>
      </c>
      <c r="C61" s="35">
        <v>0.21</v>
      </c>
      <c r="D61" s="22"/>
      <c r="E61" s="34">
        <f>ROUND(E59*C61,2)</f>
        <v>0</v>
      </c>
      <c r="G61" s="22" t="s">
        <v>64</v>
      </c>
      <c r="H61" s="22" t="s">
        <v>307</v>
      </c>
      <c r="I61" s="35">
        <v>0.21</v>
      </c>
      <c r="J61" s="22"/>
      <c r="K61" s="34">
        <f>ROUND(K59*I61,2)</f>
        <v>0</v>
      </c>
      <c r="M61" s="22" t="s">
        <v>64</v>
      </c>
      <c r="N61" s="22" t="s">
        <v>307</v>
      </c>
      <c r="O61" s="35">
        <v>0.21</v>
      </c>
      <c r="P61" s="22"/>
      <c r="Q61" s="34">
        <f>ROUND(Q59*O61,2)</f>
        <v>0</v>
      </c>
    </row>
    <row r="62" spans="1:17" ht="15" outlineLevel="1" thickBot="1" x14ac:dyDescent="0.35">
      <c r="A62" s="36" t="s">
        <v>294</v>
      </c>
      <c r="B62" s="36" t="s">
        <v>308</v>
      </c>
      <c r="C62" s="37">
        <v>0.21</v>
      </c>
      <c r="D62" s="36"/>
      <c r="E62" s="38">
        <f>ROUND(E60*C62,2)</f>
        <v>0</v>
      </c>
      <c r="G62" s="36" t="s">
        <v>294</v>
      </c>
      <c r="H62" s="36" t="s">
        <v>308</v>
      </c>
      <c r="I62" s="37">
        <v>0.21</v>
      </c>
      <c r="J62" s="36"/>
      <c r="K62" s="38">
        <f>ROUND(K60*I62,2)</f>
        <v>0</v>
      </c>
      <c r="M62" s="36" t="s">
        <v>294</v>
      </c>
      <c r="N62" s="36" t="s">
        <v>308</v>
      </c>
      <c r="O62" s="37">
        <v>0.21</v>
      </c>
      <c r="P62" s="36"/>
      <c r="Q62" s="38">
        <f>ROUND(Q60*O62,2)</f>
        <v>0</v>
      </c>
    </row>
    <row r="63" spans="1:17" ht="15" outlineLevel="1" thickTop="1" x14ac:dyDescent="0.3">
      <c r="A63" s="22" t="s">
        <v>282</v>
      </c>
      <c r="B63" s="22"/>
      <c r="C63" s="35"/>
      <c r="D63" s="22"/>
      <c r="E63" s="96">
        <f>SUM(E60:E62)+E59</f>
        <v>0</v>
      </c>
      <c r="G63" s="22" t="s">
        <v>282</v>
      </c>
      <c r="H63" s="22"/>
      <c r="I63" s="35"/>
      <c r="J63" s="22"/>
      <c r="K63" s="96">
        <f>SUM(K60:K62)+K59</f>
        <v>0</v>
      </c>
      <c r="M63" s="22" t="s">
        <v>282</v>
      </c>
      <c r="N63" s="22"/>
      <c r="O63" s="35"/>
      <c r="P63" s="22"/>
      <c r="Q63" s="96">
        <f>SUM(Q60:Q62)+Q59</f>
        <v>0</v>
      </c>
    </row>
    <row r="64" spans="1:17" ht="15" outlineLevel="1" thickBot="1" x14ac:dyDescent="0.35">
      <c r="A64" s="18"/>
      <c r="B64" s="18"/>
      <c r="C64" s="39"/>
      <c r="D64" s="18"/>
      <c r="I64" s="39"/>
      <c r="K64"/>
      <c r="O64" s="39"/>
      <c r="Q64"/>
    </row>
    <row r="65" spans="1:17" outlineLevel="2" x14ac:dyDescent="0.3">
      <c r="A65" s="1014" t="s">
        <v>283</v>
      </c>
      <c r="B65" s="1015"/>
      <c r="C65" s="1015"/>
      <c r="D65" s="1016"/>
      <c r="E65" s="1016"/>
      <c r="G65" s="1014" t="s">
        <v>283</v>
      </c>
      <c r="H65" s="1015"/>
      <c r="I65" s="1015"/>
      <c r="J65" s="1016"/>
      <c r="K65" s="1016"/>
      <c r="M65" s="1014" t="s">
        <v>283</v>
      </c>
      <c r="N65" s="1015"/>
      <c r="O65" s="1015"/>
      <c r="P65" s="1016"/>
      <c r="Q65" s="1016"/>
    </row>
    <row r="66" spans="1:17" outlineLevel="2" x14ac:dyDescent="0.3">
      <c r="A66" s="1025" t="s">
        <v>274</v>
      </c>
      <c r="B66" s="1025" t="s">
        <v>275</v>
      </c>
      <c r="C66" s="1025" t="s">
        <v>276</v>
      </c>
      <c r="D66" s="1025"/>
      <c r="E66" s="1025" t="s">
        <v>277</v>
      </c>
      <c r="F66" s="20"/>
      <c r="G66" s="1025" t="s">
        <v>274</v>
      </c>
      <c r="H66" s="1025" t="s">
        <v>275</v>
      </c>
      <c r="I66" s="1025" t="s">
        <v>276</v>
      </c>
      <c r="J66" s="1025"/>
      <c r="K66" s="1025" t="s">
        <v>277</v>
      </c>
      <c r="L66" s="20"/>
      <c r="M66" s="1025" t="s">
        <v>274</v>
      </c>
      <c r="N66" s="1025" t="s">
        <v>275</v>
      </c>
      <c r="O66" s="1025" t="s">
        <v>276</v>
      </c>
      <c r="P66" s="1025"/>
      <c r="Q66" s="1025" t="s">
        <v>277</v>
      </c>
    </row>
    <row r="67" spans="1:17" ht="15" customHeight="1" outlineLevel="2" x14ac:dyDescent="0.3">
      <c r="A67" s="1026">
        <f>A49</f>
        <v>0</v>
      </c>
      <c r="B67" s="1027">
        <f>IF(B45=Bron!$E$40,55,0)</f>
        <v>0</v>
      </c>
      <c r="C67" s="1025">
        <f>C49</f>
        <v>2.3958200000000001</v>
      </c>
      <c r="D67" s="1025"/>
      <c r="E67" s="1028">
        <f>ROUND(A67*B67*C67,2)</f>
        <v>0</v>
      </c>
      <c r="F67" s="20"/>
      <c r="G67" s="1026">
        <f>G49</f>
        <v>0</v>
      </c>
      <c r="H67" s="1027">
        <f>IF(H45=Bron!$E$40,55,0)</f>
        <v>0</v>
      </c>
      <c r="I67" s="1025">
        <f>I49</f>
        <v>2.3958200000000001</v>
      </c>
      <c r="J67" s="1025"/>
      <c r="K67" s="1028">
        <f>ROUND(G67*H67*I67,2)</f>
        <v>0</v>
      </c>
      <c r="L67" s="20"/>
      <c r="M67" s="1026">
        <f>M49</f>
        <v>0</v>
      </c>
      <c r="N67" s="1027">
        <f>IF(N45=Bron!$E$40,55,0)</f>
        <v>0</v>
      </c>
      <c r="O67" s="1025">
        <f>O49</f>
        <v>2.3958200000000001</v>
      </c>
      <c r="P67" s="1025"/>
      <c r="Q67" s="1028">
        <f>ROUND(M67*N67*O67,2)</f>
        <v>0</v>
      </c>
    </row>
    <row r="68" spans="1:17" outlineLevel="2" x14ac:dyDescent="0.3">
      <c r="A68" s="32" t="s">
        <v>285</v>
      </c>
      <c r="B68" s="1028">
        <f>'Bouwkost UITB'!$CE$51</f>
        <v>0</v>
      </c>
      <c r="C68" s="1029">
        <v>0.6</v>
      </c>
      <c r="D68" s="1025"/>
      <c r="E68" s="1028">
        <f>B68*C68</f>
        <v>0</v>
      </c>
      <c r="F68" s="20"/>
      <c r="G68" s="32" t="s">
        <v>285</v>
      </c>
      <c r="H68" s="1028">
        <f>'Bouwkost UITB'!$P$51</f>
        <v>0</v>
      </c>
      <c r="I68" s="1029">
        <v>0.6</v>
      </c>
      <c r="J68" s="1025"/>
      <c r="K68" s="1028">
        <f>H68*I68</f>
        <v>0</v>
      </c>
      <c r="L68" s="20"/>
      <c r="M68" s="32" t="s">
        <v>285</v>
      </c>
      <c r="N68" s="1028">
        <f>'Bouwkost UITB'!AA51</f>
        <v>0</v>
      </c>
      <c r="O68" s="1029">
        <v>0.6</v>
      </c>
      <c r="P68" s="1025"/>
      <c r="Q68" s="1028">
        <f>N68*O68</f>
        <v>0</v>
      </c>
    </row>
    <row r="69" spans="1:17" outlineLevel="2" x14ac:dyDescent="0.3">
      <c r="A69" s="32" t="s">
        <v>286</v>
      </c>
      <c r="B69" s="1028">
        <f>'Bouwkost UITB'!$E$57</f>
        <v>0</v>
      </c>
      <c r="C69" s="1029">
        <v>0.6</v>
      </c>
      <c r="D69" s="1025"/>
      <c r="E69" s="1028">
        <f>B69*C69</f>
        <v>0</v>
      </c>
      <c r="F69" s="20"/>
      <c r="G69" s="32" t="s">
        <v>286</v>
      </c>
      <c r="H69" s="1028">
        <f>'Bouwkost UITB'!$P$57</f>
        <v>0</v>
      </c>
      <c r="I69" s="1029">
        <v>0.6</v>
      </c>
      <c r="J69" s="1025"/>
      <c r="K69" s="1028">
        <f>H69*I69</f>
        <v>0</v>
      </c>
      <c r="L69" s="20"/>
      <c r="M69" s="32" t="s">
        <v>286</v>
      </c>
      <c r="N69" s="1028">
        <f>'Bouwkost UITB'!$AA$57</f>
        <v>0</v>
      </c>
      <c r="O69" s="1029">
        <v>0.6</v>
      </c>
      <c r="P69" s="1025"/>
      <c r="Q69" s="1028">
        <f>N69*O69</f>
        <v>0</v>
      </c>
    </row>
    <row r="70" spans="1:17" outlineLevel="2" x14ac:dyDescent="0.3">
      <c r="A70" s="1234" t="s">
        <v>287</v>
      </c>
      <c r="B70" s="1234"/>
      <c r="C70" s="133"/>
      <c r="D70" s="1032" t="s">
        <v>32</v>
      </c>
      <c r="E70" s="1031">
        <f>MIN(E67,E68+E69)</f>
        <v>0</v>
      </c>
      <c r="F70" s="20"/>
      <c r="G70" s="1234" t="s">
        <v>287</v>
      </c>
      <c r="H70" s="1234"/>
      <c r="I70" s="133"/>
      <c r="J70" s="1032" t="s">
        <v>32</v>
      </c>
      <c r="K70" s="1031">
        <f>MIN(K69:K69)</f>
        <v>0</v>
      </c>
      <c r="L70" s="20"/>
      <c r="M70" s="1234" t="s">
        <v>287</v>
      </c>
      <c r="N70" s="1234"/>
      <c r="O70" s="133"/>
      <c r="P70" s="1032" t="s">
        <v>32</v>
      </c>
      <c r="Q70" s="1031">
        <f>MIN(Q69:Q69)</f>
        <v>0</v>
      </c>
    </row>
    <row r="71" spans="1:17" outlineLevel="2" x14ac:dyDescent="0.3">
      <c r="A71" s="22" t="s">
        <v>306</v>
      </c>
      <c r="B71" s="22"/>
      <c r="C71" s="35">
        <v>0.1</v>
      </c>
      <c r="D71" s="22"/>
      <c r="E71" s="34">
        <f>ROUND(E70*C71,2)</f>
        <v>0</v>
      </c>
      <c r="G71" s="22" t="s">
        <v>306</v>
      </c>
      <c r="H71" s="22"/>
      <c r="I71" s="35">
        <v>0.1</v>
      </c>
      <c r="J71" s="22"/>
      <c r="K71" s="34">
        <f>ROUND(K70*I71,2)</f>
        <v>0</v>
      </c>
      <c r="M71" s="22" t="s">
        <v>306</v>
      </c>
      <c r="N71" s="22"/>
      <c r="O71" s="35">
        <v>0.1</v>
      </c>
      <c r="P71" s="22"/>
      <c r="Q71" s="34">
        <f>ROUND(Q70*O71,2)</f>
        <v>0</v>
      </c>
    </row>
    <row r="72" spans="1:17" outlineLevel="2" x14ac:dyDescent="0.3">
      <c r="A72" s="22" t="s">
        <v>64</v>
      </c>
      <c r="B72" s="22" t="s">
        <v>307</v>
      </c>
      <c r="C72" s="35">
        <v>0.21</v>
      </c>
      <c r="D72" s="22"/>
      <c r="E72" s="34">
        <f>ROUND(E70*C72,2)</f>
        <v>0</v>
      </c>
      <c r="G72" s="22" t="s">
        <v>64</v>
      </c>
      <c r="H72" s="22" t="s">
        <v>307</v>
      </c>
      <c r="I72" s="35">
        <v>0.21</v>
      </c>
      <c r="J72" s="22"/>
      <c r="K72" s="34">
        <f>ROUND(K70*I72,2)</f>
        <v>0</v>
      </c>
      <c r="M72" s="22" t="s">
        <v>64</v>
      </c>
      <c r="N72" s="22" t="s">
        <v>307</v>
      </c>
      <c r="O72" s="35">
        <v>0.21</v>
      </c>
      <c r="P72" s="22"/>
      <c r="Q72" s="34">
        <f>ROUND(Q70*O72,2)</f>
        <v>0</v>
      </c>
    </row>
    <row r="73" spans="1:17" ht="15" outlineLevel="2" thickBot="1" x14ac:dyDescent="0.35">
      <c r="A73" s="36" t="s">
        <v>294</v>
      </c>
      <c r="B73" s="36" t="s">
        <v>308</v>
      </c>
      <c r="C73" s="37">
        <v>0.21</v>
      </c>
      <c r="D73" s="36"/>
      <c r="E73" s="38">
        <f>ROUND(E71*C73,2)</f>
        <v>0</v>
      </c>
      <c r="G73" s="36" t="s">
        <v>294</v>
      </c>
      <c r="H73" s="36" t="s">
        <v>308</v>
      </c>
      <c r="I73" s="37">
        <v>0.21</v>
      </c>
      <c r="J73" s="36"/>
      <c r="K73" s="38">
        <f>ROUND(K71*I73,2)</f>
        <v>0</v>
      </c>
      <c r="M73" s="36" t="s">
        <v>294</v>
      </c>
      <c r="N73" s="36" t="s">
        <v>308</v>
      </c>
      <c r="O73" s="37">
        <v>0.21</v>
      </c>
      <c r="P73" s="36"/>
      <c r="Q73" s="38">
        <f>ROUND(Q71*O73,2)</f>
        <v>0</v>
      </c>
    </row>
    <row r="74" spans="1:17" ht="15" outlineLevel="2" thickTop="1" x14ac:dyDescent="0.3">
      <c r="A74" s="22" t="s">
        <v>282</v>
      </c>
      <c r="B74" s="22"/>
      <c r="C74" s="35"/>
      <c r="D74" s="22"/>
      <c r="E74" s="96">
        <f>SUM(E71:E73)+E70</f>
        <v>0</v>
      </c>
      <c r="G74" s="22" t="s">
        <v>282</v>
      </c>
      <c r="H74" s="22"/>
      <c r="I74" s="35"/>
      <c r="J74" s="22"/>
      <c r="K74" s="96">
        <f>SUM(K71:K73)+K70</f>
        <v>0</v>
      </c>
      <c r="M74" s="22" t="s">
        <v>282</v>
      </c>
      <c r="N74" s="22"/>
      <c r="O74" s="35"/>
      <c r="P74" s="22"/>
      <c r="Q74" s="96">
        <f>SUM(Q71:Q73)+Q70</f>
        <v>0</v>
      </c>
    </row>
    <row r="75" spans="1:17" outlineLevel="2" x14ac:dyDescent="0.3">
      <c r="A75" s="981"/>
      <c r="B75" s="981"/>
      <c r="C75" s="851"/>
      <c r="D75" s="852"/>
      <c r="E75" s="51"/>
      <c r="G75" s="981"/>
      <c r="H75" s="981"/>
      <c r="I75" s="851"/>
      <c r="J75" s="852"/>
      <c r="K75" s="51"/>
      <c r="M75" s="981"/>
      <c r="N75" s="981"/>
      <c r="O75" s="851"/>
      <c r="P75" s="852"/>
      <c r="Q75" s="51"/>
    </row>
    <row r="76" spans="1:17" outlineLevel="1" x14ac:dyDescent="0.3">
      <c r="A76" s="22" t="s">
        <v>309</v>
      </c>
      <c r="B76" s="22"/>
      <c r="C76" s="35"/>
      <c r="D76" s="22"/>
      <c r="E76" s="495">
        <f>E53+E63+E74</f>
        <v>0</v>
      </c>
      <c r="G76" s="22" t="s">
        <v>309</v>
      </c>
      <c r="H76" s="22"/>
      <c r="I76" s="35"/>
      <c r="J76" s="22"/>
      <c r="K76" s="495">
        <f>K53+K63+K74</f>
        <v>0</v>
      </c>
      <c r="M76" s="22" t="s">
        <v>309</v>
      </c>
      <c r="N76" s="22"/>
      <c r="O76" s="35"/>
      <c r="P76" s="22"/>
      <c r="Q76" s="495">
        <f>Q53+Q63+Q74</f>
        <v>0</v>
      </c>
    </row>
    <row r="77" spans="1:17" ht="15" outlineLevel="1" thickBot="1" x14ac:dyDescent="0.35">
      <c r="A77" s="18"/>
      <c r="B77" s="18"/>
      <c r="C77" s="39"/>
      <c r="D77" s="18"/>
      <c r="I77" s="39"/>
      <c r="K77"/>
      <c r="O77" s="39"/>
      <c r="Q77"/>
    </row>
    <row r="78" spans="1:17" ht="18.600000000000001" customHeight="1" outlineLevel="1" thickBot="1" x14ac:dyDescent="0.35">
      <c r="A78" s="1224" t="s">
        <v>310</v>
      </c>
      <c r="B78" s="1225"/>
      <c r="C78" s="127">
        <f>(E49+E59)+E70</f>
        <v>0</v>
      </c>
      <c r="D78" s="131" t="s">
        <v>289</v>
      </c>
      <c r="E78" s="492">
        <f>ROUND(C78*10/6,2)</f>
        <v>0</v>
      </c>
      <c r="G78" s="1224" t="s">
        <v>310</v>
      </c>
      <c r="H78" s="1225"/>
      <c r="I78" s="127">
        <f>(K49+K59)+K70</f>
        <v>0</v>
      </c>
      <c r="J78" s="131" t="s">
        <v>289</v>
      </c>
      <c r="K78" s="492">
        <f>ROUND(I78*10/6,2)</f>
        <v>0</v>
      </c>
      <c r="M78" s="1224" t="s">
        <v>310</v>
      </c>
      <c r="N78" s="1225"/>
      <c r="O78" s="127">
        <f>(Q49+Q59)+Q70</f>
        <v>0</v>
      </c>
      <c r="P78" s="131" t="s">
        <v>289</v>
      </c>
      <c r="Q78" s="492">
        <f>ROUND(O78*10/6,2)</f>
        <v>0</v>
      </c>
    </row>
    <row r="79" spans="1:17" outlineLevel="1" x14ac:dyDescent="0.3">
      <c r="I79" s="39"/>
      <c r="O79" s="39"/>
    </row>
    <row r="80" spans="1:17" outlineLevel="1" x14ac:dyDescent="0.3">
      <c r="A80" s="8" t="s">
        <v>290</v>
      </c>
      <c r="B80" s="8"/>
      <c r="C80" s="8"/>
      <c r="G80" s="237" t="s">
        <v>290</v>
      </c>
      <c r="H80" s="8"/>
      <c r="I80" s="8"/>
      <c r="J80"/>
      <c r="K80"/>
      <c r="M80" s="237" t="s">
        <v>290</v>
      </c>
      <c r="N80" s="8"/>
      <c r="O80" s="8"/>
    </row>
    <row r="81" spans="1:17" outlineLevel="1" x14ac:dyDescent="0.3">
      <c r="A81" s="8" t="s">
        <v>123</v>
      </c>
      <c r="B81" s="10">
        <f>IF('Overzicht BTA'!$D$15=0,0,IF(MATCH(Bron!$B$10,'uitgebreide raming_gewijzigd'!$B$2:$I$2,0)=1,'uitgebreide raming'!B6,IF(MATCH(Bron!$B$10,'uitgebreide raming_gewijzigd'!$B$2:$I$2,0)=3,'uitgebreide raming_gewijzigd'!D6,IF(MATCH(Bron!$B$10,'uitgebreide raming_gewijzigd'!$B$2:$I$2,0)=5,'uitgebreide raming_gewijzigd'!F6,IF(MATCH(Bron!$B$10,'uitgebreide raming_gewijzigd'!$B$2:$I$2,0)=7,'uitgebreide raming_gewijzigd'!H6,0)))))</f>
        <v>0</v>
      </c>
      <c r="C81" s="9" t="e">
        <f>ROUND(B81/$B$86,2)</f>
        <v>#DIV/0!</v>
      </c>
      <c r="G81" s="8" t="s">
        <v>123</v>
      </c>
      <c r="H81" s="10">
        <f>IF('Overzicht BTA'!$J$15=0,0,IF(MATCH(Bron!$B$10,'uitgebreide raming_gewijzigd'!$B$29:$I$29,0)=1,'uitgebreide raming_gewijzigd'!$B33,IF(MATCH(Bron!$B$10,'uitgebreide raming_gewijzigd'!$B$29:$I$29,0)=3,'uitgebreide raming_gewijzigd'!$D33,IF(MATCH(Bron!$B$10,'uitgebreide raming_gewijzigd'!$B$29:$I$29,0)=5,'uitgebreide raming_gewijzigd'!$F33,IF(MATCH(Bron!$B$10,'uitgebreide raming_gewijzigd'!$B$29:$I$29,0)=7,'uitgebreide raming_gewijzigd'!$H33,0)))))</f>
        <v>0</v>
      </c>
      <c r="I81" s="9" t="e">
        <f>ROUND(H81/$H$86,2)</f>
        <v>#DIV/0!</v>
      </c>
      <c r="J81"/>
      <c r="K81"/>
      <c r="M81" s="8" t="s">
        <v>123</v>
      </c>
      <c r="N81" s="10">
        <f>IF('Overzicht BTA'!$P$15=0,0,IF(MATCH(Bron!$B$10,'uitgebreide raming_gewijzigd'!$B$56:$I$56,0)=1,'uitgebreide raming_gewijzigd'!$B60,IF(MATCH(Bron!$B$10,'uitgebreide raming_gewijzigd'!$B$56:$I$56,0)=3,'uitgebreide raming_gewijzigd'!$D60,IF(MATCH(Bron!$B$10,'uitgebreide raming_gewijzigd'!$B$56:$I$56,0)=5,'uitgebreide raming_gewijzigd'!$F60,IF(MATCH(Bron!$B$10,'uitgebreide raming_gewijzigd'!$B$56:$I$56,0)=7,'uitgebreide raming_gewijzigd'!$H60,0)))))</f>
        <v>0</v>
      </c>
      <c r="O81" s="9" t="e">
        <f>ROUND(N81/$N$86,2)</f>
        <v>#DIV/0!</v>
      </c>
    </row>
    <row r="82" spans="1:17" outlineLevel="1" x14ac:dyDescent="0.3">
      <c r="A82" s="8" t="s">
        <v>124</v>
      </c>
      <c r="B82" s="10">
        <f>IF('Overzicht BTA'!$D$15=0,0,IF(MATCH(Bron!$B$10,'uitgebreide raming_gewijzigd'!$B$2:$I$2,0)=1,'uitgebreide raming'!B7,IF(MATCH(Bron!$B$10,'uitgebreide raming_gewijzigd'!$B$2:$I$2,0)=3,'uitgebreide raming_gewijzigd'!D7,IF(MATCH(Bron!$B$10,'uitgebreide raming_gewijzigd'!$B$2:$I$2,0)=5,'uitgebreide raming_gewijzigd'!F7,IF(MATCH(Bron!$B$10,'uitgebreide raming_gewijzigd'!$B$2:$I$2,0)=7,'uitgebreide raming_gewijzigd'!H7,0)))))</f>
        <v>0</v>
      </c>
      <c r="C82" s="9" t="e">
        <f t="shared" ref="C82:C86" si="3">ROUND(B82/$B$86,2)</f>
        <v>#DIV/0!</v>
      </c>
      <c r="G82" s="8" t="s">
        <v>124</v>
      </c>
      <c r="H82" s="10">
        <f>IF('Overzicht BTA'!$J$15=0,0,IF(MATCH(Bron!$B$10,'uitgebreide raming_gewijzigd'!$B$29:$I$29,0)=1,'uitgebreide raming_gewijzigd'!$B34,IF(MATCH(Bron!$B$10,'uitgebreide raming_gewijzigd'!$B$29:$I$29,0)=3,'uitgebreide raming_gewijzigd'!$D34,IF(MATCH(Bron!$B$10,'uitgebreide raming_gewijzigd'!$B$29:$I$29,0)=5,'uitgebreide raming_gewijzigd'!$F34,IF(MATCH(Bron!$B$10,'uitgebreide raming_gewijzigd'!$B$29:$I$29,0)=7,'uitgebreide raming_gewijzigd'!$H34,0)))))</f>
        <v>0</v>
      </c>
      <c r="I82" s="9" t="e">
        <f t="shared" ref="I82:I86" si="4">ROUND(H82/$H$86,2)</f>
        <v>#DIV/0!</v>
      </c>
      <c r="J82"/>
      <c r="K82"/>
      <c r="M82" s="8" t="s">
        <v>124</v>
      </c>
      <c r="N82" s="10">
        <f>IF('Overzicht BTA'!$P$15=0,0,IF(MATCH(Bron!$B$10,'uitgebreide raming_gewijzigd'!$B$56:$I$56,0)=1,'uitgebreide raming_gewijzigd'!$B61,IF(MATCH(Bron!$B$10,'uitgebreide raming_gewijzigd'!$B$56:$I$56,0)=3,'uitgebreide raming_gewijzigd'!$D61,IF(MATCH(Bron!$B$10,'uitgebreide raming_gewijzigd'!$B$56:$I$56,0)=5,'uitgebreide raming_gewijzigd'!$F61,IF(MATCH(Bron!$B$10,'uitgebreide raming_gewijzigd'!$B$56:$I$56,0)=7,'uitgebreide raming_gewijzigd'!$H61,0)))))</f>
        <v>0</v>
      </c>
      <c r="O82" s="9" t="e">
        <f t="shared" ref="O82:O86" si="5">ROUND(N82/$N$86,2)</f>
        <v>#DIV/0!</v>
      </c>
    </row>
    <row r="83" spans="1:17" outlineLevel="1" x14ac:dyDescent="0.3">
      <c r="A83" s="8" t="s">
        <v>125</v>
      </c>
      <c r="B83" s="10">
        <f>IF('Overzicht BTA'!$D$15=0,0,IF(MATCH(Bron!$B$10,'uitgebreide raming_gewijzigd'!$B$2:$I$2,0)=1,'uitgebreide raming'!B8,IF(MATCH(Bron!$B$10,'uitgebreide raming_gewijzigd'!$B$2:$I$2,0)=3,'uitgebreide raming_gewijzigd'!D8,IF(MATCH(Bron!$B$10,'uitgebreide raming_gewijzigd'!$B$2:$I$2,0)=5,'uitgebreide raming_gewijzigd'!F8,IF(MATCH(Bron!$B$10,'uitgebreide raming_gewijzigd'!$B$2:$I$2,0)=7,'uitgebreide raming_gewijzigd'!H8,0)))))</f>
        <v>0</v>
      </c>
      <c r="C83" s="9" t="e">
        <f t="shared" si="3"/>
        <v>#DIV/0!</v>
      </c>
      <c r="G83" s="8" t="s">
        <v>125</v>
      </c>
      <c r="H83" s="10">
        <f>IF('Overzicht BTA'!$J$15=0,0,IF(MATCH(Bron!$B$10,'uitgebreide raming_gewijzigd'!$B$29:$I$29,0)=1,'uitgebreide raming_gewijzigd'!$B35,IF(MATCH(Bron!$B$10,'uitgebreide raming_gewijzigd'!$B$29:$I$29,0)=3,'uitgebreide raming_gewijzigd'!$D35,IF(MATCH(Bron!$B$10,'uitgebreide raming_gewijzigd'!$B$29:$I$29,0)=5,'uitgebreide raming_gewijzigd'!$F35,IF(MATCH(Bron!$B$10,'uitgebreide raming_gewijzigd'!$B$29:$I$29,0)=7,'uitgebreide raming_gewijzigd'!$H35,0)))))</f>
        <v>0</v>
      </c>
      <c r="I83" s="9" t="e">
        <f t="shared" si="4"/>
        <v>#DIV/0!</v>
      </c>
      <c r="J83"/>
      <c r="K83"/>
      <c r="M83" s="8" t="s">
        <v>125</v>
      </c>
      <c r="N83" s="10">
        <f>IF('Overzicht BTA'!$P$15=0,0,IF(MATCH(Bron!$B$10,'uitgebreide raming_gewijzigd'!$B$56:$I$56,0)=1,'uitgebreide raming_gewijzigd'!$B62,IF(MATCH(Bron!$B$10,'uitgebreide raming_gewijzigd'!$B$56:$I$56,0)=3,'uitgebreide raming_gewijzigd'!$D62,IF(MATCH(Bron!$B$10,'uitgebreide raming_gewijzigd'!$B$56:$I$56,0)=5,'uitgebreide raming_gewijzigd'!$F62,IF(MATCH(Bron!$B$10,'uitgebreide raming_gewijzigd'!$B$56:$I$56,0)=7,'uitgebreide raming_gewijzigd'!$H62,0)))))</f>
        <v>0</v>
      </c>
      <c r="O83" s="9" t="e">
        <f t="shared" si="5"/>
        <v>#DIV/0!</v>
      </c>
      <c r="Q83" s="18" t="s">
        <v>69</v>
      </c>
    </row>
    <row r="84" spans="1:17" outlineLevel="1" x14ac:dyDescent="0.3">
      <c r="A84" s="8" t="s">
        <v>126</v>
      </c>
      <c r="B84" s="10">
        <f>SUM(B81:B83)</f>
        <v>0</v>
      </c>
      <c r="C84" s="9" t="e">
        <f t="shared" si="3"/>
        <v>#DIV/0!</v>
      </c>
      <c r="G84" s="8" t="s">
        <v>126</v>
      </c>
      <c r="H84" s="10">
        <f>SUM(H81:H83)</f>
        <v>0</v>
      </c>
      <c r="I84" s="9" t="e">
        <f t="shared" si="4"/>
        <v>#DIV/0!</v>
      </c>
      <c r="J84"/>
      <c r="K84"/>
      <c r="M84" s="8" t="s">
        <v>126</v>
      </c>
      <c r="N84" s="10">
        <f>SUM(N81:N83)</f>
        <v>0</v>
      </c>
      <c r="O84" s="9" t="e">
        <f t="shared" si="5"/>
        <v>#DIV/0!</v>
      </c>
    </row>
    <row r="85" spans="1:17" ht="27.6" outlineLevel="1" x14ac:dyDescent="0.3">
      <c r="A85" s="8" t="s">
        <v>127</v>
      </c>
      <c r="B85" s="10">
        <f>IF('Overzicht BTA'!$D$15=0,0,IF(MATCH(Bron!$B$10,'uitgebreide raming_gewijzigd'!$B$2:$I$2,0)=1,'uitgebreide raming'!B10,IF(MATCH(Bron!$B$10,'uitgebreide raming_gewijzigd'!$B$2:$I$2,0)=3,'uitgebreide raming_gewijzigd'!D10,IF(MATCH(Bron!$B$10,'uitgebreide raming_gewijzigd'!$B$2:$I$2,0)=5,'uitgebreide raming_gewijzigd'!F10,IF(MATCH(Bron!$B$10,'uitgebreide raming_gewijzigd'!$B$2:$I$2,0)=7,'uitgebreide raming_gewijzigd'!H10,0)))))</f>
        <v>0</v>
      </c>
      <c r="C85" s="9" t="e">
        <f t="shared" si="3"/>
        <v>#DIV/0!</v>
      </c>
      <c r="G85" s="8" t="s">
        <v>127</v>
      </c>
      <c r="H85" s="10">
        <f>IF('Overzicht BTA'!$J$15=0,0,IF(MATCH(Bron!$B$10,'uitgebreide raming_gewijzigd'!$B$29:$I$29,0)=1,'uitgebreide raming_gewijzigd'!$B37,IF(MATCH(Bron!$B$10,'uitgebreide raming_gewijzigd'!$B$29:$I$29,0)=3,'uitgebreide raming_gewijzigd'!$D37,IF(MATCH(Bron!$B$10,'uitgebreide raming_gewijzigd'!$B$29:$I$29,0)=5,'uitgebreide raming_gewijzigd'!$F37,IF(MATCH(Bron!$B$10,'uitgebreide raming_gewijzigd'!$B$29:$I$29,0)=7,'uitgebreide raming_gewijzigd'!$H37,0)))))</f>
        <v>0</v>
      </c>
      <c r="I85" s="9" t="e">
        <f t="shared" si="4"/>
        <v>#DIV/0!</v>
      </c>
      <c r="J85"/>
      <c r="K85"/>
      <c r="M85" s="8" t="s">
        <v>127</v>
      </c>
      <c r="N85" s="10">
        <f>IF('Overzicht BTA'!$P$15=0,0,IF(MATCH(Bron!$B$10,'uitgebreide raming_gewijzigd'!$B$56:$I$56,0)=1,'uitgebreide raming_gewijzigd'!$B64,IF(MATCH(Bron!$B$10,'uitgebreide raming_gewijzigd'!$B$56:$I$56,0)=3,'uitgebreide raming_gewijzigd'!$D64,IF(MATCH(Bron!$B$10,'uitgebreide raming_gewijzigd'!$B$56:$I$56,0)=5,'uitgebreide raming_gewijzigd'!$F64,IF(MATCH(Bron!$B$10,'uitgebreide raming_gewijzigd'!$B$56:$I$56,0)=7,'uitgebreide raming_gewijzigd'!$H64,0)))))</f>
        <v>0</v>
      </c>
      <c r="O85" s="9" t="e">
        <f t="shared" si="5"/>
        <v>#DIV/0!</v>
      </c>
    </row>
    <row r="86" spans="1:17" outlineLevel="1" x14ac:dyDescent="0.3">
      <c r="A86" s="8" t="s">
        <v>110</v>
      </c>
      <c r="B86" s="10">
        <f>B85+B84</f>
        <v>0</v>
      </c>
      <c r="C86" s="9" t="e">
        <f t="shared" si="3"/>
        <v>#DIV/0!</v>
      </c>
      <c r="G86" s="8" t="s">
        <v>110</v>
      </c>
      <c r="H86" s="10">
        <f>H85+H84</f>
        <v>0</v>
      </c>
      <c r="I86" s="9" t="e">
        <f t="shared" si="4"/>
        <v>#DIV/0!</v>
      </c>
      <c r="J86"/>
      <c r="K86"/>
      <c r="M86" s="8" t="s">
        <v>110</v>
      </c>
      <c r="N86" s="10">
        <f>N85+N84</f>
        <v>0</v>
      </c>
      <c r="O86" s="9" t="e">
        <f t="shared" si="5"/>
        <v>#DIV/0!</v>
      </c>
    </row>
    <row r="88" spans="1:17" ht="18" x14ac:dyDescent="0.3">
      <c r="A88" s="1223" t="s">
        <v>92</v>
      </c>
      <c r="B88" s="1223"/>
      <c r="C88" s="1223"/>
      <c r="D88" s="1223"/>
      <c r="E88" s="1223"/>
      <c r="F88" s="1223"/>
      <c r="G88" s="1223"/>
      <c r="H88" s="1223"/>
      <c r="I88" s="1223"/>
      <c r="J88" s="1223"/>
      <c r="K88" s="1223"/>
      <c r="L88" s="1223"/>
      <c r="M88" s="1223"/>
      <c r="N88" s="1223"/>
      <c r="O88" s="1223"/>
      <c r="P88" s="1223"/>
      <c r="Q88" s="1223"/>
    </row>
    <row r="89" spans="1:17" outlineLevel="1" x14ac:dyDescent="0.3">
      <c r="A89" s="106" t="s">
        <v>23</v>
      </c>
      <c r="B89" s="106" t="str">
        <f>'Overzicht BTA'!$C$3</f>
        <v>Kies de zorgvorm</v>
      </c>
      <c r="C89" s="106"/>
      <c r="D89" s="106"/>
      <c r="E89" s="106"/>
      <c r="F89" s="106"/>
      <c r="G89" s="54" t="s">
        <v>23</v>
      </c>
      <c r="H89" s="54" t="str">
        <f>'Overzicht BTA'!$H$3</f>
        <v>Kies de zorgvorm</v>
      </c>
      <c r="I89" s="54"/>
      <c r="J89" s="54"/>
      <c r="K89" s="54"/>
      <c r="L89" s="106"/>
      <c r="M89" s="54" t="s">
        <v>23</v>
      </c>
      <c r="N89" s="54" t="str">
        <f>N45</f>
        <v>Kies de zorgvorm</v>
      </c>
      <c r="O89" s="54"/>
      <c r="P89" s="54"/>
      <c r="Q89" s="54"/>
    </row>
    <row r="90" spans="1:17" outlineLevel="1" x14ac:dyDescent="0.3">
      <c r="A90" s="134" t="s">
        <v>72</v>
      </c>
      <c r="B90" s="135"/>
      <c r="C90" s="135"/>
      <c r="D90" s="135"/>
      <c r="E90" s="136"/>
      <c r="G90" s="134" t="s">
        <v>72</v>
      </c>
      <c r="H90" s="135"/>
      <c r="I90" s="135"/>
      <c r="J90" s="135"/>
      <c r="K90" s="136"/>
      <c r="M90" s="134" t="s">
        <v>72</v>
      </c>
      <c r="N90" s="135"/>
      <c r="O90" s="135"/>
      <c r="P90" s="135"/>
      <c r="Q90" s="136"/>
    </row>
    <row r="91" spans="1:17" outlineLevel="1" x14ac:dyDescent="0.3">
      <c r="A91" s="1235" t="s">
        <v>300</v>
      </c>
      <c r="B91" s="1236"/>
      <c r="C91" s="111"/>
      <c r="D91" s="111"/>
      <c r="E91" s="111"/>
      <c r="G91" s="1235" t="s">
        <v>300</v>
      </c>
      <c r="H91" s="1236"/>
      <c r="I91" s="111"/>
      <c r="J91" s="111"/>
      <c r="K91" s="111"/>
      <c r="M91" s="1235" t="s">
        <v>300</v>
      </c>
      <c r="N91" s="1236"/>
      <c r="O91" s="111"/>
      <c r="P91" s="111"/>
      <c r="Q91" s="111"/>
    </row>
    <row r="92" spans="1:17" outlineLevel="1" x14ac:dyDescent="0.3">
      <c r="A92" s="369" t="s">
        <v>301</v>
      </c>
      <c r="B92" s="369" t="s">
        <v>275</v>
      </c>
      <c r="C92" s="369" t="s">
        <v>276</v>
      </c>
      <c r="D92" s="369"/>
      <c r="E92" s="369" t="s">
        <v>277</v>
      </c>
      <c r="F92" s="23"/>
      <c r="G92" s="369" t="s">
        <v>301</v>
      </c>
      <c r="H92" s="32" t="s">
        <v>275</v>
      </c>
      <c r="I92" s="32" t="s">
        <v>276</v>
      </c>
      <c r="J92" s="33"/>
      <c r="K92" s="32" t="s">
        <v>277</v>
      </c>
      <c r="M92" s="369" t="s">
        <v>301</v>
      </c>
      <c r="N92" s="32" t="s">
        <v>275</v>
      </c>
      <c r="O92" s="32" t="s">
        <v>276</v>
      </c>
      <c r="P92" s="33"/>
      <c r="Q92" s="32" t="s">
        <v>277</v>
      </c>
    </row>
    <row r="93" spans="1:17" ht="15" outlineLevel="1" thickBot="1" x14ac:dyDescent="0.35">
      <c r="A93" s="368">
        <f>A49</f>
        <v>0</v>
      </c>
      <c r="B93" s="907">
        <f>B49</f>
        <v>0</v>
      </c>
      <c r="C93" s="370">
        <f>'Overzicht BTA'!$D$38</f>
        <v>2.3958200000000001</v>
      </c>
      <c r="D93" s="219" t="s">
        <v>19</v>
      </c>
      <c r="E93" s="220">
        <f>ROUND(A93*B93*C93,2)</f>
        <v>0</v>
      </c>
      <c r="F93" s="25"/>
      <c r="G93" s="368">
        <f>G49</f>
        <v>0</v>
      </c>
      <c r="H93" s="907">
        <f>H49</f>
        <v>0</v>
      </c>
      <c r="I93" s="370">
        <f>'Overzicht BTA'!$D$38</f>
        <v>2.3958200000000001</v>
      </c>
      <c r="J93" s="241" t="s">
        <v>19</v>
      </c>
      <c r="K93" s="220">
        <f>ROUND(G93*H93*I93,2)</f>
        <v>0</v>
      </c>
      <c r="M93" s="368">
        <f>M49</f>
        <v>0</v>
      </c>
      <c r="N93" s="907">
        <f>N49</f>
        <v>0</v>
      </c>
      <c r="O93" s="370">
        <f>'Overzicht BTA'!$D$38</f>
        <v>2.3958200000000001</v>
      </c>
      <c r="P93" s="241" t="s">
        <v>19</v>
      </c>
      <c r="Q93" s="220">
        <f>ROUND(M93*N93*O93,2)</f>
        <v>0</v>
      </c>
    </row>
    <row r="94" spans="1:17" ht="15" outlineLevel="1" thickBot="1" x14ac:dyDescent="0.35">
      <c r="A94" s="213" t="s">
        <v>302</v>
      </c>
      <c r="B94" s="8"/>
      <c r="C94" s="9">
        <v>0.1</v>
      </c>
      <c r="D94" s="9"/>
      <c r="E94" s="24">
        <f>ROUND(E93*C94,2)</f>
        <v>0</v>
      </c>
      <c r="F94" s="25"/>
      <c r="G94" s="221" t="s">
        <v>279</v>
      </c>
      <c r="H94" s="8"/>
      <c r="I94" s="9">
        <v>0.1</v>
      </c>
      <c r="J94" s="9"/>
      <c r="K94" s="24">
        <f>ROUND(K93*I94,2)</f>
        <v>0</v>
      </c>
      <c r="M94" s="221" t="s">
        <v>279</v>
      </c>
      <c r="N94" s="8"/>
      <c r="O94" s="9">
        <v>0.1</v>
      </c>
      <c r="P94" s="9"/>
      <c r="Q94" s="24">
        <f>ROUND(Q93*O94,2)</f>
        <v>0</v>
      </c>
    </row>
    <row r="95" spans="1:17" outlineLevel="1" x14ac:dyDescent="0.3">
      <c r="A95" s="8" t="s">
        <v>64</v>
      </c>
      <c r="B95" s="8" t="s">
        <v>293</v>
      </c>
      <c r="C95" s="97">
        <f>C51</f>
        <v>0</v>
      </c>
      <c r="D95" s="9"/>
      <c r="E95" s="24">
        <f>ROUND(E93*C95,2)</f>
        <v>0</v>
      </c>
      <c r="F95" s="25"/>
      <c r="G95" s="8" t="s">
        <v>64</v>
      </c>
      <c r="H95" s="8" t="s">
        <v>293</v>
      </c>
      <c r="I95" s="97">
        <f>I51</f>
        <v>0</v>
      </c>
      <c r="J95" s="9"/>
      <c r="K95" s="24">
        <f>ROUND(K93*I95,2)</f>
        <v>0</v>
      </c>
      <c r="M95" s="8" t="s">
        <v>64</v>
      </c>
      <c r="N95" s="8" t="s">
        <v>293</v>
      </c>
      <c r="O95" s="97">
        <f>O51</f>
        <v>0</v>
      </c>
      <c r="P95" s="9"/>
      <c r="Q95" s="24">
        <f>ROUND(Q93*O95,2)</f>
        <v>0</v>
      </c>
    </row>
    <row r="96" spans="1:17" ht="15" outlineLevel="1" thickBot="1" x14ac:dyDescent="0.35">
      <c r="A96" s="8" t="s">
        <v>64</v>
      </c>
      <c r="B96" s="50" t="s">
        <v>281</v>
      </c>
      <c r="C96" s="9">
        <v>0.21</v>
      </c>
      <c r="D96" s="26"/>
      <c r="E96" s="27">
        <f>ROUND(E94*C96,2)</f>
        <v>0</v>
      </c>
      <c r="F96" s="25"/>
      <c r="G96" s="8" t="s">
        <v>64</v>
      </c>
      <c r="H96" s="50" t="s">
        <v>281</v>
      </c>
      <c r="I96" s="9">
        <v>0.21</v>
      </c>
      <c r="J96" s="26"/>
      <c r="K96" s="27">
        <f>ROUND(K94*I96,2)</f>
        <v>0</v>
      </c>
      <c r="M96" s="8" t="s">
        <v>64</v>
      </c>
      <c r="N96" s="50" t="s">
        <v>281</v>
      </c>
      <c r="O96" s="9">
        <v>0.21</v>
      </c>
      <c r="P96" s="26"/>
      <c r="Q96" s="27">
        <f>ROUND(Q94*O96,2)</f>
        <v>0</v>
      </c>
    </row>
    <row r="97" spans="1:17" ht="15" outlineLevel="1" thickTop="1" x14ac:dyDescent="0.3">
      <c r="A97" s="28" t="s">
        <v>282</v>
      </c>
      <c r="B97" s="29"/>
      <c r="C97" s="30"/>
      <c r="D97" s="31"/>
      <c r="E97" s="95">
        <f>SUM(E93:E96)</f>
        <v>0</v>
      </c>
      <c r="F97" s="25"/>
      <c r="G97" s="28" t="s">
        <v>282</v>
      </c>
      <c r="H97" s="29"/>
      <c r="I97" s="30"/>
      <c r="J97" s="31"/>
      <c r="K97" s="95">
        <f>SUM(K93:K96)</f>
        <v>0</v>
      </c>
      <c r="M97" s="28" t="s">
        <v>282</v>
      </c>
      <c r="N97" s="29"/>
      <c r="O97" s="30"/>
      <c r="P97" s="31"/>
      <c r="Q97" s="95">
        <f>SUM(Q93:Q96)</f>
        <v>0</v>
      </c>
    </row>
    <row r="98" spans="1:17" outlineLevel="1" x14ac:dyDescent="0.3"/>
    <row r="99" spans="1:17" outlineLevel="1" x14ac:dyDescent="0.3">
      <c r="A99" s="1232" t="s">
        <v>303</v>
      </c>
      <c r="B99" s="1233"/>
      <c r="C99" s="153"/>
      <c r="D99" s="154"/>
      <c r="E99" s="153"/>
      <c r="G99" s="1232" t="s">
        <v>303</v>
      </c>
      <c r="H99" s="1233"/>
      <c r="I99" s="153"/>
      <c r="J99" s="154"/>
      <c r="K99" s="153"/>
      <c r="M99" s="1232" t="s">
        <v>303</v>
      </c>
      <c r="N99" s="1233"/>
      <c r="O99" s="153"/>
      <c r="P99" s="154"/>
      <c r="Q99" s="153"/>
    </row>
    <row r="100" spans="1:17" outlineLevel="1" x14ac:dyDescent="0.3">
      <c r="A100" s="70" t="s">
        <v>304</v>
      </c>
      <c r="B100" s="32" t="s">
        <v>275</v>
      </c>
      <c r="C100" s="239" t="s">
        <v>276</v>
      </c>
      <c r="D100" s="33"/>
      <c r="E100" s="32" t="s">
        <v>277</v>
      </c>
      <c r="G100" s="70" t="s">
        <v>304</v>
      </c>
      <c r="H100" s="32" t="s">
        <v>275</v>
      </c>
      <c r="I100" s="32" t="s">
        <v>276</v>
      </c>
      <c r="J100" s="33"/>
      <c r="K100" s="32" t="s">
        <v>277</v>
      </c>
      <c r="M100" s="70" t="s">
        <v>304</v>
      </c>
      <c r="N100" s="32" t="s">
        <v>275</v>
      </c>
      <c r="O100" s="32" t="s">
        <v>276</v>
      </c>
      <c r="P100" s="33"/>
      <c r="Q100" s="32" t="s">
        <v>277</v>
      </c>
    </row>
    <row r="101" spans="1:17" outlineLevel="1" x14ac:dyDescent="0.3">
      <c r="A101" s="367">
        <f>A93</f>
        <v>0</v>
      </c>
      <c r="B101" s="907">
        <f>B57</f>
        <v>0</v>
      </c>
      <c r="C101" s="240">
        <f>'Overzicht BTA'!$D$38</f>
        <v>2.3958200000000001</v>
      </c>
      <c r="D101" s="238"/>
      <c r="E101" s="73">
        <f>ROUND(A101*B101*C101,2)</f>
        <v>0</v>
      </c>
      <c r="G101" s="367">
        <f>G93</f>
        <v>0</v>
      </c>
      <c r="H101" s="907">
        <f>H57</f>
        <v>0</v>
      </c>
      <c r="I101" s="240">
        <f>'Overzicht BTA'!$D$38</f>
        <v>2.3958200000000001</v>
      </c>
      <c r="J101" s="72"/>
      <c r="K101" s="73">
        <f>ROUND(G101*H101*I101,2)</f>
        <v>0</v>
      </c>
      <c r="M101" s="367">
        <f>M93</f>
        <v>0</v>
      </c>
      <c r="N101" s="907">
        <f>N57</f>
        <v>0</v>
      </c>
      <c r="O101" s="240">
        <f>'Overzicht BTA'!$D$38</f>
        <v>2.3958200000000001</v>
      </c>
      <c r="P101" s="72"/>
      <c r="Q101" s="73">
        <f>ROUND(M101*N101*O101,2)</f>
        <v>0</v>
      </c>
    </row>
    <row r="102" spans="1:17" outlineLevel="1" x14ac:dyDescent="0.3">
      <c r="A102" s="65" t="s">
        <v>305</v>
      </c>
      <c r="B102" s="63">
        <f>B85</f>
        <v>0</v>
      </c>
      <c r="C102" s="66">
        <v>0.6</v>
      </c>
      <c r="D102" s="67"/>
      <c r="E102" s="68">
        <f>ROUND(B102*C102,2)</f>
        <v>0</v>
      </c>
      <c r="G102" s="65" t="s">
        <v>305</v>
      </c>
      <c r="H102" s="63">
        <f>H85</f>
        <v>0</v>
      </c>
      <c r="I102" s="66">
        <v>0.6</v>
      </c>
      <c r="J102" s="67"/>
      <c r="K102" s="68">
        <f>ROUND(H102*I102,2)</f>
        <v>0</v>
      </c>
      <c r="M102" s="65" t="s">
        <v>305</v>
      </c>
      <c r="N102" s="63">
        <f>N85</f>
        <v>0</v>
      </c>
      <c r="O102" s="66">
        <v>0.6</v>
      </c>
      <c r="P102" s="67"/>
      <c r="Q102" s="68">
        <f>ROUND(N102*O102,2)</f>
        <v>0</v>
      </c>
    </row>
    <row r="103" spans="1:17" outlineLevel="1" x14ac:dyDescent="0.3">
      <c r="A103" s="1220" t="s">
        <v>287</v>
      </c>
      <c r="B103" s="1221"/>
      <c r="C103" s="20"/>
      <c r="D103" s="133" t="s">
        <v>29</v>
      </c>
      <c r="E103" s="34">
        <f>MIN(E101,E102)</f>
        <v>0</v>
      </c>
      <c r="G103" s="1220" t="s">
        <v>287</v>
      </c>
      <c r="H103" s="1221"/>
      <c r="I103" s="20"/>
      <c r="J103" s="133" t="s">
        <v>29</v>
      </c>
      <c r="K103" s="34">
        <f>MIN(K101,K102)</f>
        <v>0</v>
      </c>
      <c r="M103" s="1220" t="s">
        <v>287</v>
      </c>
      <c r="N103" s="1221"/>
      <c r="O103" s="20"/>
      <c r="P103" s="133" t="s">
        <v>29</v>
      </c>
      <c r="Q103" s="34">
        <f>MIN(Q101,Q102)</f>
        <v>0</v>
      </c>
    </row>
    <row r="104" spans="1:17" ht="15" customHeight="1" outlineLevel="1" x14ac:dyDescent="0.3">
      <c r="A104" s="22" t="s">
        <v>306</v>
      </c>
      <c r="B104" s="22"/>
      <c r="C104" s="35">
        <v>0.1</v>
      </c>
      <c r="D104" s="22"/>
      <c r="E104" s="34">
        <f>ROUND(E103*C104,2)</f>
        <v>0</v>
      </c>
      <c r="G104" s="22" t="s">
        <v>306</v>
      </c>
      <c r="H104" s="22"/>
      <c r="I104" s="35">
        <v>0.1</v>
      </c>
      <c r="J104" s="22"/>
      <c r="K104" s="34">
        <f>ROUND(K103*I104,2)</f>
        <v>0</v>
      </c>
      <c r="M104" s="22" t="s">
        <v>306</v>
      </c>
      <c r="N104" s="22"/>
      <c r="O104" s="35">
        <v>0.1</v>
      </c>
      <c r="P104" s="22"/>
      <c r="Q104" s="34">
        <f>ROUND(Q103*O104,2)</f>
        <v>0</v>
      </c>
    </row>
    <row r="105" spans="1:17" outlineLevel="1" x14ac:dyDescent="0.3">
      <c r="A105" s="22" t="s">
        <v>64</v>
      </c>
      <c r="B105" s="22" t="s">
        <v>307</v>
      </c>
      <c r="C105" s="35">
        <v>0.21</v>
      </c>
      <c r="D105" s="22"/>
      <c r="E105" s="34">
        <f>ROUND(E103*C105,2)</f>
        <v>0</v>
      </c>
      <c r="G105" s="22" t="s">
        <v>64</v>
      </c>
      <c r="H105" s="22" t="s">
        <v>307</v>
      </c>
      <c r="I105" s="35">
        <v>0.21</v>
      </c>
      <c r="J105" s="22"/>
      <c r="K105" s="34">
        <f>ROUND(K103*I105,2)</f>
        <v>0</v>
      </c>
      <c r="M105" s="22" t="s">
        <v>64</v>
      </c>
      <c r="N105" s="22" t="s">
        <v>307</v>
      </c>
      <c r="O105" s="35">
        <v>0.21</v>
      </c>
      <c r="P105" s="22"/>
      <c r="Q105" s="34">
        <f>ROUND(Q103*O105,2)</f>
        <v>0</v>
      </c>
    </row>
    <row r="106" spans="1:17" ht="15" outlineLevel="1" thickBot="1" x14ac:dyDescent="0.35">
      <c r="A106" s="36" t="s">
        <v>294</v>
      </c>
      <c r="B106" s="36" t="s">
        <v>308</v>
      </c>
      <c r="C106" s="37">
        <v>0.21</v>
      </c>
      <c r="D106" s="36"/>
      <c r="E106" s="38">
        <f>ROUND(E104*C106,2)</f>
        <v>0</v>
      </c>
      <c r="G106" s="36" t="s">
        <v>294</v>
      </c>
      <c r="H106" s="36" t="s">
        <v>308</v>
      </c>
      <c r="I106" s="37">
        <v>0.21</v>
      </c>
      <c r="J106" s="36"/>
      <c r="K106" s="38">
        <f>ROUND(K104*I106,2)</f>
        <v>0</v>
      </c>
      <c r="M106" s="36" t="s">
        <v>294</v>
      </c>
      <c r="N106" s="36" t="s">
        <v>308</v>
      </c>
      <c r="O106" s="37">
        <v>0.21</v>
      </c>
      <c r="P106" s="36"/>
      <c r="Q106" s="38">
        <f>ROUND(Q104*O106,2)</f>
        <v>0</v>
      </c>
    </row>
    <row r="107" spans="1:17" ht="15" outlineLevel="1" thickTop="1" x14ac:dyDescent="0.3">
      <c r="A107" s="22" t="s">
        <v>282</v>
      </c>
      <c r="B107" s="22"/>
      <c r="C107" s="35"/>
      <c r="D107" s="22"/>
      <c r="E107" s="96">
        <f>SUM(E104:E106)+E103</f>
        <v>0</v>
      </c>
      <c r="G107" s="22" t="s">
        <v>282</v>
      </c>
      <c r="H107" s="22"/>
      <c r="I107" s="35"/>
      <c r="J107" s="22"/>
      <c r="K107" s="96">
        <f>SUM(K104:K106)+K103</f>
        <v>0</v>
      </c>
      <c r="M107" s="22" t="s">
        <v>282</v>
      </c>
      <c r="N107" s="22"/>
      <c r="O107" s="35"/>
      <c r="P107" s="22"/>
      <c r="Q107" s="96">
        <f>SUM(Q104:Q106)+Q103</f>
        <v>0</v>
      </c>
    </row>
    <row r="108" spans="1:17" ht="15" outlineLevel="1" thickBot="1" x14ac:dyDescent="0.35">
      <c r="A108" s="18"/>
      <c r="B108" s="18"/>
      <c r="C108" s="39"/>
      <c r="D108" s="18"/>
      <c r="I108" s="39"/>
      <c r="K108"/>
      <c r="O108" s="39"/>
      <c r="Q108"/>
    </row>
    <row r="109" spans="1:17" outlineLevel="2" x14ac:dyDescent="0.3">
      <c r="A109" s="1014" t="s">
        <v>283</v>
      </c>
      <c r="B109" s="1015"/>
      <c r="C109" s="1015"/>
      <c r="D109" s="1016"/>
      <c r="E109" s="1016"/>
      <c r="G109" s="1014" t="s">
        <v>283</v>
      </c>
      <c r="H109" s="1015"/>
      <c r="I109" s="1015"/>
      <c r="J109" s="1016"/>
      <c r="K109" s="1016"/>
      <c r="M109" s="1014" t="s">
        <v>283</v>
      </c>
      <c r="N109" s="1015"/>
      <c r="O109" s="1015"/>
      <c r="P109" s="1016"/>
      <c r="Q109" s="1016"/>
    </row>
    <row r="110" spans="1:17" outlineLevel="2" x14ac:dyDescent="0.3">
      <c r="A110" s="1025" t="s">
        <v>274</v>
      </c>
      <c r="B110" s="1025" t="s">
        <v>275</v>
      </c>
      <c r="C110" s="1025" t="s">
        <v>276</v>
      </c>
      <c r="D110" s="1025"/>
      <c r="E110" s="1025" t="s">
        <v>277</v>
      </c>
      <c r="F110" s="20"/>
      <c r="G110" s="1025" t="s">
        <v>274</v>
      </c>
      <c r="H110" s="1025" t="s">
        <v>275</v>
      </c>
      <c r="I110" s="1025" t="s">
        <v>276</v>
      </c>
      <c r="J110" s="1025"/>
      <c r="K110" s="1025" t="s">
        <v>277</v>
      </c>
      <c r="L110" s="20"/>
      <c r="M110" s="1025" t="s">
        <v>274</v>
      </c>
      <c r="N110" s="1025" t="s">
        <v>275</v>
      </c>
      <c r="O110" s="1025" t="s">
        <v>276</v>
      </c>
      <c r="P110" s="1025"/>
      <c r="Q110" s="1025" t="s">
        <v>277</v>
      </c>
    </row>
    <row r="111" spans="1:17" outlineLevel="2" x14ac:dyDescent="0.3">
      <c r="A111" s="1026">
        <f>A93</f>
        <v>0</v>
      </c>
      <c r="B111" s="1027">
        <f>IF(B89=Bron!$E$40,55,0)</f>
        <v>0</v>
      </c>
      <c r="C111" s="1025">
        <f>C93</f>
        <v>2.3958200000000001</v>
      </c>
      <c r="D111" s="1025"/>
      <c r="E111" s="1028">
        <f>ROUND(A111*B111*C111,2)</f>
        <v>0</v>
      </c>
      <c r="F111" s="20"/>
      <c r="G111" s="1026">
        <f>G93</f>
        <v>0</v>
      </c>
      <c r="H111" s="1027">
        <f>IF(H89=Bron!$E$40,55,0)</f>
        <v>0</v>
      </c>
      <c r="I111" s="1025">
        <f>I93</f>
        <v>2.3958200000000001</v>
      </c>
      <c r="J111" s="1025"/>
      <c r="K111" s="1028">
        <f>ROUND(G111*H111*I111,2)</f>
        <v>0</v>
      </c>
      <c r="L111" s="20"/>
      <c r="M111" s="1026">
        <f>M93</f>
        <v>0</v>
      </c>
      <c r="N111" s="1027">
        <f>IF(N89=Bron!$E$40,55,0)</f>
        <v>0</v>
      </c>
      <c r="O111" s="1025">
        <f>O93</f>
        <v>2.3958200000000001</v>
      </c>
      <c r="P111" s="1025"/>
      <c r="Q111" s="1028">
        <f>ROUND(M111*N111*O111,2)</f>
        <v>0</v>
      </c>
    </row>
    <row r="112" spans="1:17" outlineLevel="2" x14ac:dyDescent="0.3">
      <c r="A112" s="32" t="s">
        <v>285</v>
      </c>
      <c r="B112" s="1028">
        <f>'Bouwkost UITB'!$CE$51</f>
        <v>0</v>
      </c>
      <c r="C112" s="1029">
        <v>0.6</v>
      </c>
      <c r="D112" s="1025"/>
      <c r="E112" s="1028">
        <f>B112*C112</f>
        <v>0</v>
      </c>
      <c r="F112" s="20"/>
      <c r="G112" s="32" t="s">
        <v>285</v>
      </c>
      <c r="H112" s="1028">
        <f>'Bouwkost UITB'!$P$51</f>
        <v>0</v>
      </c>
      <c r="I112" s="1029">
        <v>0.6</v>
      </c>
      <c r="J112" s="1025"/>
      <c r="K112" s="1028">
        <f>H112*I112</f>
        <v>0</v>
      </c>
      <c r="L112" s="20"/>
      <c r="M112" s="32" t="s">
        <v>285</v>
      </c>
      <c r="N112" s="1028">
        <f>'Bouwkost UITB'!AA91</f>
        <v>0</v>
      </c>
      <c r="O112" s="1029">
        <v>0.6</v>
      </c>
      <c r="P112" s="1025"/>
      <c r="Q112" s="1028">
        <f>N112*O112</f>
        <v>0</v>
      </c>
    </row>
    <row r="113" spans="1:17" outlineLevel="2" x14ac:dyDescent="0.3">
      <c r="A113" s="32" t="s">
        <v>286</v>
      </c>
      <c r="B113" s="1028">
        <f>'Bouwkost UITB'!$E$57</f>
        <v>0</v>
      </c>
      <c r="C113" s="1029">
        <v>0.6</v>
      </c>
      <c r="D113" s="1025"/>
      <c r="E113" s="1028">
        <f>B113*C113</f>
        <v>0</v>
      </c>
      <c r="F113" s="20"/>
      <c r="G113" s="32" t="s">
        <v>286</v>
      </c>
      <c r="H113" s="1028">
        <f>'Bouwkost UITB'!$P$57</f>
        <v>0</v>
      </c>
      <c r="I113" s="1029">
        <v>0.6</v>
      </c>
      <c r="J113" s="1025"/>
      <c r="K113" s="1028">
        <f>H113*I113</f>
        <v>0</v>
      </c>
      <c r="L113" s="20"/>
      <c r="M113" s="32" t="s">
        <v>286</v>
      </c>
      <c r="N113" s="1028">
        <f>'Bouwkost UITB'!$AA$57</f>
        <v>0</v>
      </c>
      <c r="O113" s="1029">
        <v>0.6</v>
      </c>
      <c r="P113" s="1025"/>
      <c r="Q113" s="1028">
        <f>N113*O113</f>
        <v>0</v>
      </c>
    </row>
    <row r="114" spans="1:17" outlineLevel="2" x14ac:dyDescent="0.3">
      <c r="A114" s="1234" t="s">
        <v>287</v>
      </c>
      <c r="B114" s="1234"/>
      <c r="C114" s="133"/>
      <c r="D114" s="1032" t="s">
        <v>32</v>
      </c>
      <c r="E114" s="1031">
        <f>MIN(E111,E112+E113)</f>
        <v>0</v>
      </c>
      <c r="F114" s="20"/>
      <c r="G114" s="1234" t="s">
        <v>287</v>
      </c>
      <c r="H114" s="1234"/>
      <c r="I114" s="133"/>
      <c r="J114" s="1032" t="s">
        <v>32</v>
      </c>
      <c r="K114" s="1031">
        <f>MIN(K113:K113)</f>
        <v>0</v>
      </c>
      <c r="L114" s="20"/>
      <c r="M114" s="1234" t="s">
        <v>287</v>
      </c>
      <c r="N114" s="1234"/>
      <c r="O114" s="133"/>
      <c r="P114" s="1032" t="s">
        <v>32</v>
      </c>
      <c r="Q114" s="1031">
        <f>MIN(Q113:Q113)</f>
        <v>0</v>
      </c>
    </row>
    <row r="115" spans="1:17" ht="15" customHeight="1" outlineLevel="2" x14ac:dyDescent="0.3">
      <c r="A115" s="22" t="s">
        <v>306</v>
      </c>
      <c r="B115" s="22"/>
      <c r="C115" s="35">
        <v>0.1</v>
      </c>
      <c r="D115" s="22"/>
      <c r="E115" s="34">
        <f>ROUND(E114*C115,2)</f>
        <v>0</v>
      </c>
      <c r="G115" s="22" t="s">
        <v>306</v>
      </c>
      <c r="H115" s="22"/>
      <c r="I115" s="35">
        <v>0.1</v>
      </c>
      <c r="J115" s="22"/>
      <c r="K115" s="34">
        <f>ROUND(K114*I115,2)</f>
        <v>0</v>
      </c>
      <c r="M115" s="22" t="s">
        <v>306</v>
      </c>
      <c r="N115" s="22"/>
      <c r="O115" s="35">
        <v>0.1</v>
      </c>
      <c r="P115" s="22"/>
      <c r="Q115" s="34">
        <f>ROUND(Q114*O115,2)</f>
        <v>0</v>
      </c>
    </row>
    <row r="116" spans="1:17" outlineLevel="2" x14ac:dyDescent="0.3">
      <c r="A116" s="22" t="s">
        <v>64</v>
      </c>
      <c r="B116" s="22" t="s">
        <v>307</v>
      </c>
      <c r="C116" s="35">
        <v>0.21</v>
      </c>
      <c r="D116" s="22"/>
      <c r="E116" s="34">
        <f>ROUND(E114*C116,2)</f>
        <v>0</v>
      </c>
      <c r="G116" s="22" t="s">
        <v>64</v>
      </c>
      <c r="H116" s="22" t="s">
        <v>307</v>
      </c>
      <c r="I116" s="35">
        <v>0.21</v>
      </c>
      <c r="J116" s="22"/>
      <c r="K116" s="34">
        <f>ROUND(K114*I116,2)</f>
        <v>0</v>
      </c>
      <c r="M116" s="22" t="s">
        <v>64</v>
      </c>
      <c r="N116" s="22" t="s">
        <v>307</v>
      </c>
      <c r="O116" s="35">
        <v>0.21</v>
      </c>
      <c r="P116" s="22"/>
      <c r="Q116" s="34">
        <f>ROUND(Q114*O116,2)</f>
        <v>0</v>
      </c>
    </row>
    <row r="117" spans="1:17" ht="15" outlineLevel="2" thickBot="1" x14ac:dyDescent="0.35">
      <c r="A117" s="36" t="s">
        <v>294</v>
      </c>
      <c r="B117" s="36" t="s">
        <v>308</v>
      </c>
      <c r="C117" s="37">
        <v>0.21</v>
      </c>
      <c r="D117" s="36"/>
      <c r="E117" s="38">
        <f>ROUND(E115*C117,2)</f>
        <v>0</v>
      </c>
      <c r="G117" s="36" t="s">
        <v>294</v>
      </c>
      <c r="H117" s="36" t="s">
        <v>308</v>
      </c>
      <c r="I117" s="37">
        <v>0.21</v>
      </c>
      <c r="J117" s="36"/>
      <c r="K117" s="38">
        <f>ROUND(K115*I117,2)</f>
        <v>0</v>
      </c>
      <c r="M117" s="36" t="s">
        <v>294</v>
      </c>
      <c r="N117" s="36" t="s">
        <v>308</v>
      </c>
      <c r="O117" s="37">
        <v>0.21</v>
      </c>
      <c r="P117" s="36"/>
      <c r="Q117" s="38">
        <f>ROUND(Q115*O117,2)</f>
        <v>0</v>
      </c>
    </row>
    <row r="118" spans="1:17" ht="15" outlineLevel="2" thickTop="1" x14ac:dyDescent="0.3">
      <c r="A118" s="22" t="s">
        <v>282</v>
      </c>
      <c r="B118" s="22"/>
      <c r="C118" s="35"/>
      <c r="D118" s="22"/>
      <c r="E118" s="96">
        <f>SUM(E115:E117)+E114</f>
        <v>0</v>
      </c>
      <c r="G118" s="22" t="s">
        <v>282</v>
      </c>
      <c r="H118" s="22"/>
      <c r="I118" s="35"/>
      <c r="J118" s="22"/>
      <c r="K118" s="96">
        <f>SUM(K115:K117)+K114</f>
        <v>0</v>
      </c>
      <c r="M118" s="22" t="s">
        <v>282</v>
      </c>
      <c r="N118" s="22"/>
      <c r="O118" s="35"/>
      <c r="P118" s="22"/>
      <c r="Q118" s="96">
        <f>SUM(Q115:Q117)+Q114</f>
        <v>0</v>
      </c>
    </row>
    <row r="119" spans="1:17" outlineLevel="2" x14ac:dyDescent="0.3">
      <c r="A119" s="22" t="s">
        <v>306</v>
      </c>
      <c r="B119" s="22"/>
      <c r="C119" s="35">
        <v>0.1</v>
      </c>
      <c r="D119" s="22"/>
      <c r="E119" s="34">
        <f>ROUND(E118*C119,2)</f>
        <v>0</v>
      </c>
      <c r="G119" s="22" t="s">
        <v>306</v>
      </c>
      <c r="H119" s="22"/>
      <c r="I119" s="35">
        <v>0.1</v>
      </c>
      <c r="J119" s="22"/>
      <c r="K119" s="34">
        <f>ROUND(K118*I119,2)</f>
        <v>0</v>
      </c>
      <c r="M119" s="22" t="s">
        <v>306</v>
      </c>
      <c r="N119" s="22"/>
      <c r="O119" s="35">
        <v>0.1</v>
      </c>
      <c r="P119" s="22"/>
      <c r="Q119" s="34">
        <f>ROUND(Q118*O119,2)</f>
        <v>0</v>
      </c>
    </row>
    <row r="120" spans="1:17" outlineLevel="2" x14ac:dyDescent="0.3">
      <c r="A120" s="22" t="s">
        <v>64</v>
      </c>
      <c r="B120" s="22" t="s">
        <v>307</v>
      </c>
      <c r="C120" s="35">
        <v>0.21</v>
      </c>
      <c r="D120" s="22"/>
      <c r="E120" s="34">
        <f>ROUND(E118*C120,2)</f>
        <v>0</v>
      </c>
      <c r="G120" s="22" t="s">
        <v>64</v>
      </c>
      <c r="H120" s="22" t="s">
        <v>307</v>
      </c>
      <c r="I120" s="35">
        <v>0.21</v>
      </c>
      <c r="J120" s="22"/>
      <c r="K120" s="34">
        <f>ROUND(K118*I120,2)</f>
        <v>0</v>
      </c>
      <c r="M120" s="22" t="s">
        <v>64</v>
      </c>
      <c r="N120" s="22" t="s">
        <v>307</v>
      </c>
      <c r="O120" s="35">
        <v>0.21</v>
      </c>
      <c r="P120" s="22"/>
      <c r="Q120" s="34">
        <f>ROUND(Q118*O120,2)</f>
        <v>0</v>
      </c>
    </row>
    <row r="121" spans="1:17" ht="15" outlineLevel="2" thickBot="1" x14ac:dyDescent="0.35">
      <c r="A121" s="36" t="s">
        <v>294</v>
      </c>
      <c r="B121" s="36" t="s">
        <v>308</v>
      </c>
      <c r="C121" s="37">
        <v>0.21</v>
      </c>
      <c r="D121" s="36"/>
      <c r="E121" s="38">
        <f>ROUND(E119*C121,2)</f>
        <v>0</v>
      </c>
      <c r="G121" s="36" t="s">
        <v>294</v>
      </c>
      <c r="H121" s="36" t="s">
        <v>308</v>
      </c>
      <c r="I121" s="37">
        <v>0.21</v>
      </c>
      <c r="J121" s="36"/>
      <c r="K121" s="38">
        <f>ROUND(K119*I121,2)</f>
        <v>0</v>
      </c>
      <c r="M121" s="36" t="s">
        <v>294</v>
      </c>
      <c r="N121" s="36" t="s">
        <v>308</v>
      </c>
      <c r="O121" s="37">
        <v>0.21</v>
      </c>
      <c r="P121" s="36"/>
      <c r="Q121" s="38">
        <f>ROUND(Q119*O121,2)</f>
        <v>0</v>
      </c>
    </row>
    <row r="122" spans="1:17" ht="15" outlineLevel="2" thickTop="1" x14ac:dyDescent="0.3">
      <c r="A122" s="22" t="s">
        <v>282</v>
      </c>
      <c r="B122" s="22"/>
      <c r="C122" s="35"/>
      <c r="D122" s="22"/>
      <c r="E122" s="96">
        <f>SUM(E119:E121)+E118</f>
        <v>0</v>
      </c>
      <c r="G122" s="22" t="s">
        <v>282</v>
      </c>
      <c r="H122" s="22"/>
      <c r="I122" s="35"/>
      <c r="J122" s="22"/>
      <c r="K122" s="96">
        <f>SUM(K119:K121)+K118</f>
        <v>0</v>
      </c>
      <c r="M122" s="22" t="s">
        <v>282</v>
      </c>
      <c r="N122" s="22"/>
      <c r="O122" s="35"/>
      <c r="P122" s="22"/>
      <c r="Q122" s="96">
        <f>SUM(Q119:Q121)+Q118</f>
        <v>0</v>
      </c>
    </row>
    <row r="123" spans="1:17" outlineLevel="2" x14ac:dyDescent="0.3">
      <c r="A123" s="981"/>
      <c r="B123" s="981"/>
      <c r="C123" s="851"/>
      <c r="D123" s="852"/>
      <c r="E123" s="51"/>
      <c r="G123" s="981"/>
      <c r="H123" s="981"/>
      <c r="I123" s="851"/>
      <c r="J123" s="852"/>
      <c r="K123" s="51"/>
      <c r="M123" s="981"/>
      <c r="N123" s="981"/>
      <c r="O123" s="851"/>
      <c r="P123" s="852"/>
      <c r="Q123" s="51"/>
    </row>
    <row r="124" spans="1:17" outlineLevel="1" x14ac:dyDescent="0.3">
      <c r="A124" s="22" t="s">
        <v>309</v>
      </c>
      <c r="B124" s="22"/>
      <c r="C124" s="35"/>
      <c r="D124" s="22"/>
      <c r="E124" s="495">
        <f>E101+E111+E122</f>
        <v>0</v>
      </c>
      <c r="G124" s="22" t="s">
        <v>309</v>
      </c>
      <c r="H124" s="22"/>
      <c r="I124" s="35"/>
      <c r="J124" s="22"/>
      <c r="K124" s="495">
        <f>K101+K111+K122</f>
        <v>0</v>
      </c>
      <c r="M124" s="22" t="s">
        <v>309</v>
      </c>
      <c r="N124" s="22"/>
      <c r="O124" s="35"/>
      <c r="P124" s="22"/>
      <c r="Q124" s="495">
        <f>Q101+Q111+Q122</f>
        <v>0</v>
      </c>
    </row>
    <row r="125" spans="1:17" ht="15" outlineLevel="1" thickBot="1" x14ac:dyDescent="0.35">
      <c r="A125" s="18"/>
      <c r="B125" s="18"/>
      <c r="C125" s="39"/>
      <c r="D125" s="18"/>
      <c r="I125" s="39"/>
      <c r="K125"/>
      <c r="O125" s="39"/>
      <c r="Q125"/>
    </row>
    <row r="126" spans="1:17" ht="17.399999999999999" customHeight="1" outlineLevel="1" thickBot="1" x14ac:dyDescent="0.35">
      <c r="A126" s="1224" t="s">
        <v>310</v>
      </c>
      <c r="B126" s="1225"/>
      <c r="C126" s="127">
        <f>(E93+E103)+E114</f>
        <v>0</v>
      </c>
      <c r="D126" s="131" t="s">
        <v>289</v>
      </c>
      <c r="E126" s="492">
        <f>ROUND(C126*10/6,2)</f>
        <v>0</v>
      </c>
      <c r="G126" s="1224" t="s">
        <v>310</v>
      </c>
      <c r="H126" s="1225"/>
      <c r="I126" s="127">
        <f>(K93+K103)+K114</f>
        <v>0</v>
      </c>
      <c r="J126" s="131" t="s">
        <v>289</v>
      </c>
      <c r="K126" s="492">
        <f>ROUND(I126*10/6,2)</f>
        <v>0</v>
      </c>
      <c r="M126" s="1224" t="s">
        <v>310</v>
      </c>
      <c r="N126" s="1225"/>
      <c r="O126" s="127">
        <f>(Q93+Q103)+Q114</f>
        <v>0</v>
      </c>
      <c r="P126" s="131" t="s">
        <v>289</v>
      </c>
      <c r="Q126" s="492">
        <f>ROUND(O126*10/6,2)</f>
        <v>0</v>
      </c>
    </row>
  </sheetData>
  <mergeCells count="47">
    <mergeCell ref="M3:N3"/>
    <mergeCell ref="A3:B3"/>
    <mergeCell ref="A11:B11"/>
    <mergeCell ref="A15:B15"/>
    <mergeCell ref="A34:B34"/>
    <mergeCell ref="G11:H11"/>
    <mergeCell ref="G15:H15"/>
    <mergeCell ref="G3:H3"/>
    <mergeCell ref="A26:B26"/>
    <mergeCell ref="G26:H26"/>
    <mergeCell ref="M26:N26"/>
    <mergeCell ref="M55:N55"/>
    <mergeCell ref="G34:H34"/>
    <mergeCell ref="M11:N11"/>
    <mergeCell ref="M15:N15"/>
    <mergeCell ref="M34:N34"/>
    <mergeCell ref="A44:Q44"/>
    <mergeCell ref="A47:B47"/>
    <mergeCell ref="G47:H47"/>
    <mergeCell ref="M47:N47"/>
    <mergeCell ref="A55:B55"/>
    <mergeCell ref="G55:H55"/>
    <mergeCell ref="A88:Q88"/>
    <mergeCell ref="A91:B91"/>
    <mergeCell ref="G91:H91"/>
    <mergeCell ref="M91:N91"/>
    <mergeCell ref="A59:B59"/>
    <mergeCell ref="G59:H59"/>
    <mergeCell ref="M59:N59"/>
    <mergeCell ref="A78:B78"/>
    <mergeCell ref="G78:H78"/>
    <mergeCell ref="M78:N78"/>
    <mergeCell ref="A70:B70"/>
    <mergeCell ref="G70:H70"/>
    <mergeCell ref="M70:N70"/>
    <mergeCell ref="A126:B126"/>
    <mergeCell ref="G126:H126"/>
    <mergeCell ref="M126:N126"/>
    <mergeCell ref="A99:B99"/>
    <mergeCell ref="G99:H99"/>
    <mergeCell ref="M99:N99"/>
    <mergeCell ref="A103:B103"/>
    <mergeCell ref="G103:H103"/>
    <mergeCell ref="M103:N103"/>
    <mergeCell ref="A114:B114"/>
    <mergeCell ref="G114:H114"/>
    <mergeCell ref="M114:N114"/>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6"/>
  <dimension ref="A1:X133"/>
  <sheetViews>
    <sheetView zoomScale="80" zoomScaleNormal="80" workbookViewId="0">
      <selection activeCell="H6" sqref="H6"/>
    </sheetView>
  </sheetViews>
  <sheetFormatPr defaultColWidth="9.109375" defaultRowHeight="13.8" outlineLevelRow="2" outlineLevelCol="1" x14ac:dyDescent="0.3"/>
  <cols>
    <col min="1" max="1" width="21.5546875" style="18" customWidth="1" outlineLevel="1"/>
    <col min="2" max="2" width="15.6640625" style="18" customWidth="1" outlineLevel="1"/>
    <col min="3" max="3" width="14.109375" style="18" customWidth="1" outlineLevel="1"/>
    <col min="4" max="4" width="5.6640625" style="18" bestFit="1" customWidth="1" outlineLevel="1"/>
    <col min="5" max="5" width="14" style="18" customWidth="1" outlineLevel="1"/>
    <col min="6" max="6" width="2.109375" style="18" customWidth="1"/>
    <col min="7" max="7" width="21.5546875" style="18" hidden="1" customWidth="1" outlineLevel="1"/>
    <col min="8" max="8" width="15.6640625" style="18" hidden="1" customWidth="1" outlineLevel="1"/>
    <col min="9" max="9" width="16.33203125" style="18" hidden="1" customWidth="1" outlineLevel="1"/>
    <col min="10" max="10" width="5.6640625" style="18" hidden="1" customWidth="1" outlineLevel="1"/>
    <col min="11" max="11" width="14" style="18" hidden="1" customWidth="1" outlineLevel="1"/>
    <col min="12" max="12" width="2.33203125" style="18" customWidth="1" collapsed="1"/>
    <col min="13" max="13" width="21.5546875" style="18" hidden="1" customWidth="1" outlineLevel="1"/>
    <col min="14" max="14" width="15.6640625" style="18" hidden="1" customWidth="1" outlineLevel="1"/>
    <col min="15" max="15" width="14.109375" style="18" hidden="1" customWidth="1" outlineLevel="1"/>
    <col min="16" max="16" width="5.6640625" style="18" hidden="1" customWidth="1" outlineLevel="1"/>
    <col min="17" max="17" width="14" style="18" hidden="1" customWidth="1" outlineLevel="1"/>
    <col min="18" max="18" width="11.33203125" style="18" customWidth="1" collapsed="1"/>
    <col min="19" max="19" width="9.109375" style="18"/>
    <col min="20" max="20" width="23.88671875" style="18" customWidth="1"/>
    <col min="21" max="21" width="15.109375" style="18" customWidth="1"/>
    <col min="22" max="22" width="13.5546875" style="18" customWidth="1"/>
    <col min="23" max="23" width="9.109375" style="18"/>
    <col min="24" max="24" width="14.33203125" style="18" customWidth="1"/>
    <col min="25" max="16384" width="9.109375" style="18"/>
  </cols>
  <sheetData>
    <row r="1" spans="1:24" s="54" customFormat="1" x14ac:dyDescent="0.3">
      <c r="A1" s="54" t="s">
        <v>23</v>
      </c>
      <c r="B1" s="54" t="str">
        <f>'Overzicht BTA'!$C$3</f>
        <v>Kies de zorgvorm</v>
      </c>
      <c r="G1" s="54" t="s">
        <v>23</v>
      </c>
      <c r="H1" s="54" t="str">
        <f>'Overzicht BTA'!$H$3</f>
        <v>Kies de zorgvorm</v>
      </c>
      <c r="M1" s="54" t="s">
        <v>23</v>
      </c>
      <c r="N1" s="54" t="str">
        <f>'Overzicht BTA'!$N$3</f>
        <v>Kies de zorgvorm</v>
      </c>
    </row>
    <row r="2" spans="1:24" x14ac:dyDescent="0.3">
      <c r="A2" s="134" t="str">
        <f>IF(ISNUMBER(MATCH(Bron!$B$11,'Overzicht BTA'!B$7:B$10,0)),Bron!$B$11,IF(ISNUMBER(MATCH(Bron!$B$12,'Overzicht BTA'!B$7:B$10,0)),Bron!$B$12,"/"))</f>
        <v>/</v>
      </c>
      <c r="B2" s="135"/>
      <c r="C2" s="135"/>
      <c r="D2" s="135"/>
      <c r="E2" s="136"/>
      <c r="G2" s="134" t="str">
        <f>IF(ISNUMBER(MATCH(Bron!$B$11,'Overzicht BTA'!H$7:H$10,0)),Bron!$B$11,IF(ISNUMBER(MATCH(Bron!$B$12,'Overzicht BTA'!H$7:H$10,0)),Bron!$B$12,"/"))</f>
        <v>/</v>
      </c>
      <c r="H2" s="135"/>
      <c r="I2" s="135"/>
      <c r="J2" s="135"/>
      <c r="K2" s="136"/>
      <c r="M2" s="134" t="str">
        <f>IF(ISNUMBER(MATCH(Bron!$B$11,'Overzicht BTA'!$N$7:$N$9,0)),Bron!$B$11,IF(ISNUMBER(MATCH(Bron!$B$12,'Overzicht BTA'!N$7:N$10,0)),Bron!$B$12,"/"))</f>
        <v>/</v>
      </c>
      <c r="N2" s="135"/>
      <c r="O2" s="135"/>
      <c r="P2" s="135"/>
      <c r="Q2" s="136"/>
      <c r="T2" s="847"/>
      <c r="U2" s="23"/>
      <c r="V2" s="23"/>
      <c r="W2" s="23"/>
      <c r="X2" s="23"/>
    </row>
    <row r="3" spans="1:24" ht="15" customHeight="1" x14ac:dyDescent="0.3">
      <c r="A3" s="109" t="s">
        <v>311</v>
      </c>
      <c r="B3" s="110"/>
      <c r="C3" s="111"/>
      <c r="D3" s="111"/>
      <c r="E3" s="111"/>
      <c r="G3" s="109" t="s">
        <v>311</v>
      </c>
      <c r="H3" s="110"/>
      <c r="I3" s="111"/>
      <c r="J3" s="111"/>
      <c r="K3" s="111"/>
      <c r="M3" s="109" t="s">
        <v>311</v>
      </c>
      <c r="N3" s="110"/>
      <c r="O3" s="111"/>
      <c r="P3" s="111"/>
      <c r="Q3" s="111"/>
      <c r="T3" s="841"/>
      <c r="U3" s="23"/>
      <c r="V3" s="23"/>
      <c r="W3" s="23"/>
      <c r="X3" s="23"/>
    </row>
    <row r="4" spans="1:24" x14ac:dyDescent="0.3">
      <c r="A4" s="70" t="s">
        <v>304</v>
      </c>
      <c r="B4" s="32" t="s">
        <v>275</v>
      </c>
      <c r="C4" s="32" t="s">
        <v>276</v>
      </c>
      <c r="D4" s="33"/>
      <c r="E4" s="32" t="s">
        <v>277</v>
      </c>
      <c r="G4" s="70" t="s">
        <v>304</v>
      </c>
      <c r="H4" s="32" t="s">
        <v>275</v>
      </c>
      <c r="I4" s="32" t="s">
        <v>276</v>
      </c>
      <c r="J4" s="33"/>
      <c r="K4" s="32" t="s">
        <v>277</v>
      </c>
      <c r="M4" s="70" t="s">
        <v>304</v>
      </c>
      <c r="N4" s="32" t="s">
        <v>275</v>
      </c>
      <c r="O4" s="32" t="s">
        <v>276</v>
      </c>
      <c r="P4" s="33"/>
      <c r="Q4" s="32" t="s">
        <v>277</v>
      </c>
      <c r="T4" s="54"/>
      <c r="W4" s="40"/>
    </row>
    <row r="5" spans="1:24" x14ac:dyDescent="0.3">
      <c r="A5" s="368">
        <f>IFERROR(IF('Overzicht BTA'!D15=0,IF(A2=Bron!$B$11,IF(MATCH(Bron!$B$11,'Overzicht BTA'!B$7:B$10,0)=1,'Overzicht BTA'!D7,IF(MATCH(Bron!$B$11,'Overzicht BTA'!B$7:B$10,0)=2,'Overzicht BTA'!D8,IF(MATCH(Bron!$B$11,'Overzicht BTA'!B$7:B$10,0)=3,'Overzicht BTA'!D9,IF(MATCH(Bron!$B$11,'Overzicht BTA'!B$7:B$10,0)=4,'Overzicht BTA'!D10,0)))),IF(MATCH(Bron!$B$12,'Overzicht BTA'!B$7:B$10,0)=1,'Overzicht BTA'!D7,IF(MATCH(Bron!$B$12,'Overzicht BTA'!B$7:B$10,0)=2,'Overzicht BTA'!D8,IF(MATCH(Bron!$B$12,'Overzicht BTA'!B$7:B$10,0)=3,'Overzicht BTA'!D9,IF(MATCH(Bron!$B$12,'Overzicht BTA'!B$7:B$10,0)=4,'Overzicht BTA'!D10,0))))),0),0)</f>
        <v>0</v>
      </c>
      <c r="B5" s="71">
        <f>VLOOKUP('Overzicht BTA'!$C$3,'Capaciteiten &amp; forfaits'!$B$3:$H$76,6,FALSE)</f>
        <v>0</v>
      </c>
      <c r="C5" s="939">
        <f>'Overzicht BTA'!$D$36</f>
        <v>2.3958200000000001</v>
      </c>
      <c r="D5" s="940">
        <f>IF(A2=Bron!$B$11,0.75,1)</f>
        <v>1</v>
      </c>
      <c r="E5" s="941">
        <f>ROUND(A5*B5*C5*D5,2)</f>
        <v>0</v>
      </c>
      <c r="G5" s="368">
        <f>IFERROR(IF('Overzicht BTA'!J15=0,IF(G2=Bron!$B$11,IF(MATCH(Bron!$B$11,'Overzicht BTA'!H$7:H$10,0)=1,'Overzicht BTA'!J7,IF(MATCH(Bron!$B$11,'Overzicht BTA'!H$7:H$10,0)=2,'Overzicht BTA'!J8,IF(MATCH(Bron!$B$11,'Overzicht BTA'!H$7:H$10,0)=3,'Overzicht BTA'!J9,IF(MATCH(Bron!$B$11,'Overzicht BTA'!H$7:H$10,0)=4,'Overzicht BTA'!J10,0)))),IF(MATCH(Bron!$B$12,'Overzicht BTA'!H$7:H$10,0)=1,'Overzicht BTA'!J7,IF(MATCH(Bron!$B$12,'Overzicht BTA'!H$7:H$10,0)=2,'Overzicht BTA'!J8,IF(MATCH(Bron!$B$12,'Overzicht BTA'!H$7:H$10,0)=3,'Overzicht BTA'!J9,IF(MATCH(Bron!$B$12,'Overzicht BTA'!H$7:H$10,0)=4,'Overzicht BTA'!J10,0))))),0),0)</f>
        <v>0</v>
      </c>
      <c r="H5" s="71">
        <f>VLOOKUP(H1,'Capaciteiten &amp; forfaits'!$B$3:$H$76,6,FALSE)</f>
        <v>0</v>
      </c>
      <c r="I5" s="71">
        <f>'Overzicht BTA'!$D$36</f>
        <v>2.3958200000000001</v>
      </c>
      <c r="J5" s="72">
        <f>IF(G2=Bron!$B$11,0.75,1)</f>
        <v>1</v>
      </c>
      <c r="K5" s="73">
        <f>ROUND(G5*H5*I5*J5,2)</f>
        <v>0</v>
      </c>
      <c r="M5" s="368">
        <f>IFERROR(IF('Overzicht BTA'!P15=0,IF(M2=Bron!$B$11,IF(_xlfn.XMATCH(Bron!$B$11,'Overzicht BTA'!N$7:N$10,0)=1,'Overzicht BTA'!P7,IF(MATCH(Bron!$B$11,'Overzicht BTA'!N$7:N$10,0)=2,'Overzicht BTA'!P8,IF(MATCH(Bron!$B$11,'Overzicht BTA'!N$7:N$10,0)=3,'Overzicht BTA'!P9,IF(MATCH(Bron!$B$11,'Overzicht BTA'!N$7:N$10,0)=4,0)))),IF(_xlfn.XMATCH(Bron!$B$12,'Overzicht BTA'!N$7:N$10,0)=1,'Overzicht BTA'!P7,IF(MATCH(Bron!$B$12,'Overzicht BTA'!N$7:N$10,0)=2,'Overzicht BTA'!P8,IF(MATCH(Bron!$B$12,'Overzicht BTA'!N$7:N$10,0)=3,'Overzicht BTA'!P9,IF(MATCH(Bron!$B$12,'Overzicht BTA'!N$7:N$10,0)=4,0))))),0),0)</f>
        <v>0</v>
      </c>
      <c r="N5" s="71">
        <f>VLOOKUP(N1,'Capaciteiten &amp; forfaits'!$B$3:$H$76,6,FALSE)</f>
        <v>0</v>
      </c>
      <c r="O5" s="71">
        <f>'Overzicht BTA'!$D$36</f>
        <v>2.3958200000000001</v>
      </c>
      <c r="P5" s="72">
        <f>IF(M2=Bron!$B$11,0.75,1)</f>
        <v>1</v>
      </c>
      <c r="Q5" s="73">
        <f>ROUND(M5*N5*O5*P5,2)</f>
        <v>0</v>
      </c>
      <c r="T5" s="843"/>
      <c r="U5" s="23"/>
      <c r="V5" s="23"/>
      <c r="W5" s="40"/>
      <c r="X5" s="848"/>
    </row>
    <row r="6" spans="1:24" x14ac:dyDescent="0.3">
      <c r="A6" s="62" t="s">
        <v>312</v>
      </c>
      <c r="B6" s="537">
        <f>B43</f>
        <v>0</v>
      </c>
      <c r="C6" s="942">
        <v>0.6</v>
      </c>
      <c r="D6" s="943"/>
      <c r="E6" s="944">
        <f>ROUND(B6*C6,2)</f>
        <v>0</v>
      </c>
      <c r="F6" s="51"/>
      <c r="G6" s="62" t="s">
        <v>312</v>
      </c>
      <c r="H6" s="63">
        <f>H43</f>
        <v>0</v>
      </c>
      <c r="I6" s="64">
        <v>0.6</v>
      </c>
      <c r="J6" s="62"/>
      <c r="K6" s="63">
        <f>ROUND(H6*I6,2)</f>
        <v>0</v>
      </c>
      <c r="L6" s="51"/>
      <c r="M6" s="62" t="s">
        <v>312</v>
      </c>
      <c r="N6" s="63">
        <f>N43</f>
        <v>0</v>
      </c>
      <c r="O6" s="64">
        <v>0.6</v>
      </c>
      <c r="P6" s="62"/>
      <c r="Q6" s="63">
        <f>ROUND(N6*O6,2)</f>
        <v>0</v>
      </c>
      <c r="R6" s="51"/>
      <c r="T6" s="23"/>
      <c r="U6" s="848"/>
      <c r="V6" s="40"/>
      <c r="W6" s="23"/>
      <c r="X6" s="848"/>
    </row>
    <row r="7" spans="1:24" x14ac:dyDescent="0.3">
      <c r="A7" s="535" t="s">
        <v>313</v>
      </c>
      <c r="B7" s="113">
        <f>B46</f>
        <v>0</v>
      </c>
      <c r="C7" s="945">
        <v>0.6</v>
      </c>
      <c r="D7" s="946"/>
      <c r="E7" s="947">
        <f>ROUND(B7*C7,2)</f>
        <v>0</v>
      </c>
      <c r="F7" s="51"/>
      <c r="G7" s="535" t="s">
        <v>313</v>
      </c>
      <c r="H7" s="113">
        <f>H46</f>
        <v>0</v>
      </c>
      <c r="I7" s="536">
        <v>0.6</v>
      </c>
      <c r="J7" s="67"/>
      <c r="K7" s="68">
        <f>ROUND(H7*I7,2)</f>
        <v>0</v>
      </c>
      <c r="L7" s="51"/>
      <c r="M7" s="535" t="s">
        <v>313</v>
      </c>
      <c r="N7" s="113">
        <f>N46</f>
        <v>0</v>
      </c>
      <c r="O7" s="536">
        <v>0.6</v>
      </c>
      <c r="P7" s="67"/>
      <c r="Q7" s="68">
        <f>ROUND(N7*O7,2)</f>
        <v>0</v>
      </c>
      <c r="R7" s="51"/>
      <c r="U7" s="848"/>
      <c r="V7" s="39"/>
      <c r="W7" s="40"/>
      <c r="X7" s="51"/>
    </row>
    <row r="8" spans="1:24" ht="15" customHeight="1" x14ac:dyDescent="0.3">
      <c r="A8" s="1238" t="s">
        <v>287</v>
      </c>
      <c r="B8" s="1240"/>
      <c r="C8" s="97"/>
      <c r="D8" s="948" t="s">
        <v>19</v>
      </c>
      <c r="E8" s="949">
        <f>MIN(E5,E6+E7)</f>
        <v>0</v>
      </c>
      <c r="F8" s="23"/>
      <c r="G8" s="1238" t="s">
        <v>287</v>
      </c>
      <c r="H8" s="1239"/>
      <c r="I8" s="9"/>
      <c r="J8" s="132" t="s">
        <v>19</v>
      </c>
      <c r="K8" s="24">
        <f>MIN(K5,K6+K7)</f>
        <v>0</v>
      </c>
      <c r="M8" s="1238" t="s">
        <v>287</v>
      </c>
      <c r="N8" s="1239"/>
      <c r="O8" s="9"/>
      <c r="P8" s="132" t="s">
        <v>19</v>
      </c>
      <c r="Q8" s="24">
        <f>MIN(Q5,Q6+Q7)</f>
        <v>0</v>
      </c>
      <c r="T8" s="854"/>
      <c r="U8" s="854"/>
      <c r="V8" s="40"/>
      <c r="W8" s="849"/>
      <c r="X8" s="496"/>
    </row>
    <row r="9" spans="1:24" x14ac:dyDescent="0.3">
      <c r="A9" s="221" t="s">
        <v>279</v>
      </c>
      <c r="B9" s="8"/>
      <c r="C9" s="97">
        <v>0.1</v>
      </c>
      <c r="D9" s="97"/>
      <c r="E9" s="949">
        <f>ROUND(E8*C9,2)</f>
        <v>0</v>
      </c>
      <c r="F9" s="25"/>
      <c r="G9" s="221" t="s">
        <v>279</v>
      </c>
      <c r="H9" s="8"/>
      <c r="I9" s="9">
        <v>0.1</v>
      </c>
      <c r="J9" s="9"/>
      <c r="K9" s="24">
        <f>ROUND(K8*I9,2)</f>
        <v>0</v>
      </c>
      <c r="M9" s="221" t="s">
        <v>279</v>
      </c>
      <c r="N9" s="8"/>
      <c r="O9" s="9">
        <v>0.1</v>
      </c>
      <c r="P9" s="9"/>
      <c r="Q9" s="24">
        <f>ROUND(Q8*O9,2)</f>
        <v>0</v>
      </c>
      <c r="T9" s="243"/>
      <c r="U9" s="23"/>
      <c r="V9" s="40"/>
      <c r="W9" s="40"/>
      <c r="X9" s="496"/>
    </row>
    <row r="10" spans="1:24" ht="13.2" customHeight="1" x14ac:dyDescent="0.3">
      <c r="A10" s="8" t="s">
        <v>64</v>
      </c>
      <c r="B10" s="8" t="s">
        <v>293</v>
      </c>
      <c r="C10" s="97">
        <f>IF(A2=Bron!$B$11,'Overzicht BTA'!$C$17,IF(A2=Bron!$B$12,'Overzicht BTA'!C16,0))</f>
        <v>0</v>
      </c>
      <c r="D10" s="97"/>
      <c r="E10" s="949">
        <f>ROUND(E8*C10,2)</f>
        <v>0</v>
      </c>
      <c r="F10" s="25"/>
      <c r="G10" s="8" t="s">
        <v>64</v>
      </c>
      <c r="H10" s="8" t="s">
        <v>293</v>
      </c>
      <c r="I10" s="97">
        <f>IF(G2=Bron!$B$11,'Overzicht BTA'!I17/100,IF(G2=Bron!$B$12,'Overzicht BTA'!I16,0))</f>
        <v>0</v>
      </c>
      <c r="J10" s="9"/>
      <c r="K10" s="24">
        <f>ROUND(K8*I10,2)</f>
        <v>0</v>
      </c>
      <c r="M10" s="8" t="s">
        <v>64</v>
      </c>
      <c r="N10" s="8" t="s">
        <v>293</v>
      </c>
      <c r="O10" s="97">
        <f>IF(M2=Bron!$B$11,'Overzicht BTA'!O17/100,IF(M2=Bron!$B$12,'Overzicht BTA'!O16,0))</f>
        <v>0</v>
      </c>
      <c r="P10" s="9"/>
      <c r="Q10" s="24">
        <f>ROUND(Q8*O10,2)</f>
        <v>0</v>
      </c>
      <c r="T10" s="23"/>
      <c r="U10" s="23"/>
      <c r="V10" s="850"/>
      <c r="W10" s="40"/>
      <c r="X10" s="496"/>
    </row>
    <row r="11" spans="1:24" ht="14.4" thickBot="1" x14ac:dyDescent="0.35">
      <c r="A11" s="8" t="s">
        <v>64</v>
      </c>
      <c r="B11" s="50" t="s">
        <v>281</v>
      </c>
      <c r="C11" s="97">
        <v>0.21</v>
      </c>
      <c r="D11" s="950"/>
      <c r="E11" s="951">
        <f>ROUND(E9*C11,2)</f>
        <v>0</v>
      </c>
      <c r="F11" s="25"/>
      <c r="G11" s="8" t="s">
        <v>64</v>
      </c>
      <c r="H11" s="50" t="s">
        <v>281</v>
      </c>
      <c r="I11" s="9">
        <v>0.21</v>
      </c>
      <c r="J11" s="26"/>
      <c r="K11" s="27">
        <f>ROUND(K9*I11,2)</f>
        <v>0</v>
      </c>
      <c r="M11" s="8" t="s">
        <v>64</v>
      </c>
      <c r="N11" s="50" t="s">
        <v>281</v>
      </c>
      <c r="O11" s="9">
        <v>0.21</v>
      </c>
      <c r="P11" s="26"/>
      <c r="Q11" s="27">
        <f>ROUND(Q9*O11,2)</f>
        <v>0</v>
      </c>
      <c r="T11" s="23"/>
      <c r="V11" s="40"/>
      <c r="W11" s="40"/>
      <c r="X11" s="496"/>
    </row>
    <row r="12" spans="1:24" ht="14.4" thickTop="1" x14ac:dyDescent="0.3">
      <c r="A12" s="28" t="s">
        <v>282</v>
      </c>
      <c r="B12" s="29"/>
      <c r="C12" s="952"/>
      <c r="D12" s="953"/>
      <c r="E12" s="954">
        <f>SUM(E8:E11)</f>
        <v>0</v>
      </c>
      <c r="F12" s="25"/>
      <c r="G12" s="28" t="s">
        <v>282</v>
      </c>
      <c r="H12" s="29"/>
      <c r="I12" s="30"/>
      <c r="J12" s="31"/>
      <c r="K12" s="80">
        <f>SUM(K8:K11)</f>
        <v>0</v>
      </c>
      <c r="M12" s="28" t="s">
        <v>282</v>
      </c>
      <c r="N12" s="29"/>
      <c r="O12" s="30"/>
      <c r="P12" s="31"/>
      <c r="Q12" s="80">
        <f>SUM(Q8:Q11)</f>
        <v>0</v>
      </c>
      <c r="T12" s="23"/>
      <c r="U12" s="23"/>
      <c r="V12" s="23"/>
      <c r="W12" s="23"/>
      <c r="X12" s="496"/>
    </row>
    <row r="13" spans="1:24" x14ac:dyDescent="0.3">
      <c r="C13" s="480"/>
      <c r="D13" s="480"/>
      <c r="E13" s="480"/>
    </row>
    <row r="14" spans="1:24" ht="15" customHeight="1" x14ac:dyDescent="0.3">
      <c r="A14" s="1232" t="s">
        <v>303</v>
      </c>
      <c r="B14" s="1233"/>
      <c r="C14" s="955"/>
      <c r="D14" s="956"/>
      <c r="E14" s="955"/>
      <c r="G14" s="1232" t="s">
        <v>303</v>
      </c>
      <c r="H14" s="1233"/>
      <c r="I14" s="153"/>
      <c r="J14" s="154"/>
      <c r="K14" s="153"/>
      <c r="M14" s="1232" t="s">
        <v>303</v>
      </c>
      <c r="N14" s="1233"/>
      <c r="O14" s="153"/>
      <c r="P14" s="154"/>
      <c r="Q14" s="153"/>
      <c r="T14" s="847"/>
      <c r="U14" s="847"/>
      <c r="V14" s="106"/>
      <c r="W14" s="847"/>
      <c r="X14" s="106"/>
    </row>
    <row r="15" spans="1:24" x14ac:dyDescent="0.3">
      <c r="A15" s="70" t="s">
        <v>304</v>
      </c>
      <c r="B15" s="32" t="s">
        <v>275</v>
      </c>
      <c r="C15" s="957" t="s">
        <v>276</v>
      </c>
      <c r="D15" s="958"/>
      <c r="E15" s="957" t="s">
        <v>277</v>
      </c>
      <c r="G15" s="70" t="s">
        <v>304</v>
      </c>
      <c r="H15" s="32" t="s">
        <v>275</v>
      </c>
      <c r="I15" s="32" t="s">
        <v>276</v>
      </c>
      <c r="J15" s="33"/>
      <c r="K15" s="32" t="s">
        <v>277</v>
      </c>
      <c r="M15" s="70" t="s">
        <v>304</v>
      </c>
      <c r="N15" s="32" t="s">
        <v>275</v>
      </c>
      <c r="O15" s="32" t="s">
        <v>276</v>
      </c>
      <c r="P15" s="33"/>
      <c r="Q15" s="32" t="s">
        <v>277</v>
      </c>
      <c r="T15" s="54"/>
      <c r="W15" s="40"/>
    </row>
    <row r="16" spans="1:24" x14ac:dyDescent="0.3">
      <c r="A16" s="367">
        <f>A5</f>
        <v>0</v>
      </c>
      <c r="B16" s="71">
        <f>VLOOKUP('Overzicht BTA'!$C$3,'Capaciteiten &amp; forfaits'!$B$3:$H$76,7,FALSE)</f>
        <v>0</v>
      </c>
      <c r="C16" s="939">
        <f>'Overzicht BTA'!$D$36</f>
        <v>2.3958200000000001</v>
      </c>
      <c r="D16" s="959"/>
      <c r="E16" s="941">
        <f>ROUND(A16*B16*C16,2)</f>
        <v>0</v>
      </c>
      <c r="G16" s="367">
        <f>G5</f>
        <v>0</v>
      </c>
      <c r="H16" s="71">
        <f>VLOOKUP('Overzicht BTA'!$C$3,'Capaciteiten &amp; forfaits'!$B$3:$H$76,7,FALSE)</f>
        <v>0</v>
      </c>
      <c r="I16" s="71">
        <f>'Overzicht BTA'!$D$36</f>
        <v>2.3958200000000001</v>
      </c>
      <c r="J16" s="72"/>
      <c r="K16" s="73">
        <f>ROUND(G16*H16*I16,2)</f>
        <v>0</v>
      </c>
      <c r="M16" s="367">
        <f>M5</f>
        <v>0</v>
      </c>
      <c r="N16" s="71">
        <f>VLOOKUP('Overzicht BTA'!$C$3,'Capaciteiten &amp; forfaits'!$B$3:$H$76,7,FALSE)</f>
        <v>0</v>
      </c>
      <c r="O16" s="71">
        <f>'Overzicht BTA'!$D$36</f>
        <v>2.3958200000000001</v>
      </c>
      <c r="P16" s="72"/>
      <c r="Q16" s="73">
        <f>ROUND(M16*N16*O16,2)</f>
        <v>0</v>
      </c>
      <c r="T16" s="843"/>
      <c r="U16" s="23"/>
      <c r="V16" s="23"/>
      <c r="W16" s="40"/>
      <c r="X16" s="848"/>
    </row>
    <row r="17" spans="1:24" x14ac:dyDescent="0.3">
      <c r="A17" s="535" t="s">
        <v>305</v>
      </c>
      <c r="B17" s="113">
        <f>B44</f>
        <v>0</v>
      </c>
      <c r="C17" s="960">
        <v>0.6</v>
      </c>
      <c r="D17" s="946"/>
      <c r="E17" s="947">
        <f>ROUND(B17*C17,2)</f>
        <v>0</v>
      </c>
      <c r="F17" s="51"/>
      <c r="G17" s="65" t="s">
        <v>305</v>
      </c>
      <c r="H17" s="113">
        <f>H44</f>
        <v>0</v>
      </c>
      <c r="I17" s="66">
        <v>0.6</v>
      </c>
      <c r="J17" s="67"/>
      <c r="K17" s="68">
        <f>ROUND(H17*I17,2)</f>
        <v>0</v>
      </c>
      <c r="L17" s="51"/>
      <c r="M17" s="65" t="s">
        <v>305</v>
      </c>
      <c r="N17" s="113">
        <f>N44</f>
        <v>0</v>
      </c>
      <c r="O17" s="66">
        <v>0.6</v>
      </c>
      <c r="P17" s="67"/>
      <c r="Q17" s="68">
        <f>ROUND(N17*O17,2)</f>
        <v>0</v>
      </c>
      <c r="R17" s="51"/>
      <c r="U17" s="848"/>
      <c r="V17" s="39"/>
      <c r="W17" s="40"/>
      <c r="X17" s="51"/>
    </row>
    <row r="18" spans="1:24" ht="15" customHeight="1" x14ac:dyDescent="0.3">
      <c r="A18" s="1220" t="s">
        <v>287</v>
      </c>
      <c r="B18" s="1241"/>
      <c r="C18" s="961"/>
      <c r="D18" s="962" t="s">
        <v>29</v>
      </c>
      <c r="E18" s="301">
        <f>MIN(E16,E17)</f>
        <v>0</v>
      </c>
      <c r="G18" s="1220" t="s">
        <v>287</v>
      </c>
      <c r="H18" s="1221"/>
      <c r="I18" s="20"/>
      <c r="J18" s="962" t="s">
        <v>29</v>
      </c>
      <c r="K18" s="34">
        <f>MIN(K16,K17)</f>
        <v>0</v>
      </c>
      <c r="M18" s="1220" t="s">
        <v>287</v>
      </c>
      <c r="N18" s="1221"/>
      <c r="O18" s="20"/>
      <c r="P18" s="962" t="s">
        <v>29</v>
      </c>
      <c r="Q18" s="34">
        <f>MIN(Q16,Q17)</f>
        <v>0</v>
      </c>
      <c r="T18" s="19"/>
      <c r="U18" s="19"/>
      <c r="V18"/>
      <c r="W18" s="851"/>
      <c r="X18" s="51"/>
    </row>
    <row r="19" spans="1:24" x14ac:dyDescent="0.3">
      <c r="A19" s="22" t="s">
        <v>306</v>
      </c>
      <c r="B19" s="22"/>
      <c r="C19" s="35">
        <v>0.1</v>
      </c>
      <c r="D19" s="22"/>
      <c r="E19" s="34">
        <f>ROUND(E18*C19,2)</f>
        <v>0</v>
      </c>
      <c r="G19" s="22" t="s">
        <v>306</v>
      </c>
      <c r="H19" s="22"/>
      <c r="I19" s="35">
        <v>0.1</v>
      </c>
      <c r="J19" s="22"/>
      <c r="K19" s="34">
        <f>ROUND(K18*I19,2)</f>
        <v>0</v>
      </c>
      <c r="M19" s="22" t="s">
        <v>306</v>
      </c>
      <c r="N19" s="22"/>
      <c r="O19" s="35">
        <v>0.1</v>
      </c>
      <c r="P19" s="22"/>
      <c r="Q19" s="34">
        <f>ROUND(Q18*O19,2)</f>
        <v>0</v>
      </c>
      <c r="V19" s="39"/>
      <c r="X19" s="51"/>
    </row>
    <row r="20" spans="1:24" x14ac:dyDescent="0.3">
      <c r="A20" s="22" t="s">
        <v>64</v>
      </c>
      <c r="B20" s="22" t="s">
        <v>307</v>
      </c>
      <c r="C20" s="35">
        <v>0.21</v>
      </c>
      <c r="D20" s="22"/>
      <c r="E20" s="34">
        <f>ROUND(E18*C20,2)</f>
        <v>0</v>
      </c>
      <c r="G20" s="22" t="s">
        <v>64</v>
      </c>
      <c r="H20" s="22" t="s">
        <v>307</v>
      </c>
      <c r="I20" s="35">
        <v>0.21</v>
      </c>
      <c r="J20" s="22"/>
      <c r="K20" s="34">
        <f>ROUND(K18*I20,2)</f>
        <v>0</v>
      </c>
      <c r="M20" s="22" t="s">
        <v>64</v>
      </c>
      <c r="N20" s="22" t="s">
        <v>307</v>
      </c>
      <c r="O20" s="35">
        <v>0.21</v>
      </c>
      <c r="P20" s="22"/>
      <c r="Q20" s="34">
        <f>ROUND(Q18*O20,2)</f>
        <v>0</v>
      </c>
      <c r="V20" s="39"/>
      <c r="X20" s="51"/>
    </row>
    <row r="21" spans="1:24" ht="14.4" thickBot="1" x14ac:dyDescent="0.35">
      <c r="A21" s="36" t="s">
        <v>294</v>
      </c>
      <c r="B21" s="36" t="s">
        <v>308</v>
      </c>
      <c r="C21" s="37">
        <v>0.21</v>
      </c>
      <c r="D21" s="36"/>
      <c r="E21" s="38">
        <f>ROUND(E19*C21,2)</f>
        <v>0</v>
      </c>
      <c r="G21" s="36" t="s">
        <v>294</v>
      </c>
      <c r="H21" s="36" t="s">
        <v>308</v>
      </c>
      <c r="I21" s="37">
        <v>0.21</v>
      </c>
      <c r="J21" s="36"/>
      <c r="K21" s="38">
        <f>ROUND(K19*I21,2)</f>
        <v>0</v>
      </c>
      <c r="M21" s="36" t="s">
        <v>294</v>
      </c>
      <c r="N21" s="36" t="s">
        <v>308</v>
      </c>
      <c r="O21" s="37">
        <v>0.21</v>
      </c>
      <c r="P21" s="36"/>
      <c r="Q21" s="38">
        <f>ROUND(Q19*O21,2)</f>
        <v>0</v>
      </c>
      <c r="V21" s="39"/>
      <c r="X21" s="51"/>
    </row>
    <row r="22" spans="1:24" ht="14.4" thickTop="1" x14ac:dyDescent="0.3">
      <c r="A22" s="22" t="s">
        <v>282</v>
      </c>
      <c r="B22" s="22"/>
      <c r="C22" s="35"/>
      <c r="D22" s="22"/>
      <c r="E22" s="96">
        <f>SUM(E19:E21)+E18</f>
        <v>0</v>
      </c>
      <c r="G22" s="22" t="s">
        <v>282</v>
      </c>
      <c r="H22" s="22"/>
      <c r="I22" s="35"/>
      <c r="J22" s="22"/>
      <c r="K22" s="96">
        <f>SUM(K19:K21)+K18</f>
        <v>0</v>
      </c>
      <c r="M22" s="22" t="s">
        <v>282</v>
      </c>
      <c r="N22" s="22"/>
      <c r="O22" s="35"/>
      <c r="P22" s="22"/>
      <c r="Q22" s="96">
        <f>SUM(Q19:Q21)+Q18</f>
        <v>0</v>
      </c>
      <c r="V22" s="39"/>
      <c r="X22" s="852"/>
    </row>
    <row r="23" spans="1:24" customFormat="1" ht="15" thickBot="1" x14ac:dyDescent="0.35">
      <c r="A23" s="18"/>
      <c r="B23" s="18"/>
      <c r="C23" s="39"/>
      <c r="D23" s="18"/>
      <c r="G23" s="18"/>
      <c r="H23" s="18"/>
      <c r="I23" s="39"/>
      <c r="J23" s="18"/>
      <c r="M23" s="18"/>
      <c r="N23" s="18"/>
      <c r="O23" s="39"/>
      <c r="P23" s="18"/>
    </row>
    <row r="24" spans="1:24" customFormat="1" ht="15" outlineLevel="1" thickBot="1" x14ac:dyDescent="0.35">
      <c r="A24" s="376" t="s">
        <v>283</v>
      </c>
      <c r="B24" s="1015"/>
      <c r="C24" s="1015"/>
      <c r="D24" s="1016"/>
      <c r="E24" s="1016"/>
      <c r="G24" s="376" t="s">
        <v>283</v>
      </c>
      <c r="H24" s="1015"/>
      <c r="I24" s="1015"/>
      <c r="J24" s="1016"/>
      <c r="K24" s="1016"/>
      <c r="M24" s="376" t="s">
        <v>283</v>
      </c>
      <c r="N24" s="1015"/>
      <c r="O24" s="1015"/>
      <c r="P24" s="1016"/>
      <c r="Q24" s="1016"/>
      <c r="S24" s="23"/>
      <c r="T24" s="23"/>
      <c r="U24" s="23"/>
      <c r="V24" s="496"/>
      <c r="W24" s="149"/>
    </row>
    <row r="25" spans="1:24" customFormat="1" ht="14.4" outlineLevel="1" x14ac:dyDescent="0.3">
      <c r="A25" s="1025" t="s">
        <v>274</v>
      </c>
      <c r="B25" s="1025" t="s">
        <v>275</v>
      </c>
      <c r="C25" s="1025" t="s">
        <v>276</v>
      </c>
      <c r="D25" s="1025"/>
      <c r="E25" s="1025" t="s">
        <v>277</v>
      </c>
      <c r="F25" s="20"/>
      <c r="G25" s="1025" t="s">
        <v>274</v>
      </c>
      <c r="H25" s="1025" t="s">
        <v>275</v>
      </c>
      <c r="I25" s="1025" t="s">
        <v>276</v>
      </c>
      <c r="J25" s="1025"/>
      <c r="K25" s="1025" t="s">
        <v>277</v>
      </c>
      <c r="L25" s="20"/>
      <c r="M25" s="1025" t="s">
        <v>274</v>
      </c>
      <c r="N25" s="1025" t="s">
        <v>275</v>
      </c>
      <c r="O25" s="1025" t="s">
        <v>276</v>
      </c>
      <c r="P25" s="1025"/>
      <c r="Q25" s="1025" t="s">
        <v>277</v>
      </c>
      <c r="S25" s="23"/>
      <c r="T25" s="23"/>
      <c r="U25" s="23"/>
      <c r="V25" s="496"/>
      <c r="W25" s="149"/>
    </row>
    <row r="26" spans="1:24" customFormat="1" ht="14.4" outlineLevel="1" x14ac:dyDescent="0.3">
      <c r="A26" s="1026">
        <f>A5</f>
        <v>0</v>
      </c>
      <c r="B26" s="1027">
        <f>IF(B1=Bron!$E$40,55,0)</f>
        <v>0</v>
      </c>
      <c r="C26" s="1025">
        <f>C5</f>
        <v>2.3958200000000001</v>
      </c>
      <c r="D26" s="1025"/>
      <c r="E26" s="1028">
        <f>ROUND(A26*B26*C26,2)</f>
        <v>0</v>
      </c>
      <c r="F26" s="20"/>
      <c r="G26" s="1026">
        <f>G5</f>
        <v>0</v>
      </c>
      <c r="H26" s="1027">
        <f>IF(H1=Bron!$E$40,55,0)</f>
        <v>0</v>
      </c>
      <c r="I26" s="1025">
        <f>I5</f>
        <v>2.3958200000000001</v>
      </c>
      <c r="J26" s="1025"/>
      <c r="K26" s="1028">
        <f>ROUND(G26*H26*I26,2)</f>
        <v>0</v>
      </c>
      <c r="L26" s="20"/>
      <c r="M26" s="1026">
        <f>M5</f>
        <v>0</v>
      </c>
      <c r="N26" s="1027">
        <f>IF(N1=Bron!$E$40,55,0)</f>
        <v>0</v>
      </c>
      <c r="O26" s="1025">
        <f>O5</f>
        <v>2.3958200000000001</v>
      </c>
      <c r="P26" s="1025"/>
      <c r="Q26" s="1028">
        <f>ROUND(M26*N26*O26,2)</f>
        <v>0</v>
      </c>
      <c r="S26" s="23"/>
      <c r="T26" s="23"/>
      <c r="U26" s="23"/>
      <c r="V26" s="496"/>
      <c r="W26" s="149"/>
    </row>
    <row r="27" spans="1:24" customFormat="1" ht="14.4" outlineLevel="1" x14ac:dyDescent="0.3">
      <c r="A27" s="32" t="s">
        <v>285</v>
      </c>
      <c r="B27" s="1028">
        <f>'Bouwkost VERB'!$C$52</f>
        <v>0</v>
      </c>
      <c r="C27" s="1029">
        <v>0.6</v>
      </c>
      <c r="D27" s="1025"/>
      <c r="E27" s="1028">
        <f>B27*C27</f>
        <v>0</v>
      </c>
      <c r="F27" s="20"/>
      <c r="G27" s="32" t="s">
        <v>285</v>
      </c>
      <c r="H27" s="1028">
        <f>'Bouwkost VERB'!$N$52</f>
        <v>0</v>
      </c>
      <c r="I27" s="1029">
        <v>0.6</v>
      </c>
      <c r="J27" s="1025"/>
      <c r="K27" s="1028">
        <f>H27*I27</f>
        <v>0</v>
      </c>
      <c r="L27" s="20"/>
      <c r="M27" s="32" t="s">
        <v>285</v>
      </c>
      <c r="N27" s="1028">
        <f>'Bouwkost VERB'!$Y$52</f>
        <v>0</v>
      </c>
      <c r="O27" s="1029">
        <v>0.6</v>
      </c>
      <c r="P27" s="1025"/>
      <c r="Q27" s="1028">
        <f>N27*O27</f>
        <v>0</v>
      </c>
      <c r="S27" s="23"/>
      <c r="T27" s="23"/>
      <c r="U27" s="23"/>
      <c r="V27" s="496"/>
      <c r="W27" s="149"/>
    </row>
    <row r="28" spans="1:24" customFormat="1" ht="14.4" outlineLevel="1" x14ac:dyDescent="0.3">
      <c r="A28" s="32" t="s">
        <v>286</v>
      </c>
      <c r="B28" s="1028">
        <f>'Bouwkost VERB'!$C$58</f>
        <v>0</v>
      </c>
      <c r="C28" s="1029">
        <v>0.6</v>
      </c>
      <c r="D28" s="1025"/>
      <c r="E28" s="1028">
        <f>B28*C28</f>
        <v>0</v>
      </c>
      <c r="F28" s="20"/>
      <c r="G28" s="32" t="s">
        <v>286</v>
      </c>
      <c r="H28" s="1028">
        <f>'Bouwkost VERB'!$N$58</f>
        <v>0</v>
      </c>
      <c r="I28" s="1029">
        <v>0.6</v>
      </c>
      <c r="J28" s="1025"/>
      <c r="K28" s="1028">
        <f>H28*I28</f>
        <v>0</v>
      </c>
      <c r="L28" s="20"/>
      <c r="M28" s="32" t="s">
        <v>286</v>
      </c>
      <c r="N28" s="1028">
        <f>'Bouwkost VERB'!$Y$58</f>
        <v>0</v>
      </c>
      <c r="O28" s="1029">
        <v>0.6</v>
      </c>
      <c r="P28" s="1025"/>
      <c r="Q28" s="1028">
        <f>N28*O28</f>
        <v>0</v>
      </c>
      <c r="S28" s="23"/>
      <c r="T28" s="23"/>
      <c r="U28" s="23"/>
      <c r="V28" s="496"/>
      <c r="W28" s="149"/>
    </row>
    <row r="29" spans="1:24" customFormat="1" ht="14.4" outlineLevel="1" x14ac:dyDescent="0.3">
      <c r="A29" s="1234" t="s">
        <v>287</v>
      </c>
      <c r="B29" s="1234"/>
      <c r="C29" s="133"/>
      <c r="D29" s="1030" t="s">
        <v>32</v>
      </c>
      <c r="E29" s="1031">
        <f>MIN(E28:E28)</f>
        <v>0</v>
      </c>
      <c r="F29" s="20"/>
      <c r="G29" s="1234" t="s">
        <v>287</v>
      </c>
      <c r="H29" s="1234"/>
      <c r="I29" s="133"/>
      <c r="J29" s="1030" t="s">
        <v>32</v>
      </c>
      <c r="K29" s="1031">
        <f>MIN(K28:K28)</f>
        <v>0</v>
      </c>
      <c r="L29" s="20"/>
      <c r="M29" s="1234" t="s">
        <v>287</v>
      </c>
      <c r="N29" s="1234"/>
      <c r="O29" s="133"/>
      <c r="P29" s="1030" t="s">
        <v>32</v>
      </c>
      <c r="Q29" s="1031">
        <f>MIN(Q28:Q28)</f>
        <v>0</v>
      </c>
    </row>
    <row r="30" spans="1:24" outlineLevel="1" x14ac:dyDescent="0.3">
      <c r="A30" s="221" t="s">
        <v>279</v>
      </c>
      <c r="B30" s="8"/>
      <c r="C30" s="97">
        <v>0.1</v>
      </c>
      <c r="D30" s="97"/>
      <c r="E30" s="949">
        <f>ROUND(E29*C30,2)</f>
        <v>0</v>
      </c>
      <c r="F30" s="25"/>
      <c r="G30" s="221" t="s">
        <v>279</v>
      </c>
      <c r="H30" s="8"/>
      <c r="I30" s="9">
        <v>0.1</v>
      </c>
      <c r="J30" s="9"/>
      <c r="K30" s="24">
        <f>ROUND(K29*I30,2)</f>
        <v>0</v>
      </c>
      <c r="M30" s="221" t="s">
        <v>279</v>
      </c>
      <c r="N30" s="8"/>
      <c r="O30" s="9">
        <v>0.1</v>
      </c>
      <c r="P30" s="9"/>
      <c r="Q30" s="24">
        <f>ROUND(Q29*O30,2)</f>
        <v>0</v>
      </c>
      <c r="T30" s="243"/>
      <c r="U30" s="23"/>
      <c r="V30" s="40"/>
      <c r="W30" s="40"/>
      <c r="X30" s="496"/>
    </row>
    <row r="31" spans="1:24" ht="13.2" customHeight="1" outlineLevel="1" x14ac:dyDescent="0.3">
      <c r="A31" s="8" t="s">
        <v>64</v>
      </c>
      <c r="B31" s="8" t="s">
        <v>293</v>
      </c>
      <c r="C31" s="97">
        <f>IF(A23=Bron!$B$11,'Overzicht BTA'!$C$17,IF(A23=Bron!$B$12,'Overzicht BTA'!C37,0))</f>
        <v>0</v>
      </c>
      <c r="D31" s="97"/>
      <c r="E31" s="949">
        <f>ROUND(E29*C31,2)</f>
        <v>0</v>
      </c>
      <c r="F31" s="25"/>
      <c r="G31" s="8" t="s">
        <v>64</v>
      </c>
      <c r="H31" s="8" t="s">
        <v>293</v>
      </c>
      <c r="I31" s="97">
        <f>IF(G23=Bron!$B$11,'Overzicht BTA'!I38/100,IF(G23=Bron!$B$12,'Overzicht BTA'!I37,0))</f>
        <v>0</v>
      </c>
      <c r="J31" s="9"/>
      <c r="K31" s="24">
        <f>ROUND(K29*I31,2)</f>
        <v>0</v>
      </c>
      <c r="M31" s="8" t="s">
        <v>64</v>
      </c>
      <c r="N31" s="8" t="s">
        <v>293</v>
      </c>
      <c r="O31" s="97">
        <f>IF(M23=Bron!$B$11,'Overzicht BTA'!O38/100,IF(M23=Bron!$B$12,'Overzicht BTA'!O37,0))</f>
        <v>0</v>
      </c>
      <c r="P31" s="9"/>
      <c r="Q31" s="24">
        <f>ROUND(Q29*O31,2)</f>
        <v>0</v>
      </c>
      <c r="T31" s="23"/>
      <c r="U31" s="23"/>
      <c r="V31" s="850"/>
      <c r="W31" s="40"/>
      <c r="X31" s="496"/>
    </row>
    <row r="32" spans="1:24" ht="14.4" outlineLevel="1" thickBot="1" x14ac:dyDescent="0.35">
      <c r="A32" s="8" t="s">
        <v>64</v>
      </c>
      <c r="B32" s="50" t="s">
        <v>281</v>
      </c>
      <c r="C32" s="97">
        <v>0.21</v>
      </c>
      <c r="D32" s="950"/>
      <c r="E32" s="951">
        <f>ROUND(E30*C32,2)</f>
        <v>0</v>
      </c>
      <c r="F32" s="25"/>
      <c r="G32" s="8" t="s">
        <v>64</v>
      </c>
      <c r="H32" s="50" t="s">
        <v>281</v>
      </c>
      <c r="I32" s="9">
        <v>0.21</v>
      </c>
      <c r="J32" s="26"/>
      <c r="K32" s="27">
        <f>ROUND(K30*I32,2)</f>
        <v>0</v>
      </c>
      <c r="M32" s="8" t="s">
        <v>64</v>
      </c>
      <c r="N32" s="50" t="s">
        <v>281</v>
      </c>
      <c r="O32" s="9">
        <v>0.21</v>
      </c>
      <c r="P32" s="26"/>
      <c r="Q32" s="27">
        <f>ROUND(Q30*O32,2)</f>
        <v>0</v>
      </c>
      <c r="T32" s="23"/>
      <c r="V32" s="40"/>
      <c r="W32" s="40"/>
      <c r="X32" s="496"/>
    </row>
    <row r="33" spans="1:24" ht="14.4" outlineLevel="1" thickTop="1" x14ac:dyDescent="0.3">
      <c r="A33" s="28" t="s">
        <v>282</v>
      </c>
      <c r="B33" s="29"/>
      <c r="C33" s="952"/>
      <c r="D33" s="953"/>
      <c r="E33" s="954">
        <f>SUM(E29:E32)</f>
        <v>0</v>
      </c>
      <c r="F33" s="25"/>
      <c r="G33" s="28" t="s">
        <v>282</v>
      </c>
      <c r="H33" s="29"/>
      <c r="I33" s="30"/>
      <c r="J33" s="31"/>
      <c r="K33" s="80">
        <f>SUM(K29:K32)</f>
        <v>0</v>
      </c>
      <c r="M33" s="28" t="s">
        <v>282</v>
      </c>
      <c r="N33" s="29"/>
      <c r="O33" s="30"/>
      <c r="P33" s="31"/>
      <c r="Q33" s="80">
        <f>SUM(Q29:Q32)</f>
        <v>0</v>
      </c>
      <c r="T33" s="23"/>
      <c r="U33" s="23"/>
      <c r="V33" s="23"/>
      <c r="W33" s="23"/>
      <c r="X33" s="496"/>
    </row>
    <row r="34" spans="1:24" ht="14.4" outlineLevel="1" x14ac:dyDescent="0.3">
      <c r="C34" s="39"/>
      <c r="E34"/>
      <c r="I34" s="39"/>
      <c r="K34"/>
      <c r="O34" s="39"/>
      <c r="Q34"/>
      <c r="V34" s="39"/>
      <c r="X34"/>
    </row>
    <row r="35" spans="1:24" x14ac:dyDescent="0.3">
      <c r="A35" s="22" t="s">
        <v>309</v>
      </c>
      <c r="B35" s="22"/>
      <c r="C35" s="35"/>
      <c r="D35" s="22"/>
      <c r="E35" s="498">
        <f>E12+E22+E33</f>
        <v>0</v>
      </c>
      <c r="G35" s="22" t="s">
        <v>309</v>
      </c>
      <c r="H35" s="22"/>
      <c r="I35" s="35"/>
      <c r="J35" s="22"/>
      <c r="K35" s="498">
        <f>K12+K22+K33</f>
        <v>0</v>
      </c>
      <c r="M35" s="22" t="s">
        <v>309</v>
      </c>
      <c r="N35" s="22"/>
      <c r="O35" s="35"/>
      <c r="P35" s="22"/>
      <c r="Q35" s="498">
        <f>Q12+Q22+Q33</f>
        <v>0</v>
      </c>
      <c r="V35" s="39"/>
      <c r="X35" s="852"/>
    </row>
    <row r="36" spans="1:24" ht="15" thickBot="1" x14ac:dyDescent="0.35">
      <c r="C36" s="39"/>
      <c r="E36"/>
      <c r="I36" s="39"/>
      <c r="K36"/>
      <c r="O36" s="39"/>
      <c r="Q36"/>
      <c r="V36" s="39"/>
      <c r="X36"/>
    </row>
    <row r="37" spans="1:24" ht="15.75" customHeight="1" thickBot="1" x14ac:dyDescent="0.35">
      <c r="A37" s="1224" t="s">
        <v>310</v>
      </c>
      <c r="B37" s="1225"/>
      <c r="C37" s="127">
        <f>E8+E18+E29</f>
        <v>0</v>
      </c>
      <c r="D37" s="131" t="s">
        <v>289</v>
      </c>
      <c r="E37" s="492">
        <f>ROUND(C37*10/6,2)</f>
        <v>0</v>
      </c>
      <c r="G37" s="1224" t="s">
        <v>310</v>
      </c>
      <c r="H37" s="1225"/>
      <c r="I37" s="127">
        <f>K8+K18+K29</f>
        <v>0</v>
      </c>
      <c r="J37" s="131" t="s">
        <v>289</v>
      </c>
      <c r="K37" s="492">
        <f>ROUND(I37*10/6,2)</f>
        <v>0</v>
      </c>
      <c r="M37" s="1224" t="s">
        <v>310</v>
      </c>
      <c r="N37" s="1225"/>
      <c r="O37" s="127">
        <f>Q8+Q18+Q29</f>
        <v>0</v>
      </c>
      <c r="P37" s="131" t="s">
        <v>289</v>
      </c>
      <c r="Q37" s="492">
        <f>ROUND(O37*10/6,2)</f>
        <v>0</v>
      </c>
      <c r="T37" s="23"/>
      <c r="U37" s="23"/>
      <c r="V37" s="53"/>
      <c r="W37" s="853"/>
      <c r="X37" s="846"/>
    </row>
    <row r="38" spans="1:24" x14ac:dyDescent="0.3">
      <c r="C38" s="39"/>
      <c r="I38" s="39"/>
      <c r="O38" s="39"/>
      <c r="V38" s="39"/>
    </row>
    <row r="39" spans="1:24" ht="14.4" x14ac:dyDescent="0.3">
      <c r="A39" s="237" t="s">
        <v>290</v>
      </c>
      <c r="B39" s="8"/>
      <c r="C39" s="8"/>
      <c r="G39" s="237" t="s">
        <v>290</v>
      </c>
      <c r="H39" s="8"/>
      <c r="I39" s="8"/>
      <c r="J39"/>
      <c r="K39"/>
      <c r="L39"/>
      <c r="M39" s="237" t="s">
        <v>290</v>
      </c>
      <c r="N39" s="8"/>
      <c r="O39" s="8"/>
      <c r="T39" s="847"/>
      <c r="U39" s="23"/>
      <c r="V39" s="23"/>
    </row>
    <row r="40" spans="1:24" ht="14.4" x14ac:dyDescent="0.3">
      <c r="A40" s="8" t="s">
        <v>123</v>
      </c>
      <c r="B40" s="10">
        <f>IFERROR(IF(A$2=Bron!$B$11,IF(MATCH(Bron!$B$11,'uitgebreide raming'!$B$2:$I$2,0)=1,'uitgebreide raming'!$B6,IF(MATCH(Bron!$B$11,'uitgebreide raming'!$B$2:$I$2,0)=3,'uitgebreide raming'!$D6,IF(MATCH(Bron!$B$11,'uitgebreide raming'!$B$2:$I$2,0)=5,'uitgebreide raming'!$F6,IF(MATCH(Bron!$B$11,'uitgebreide raming'!$B$2:$I$2,0)=7,'uitgebreide raming'!$H6,0)))),IF(MATCH(Bron!$B$12,'uitgebreide raming'!$B$2:$I$2,0)=1,'uitgebreide raming'!$B6,IF(MATCH(Bron!$B$12,'uitgebreide raming'!$B$2:$I$2,0)=3,'uitgebreide raming'!$D6,IF(MATCH(Bron!$B$12,'uitgebreide raming'!$B$2:$I$2,0)=5,'uitgebreide raming'!$F6,IF(MATCH(Bron!$B$12,'uitgebreide raming'!$B$2:$I$2,0)=7,'uitgebreide raming'!$H6,0))))),0)</f>
        <v>0</v>
      </c>
      <c r="C40" s="9" t="e">
        <f>B40/B45</f>
        <v>#DIV/0!</v>
      </c>
      <c r="G40" s="8" t="s">
        <v>123</v>
      </c>
      <c r="H40" s="10">
        <f>IFERROR(IF(G$2=Bron!$B$11,IF(MATCH(Bron!$B$11,'uitgebreide raming'!$B$29:$I$29,0)=1,'uitgebreide raming'!$B33,IF(MATCH(Bron!$B$11,'uitgebreide raming'!$B$29:$I$29,0)=3,'uitgebreide raming'!$D33,IF(MATCH(Bron!$B$11,'uitgebreide raming'!$B$29:$I$29,0)=5,'uitgebreide raming'!$F33,IF(MATCH(Bron!$B$11,'uitgebreide raming'!$B$29:$I$29,0)=7,'uitgebreide raming'!$H33,0)))),IF(MATCH(Bron!$B$12,'uitgebreide raming'!$B$29:$I$29,0)=1,'uitgebreide raming'!$B33,IF(MATCH(Bron!$B$12,'uitgebreide raming'!$B$29:$I$29,0)=3,'uitgebreide raming'!$D33,IF(MATCH(Bron!$B$12,'uitgebreide raming'!$B$29:$I$29,0)=5,'uitgebreide raming'!$F33,IF(MATCH(Bron!$B$12,'uitgebreide raming'!$B$29:$I$29,0)=7,'uitgebreide raming'!$H33,0))))),0)</f>
        <v>0</v>
      </c>
      <c r="I40" s="9" t="e">
        <f>H40/H45</f>
        <v>#DIV/0!</v>
      </c>
      <c r="J40"/>
      <c r="K40"/>
      <c r="L40"/>
      <c r="M40" s="8" t="s">
        <v>123</v>
      </c>
      <c r="N40" s="10">
        <f>IFERROR(IF(M$2=Bron!$B$11,IF(MATCH(Bron!$B$11,'uitgebreide raming'!$B$56:$I$56,0)=1,'uitgebreide raming'!$B60,IF(MATCH(Bron!$B$11,'uitgebreide raming'!$B$56:$I$56,0)=3,'uitgebreide raming'!$D60,IF(MATCH(Bron!$B$11,'uitgebreide raming'!$B$56:$I$56,0)=5,'uitgebreide raming'!$F60,IF(MATCH(Bron!$B$11,'uitgebreide raming'!$B$56:$I$56,0)=7,'uitgebreide raming'!$H60,0)))),IF(MATCH(Bron!$B$12,'uitgebreide raming'!$B$56:$I$56,0)=1,'uitgebreide raming'!$B60,IF(MATCH(Bron!$B$12,'uitgebreide raming'!$B$56:$I$56,0)=3,'uitgebreide raming'!$D60,IF(MATCH(Bron!$B$12,'uitgebreide raming'!$B$56:$I$56,0)=5,'uitgebreide raming'!$F60,IF(MATCH(Bron!$B$12,'uitgebreide raming'!$B$56:$I$56,0)=7,'uitgebreide raming'!$H60,0))))),0)</f>
        <v>0</v>
      </c>
      <c r="O40" s="9" t="e">
        <f>N40/N45</f>
        <v>#DIV/0!</v>
      </c>
      <c r="T40" s="23"/>
      <c r="U40" s="53"/>
      <c r="V40" s="40"/>
    </row>
    <row r="41" spans="1:24" ht="14.4" x14ac:dyDescent="0.3">
      <c r="A41" s="8" t="s">
        <v>124</v>
      </c>
      <c r="B41" s="10">
        <f>IFERROR(IF(A$2=Bron!$B$11,IF(MATCH(Bron!$B$11,'uitgebreide raming'!$B$2:$I$2,0)=1,'uitgebreide raming'!$B7,IF(MATCH(Bron!$B$11,'uitgebreide raming'!$B$2:$I$2,0)=3,'uitgebreide raming'!$D7,IF(MATCH(Bron!$B$11,'uitgebreide raming'!$B$2:$I$2,0)=5,'uitgebreide raming'!$F7,IF(MATCH(Bron!$B$11,'uitgebreide raming'!$B$2:$I$2,0)=7,'uitgebreide raming'!$H7,0)))),IF(MATCH(Bron!$B$12,'uitgebreide raming'!$B$2:$I$2,0)=1,'uitgebreide raming'!$B7,IF(MATCH(Bron!$B$12,'uitgebreide raming'!$B$2:$I$2,0)=3,'uitgebreide raming'!$D7,IF(MATCH(Bron!$B$12,'uitgebreide raming'!$B$2:$I$2,0)=5,'uitgebreide raming'!$F7,IF(MATCH(Bron!$B$12,'uitgebreide raming'!$B$2:$I$2,0)=7,'uitgebreide raming'!$H7,0))))),0)</f>
        <v>0</v>
      </c>
      <c r="C41" s="9" t="e">
        <f>B41/B45</f>
        <v>#DIV/0!</v>
      </c>
      <c r="G41" s="8" t="s">
        <v>124</v>
      </c>
      <c r="H41" s="10">
        <f>IFERROR(IF(G$2=Bron!$B$11,IF(MATCH(Bron!$B$11,'uitgebreide raming'!$B$29:$I$29,0)=1,'uitgebreide raming'!$B34,IF(MATCH(Bron!$B$11,'uitgebreide raming'!$B$29:$I$29,0)=3,'uitgebreide raming'!$D34,IF(MATCH(Bron!$B$11,'uitgebreide raming'!$B$29:$I$29,0)=5,'uitgebreide raming'!$F34,IF(MATCH(Bron!$B$11,'uitgebreide raming'!$B$29:$I$29,0)=7,'uitgebreide raming'!$H34,0)))),IF(MATCH(Bron!$B$12,'uitgebreide raming'!$B$29:$I$29,0)=1,'uitgebreide raming'!$B34,IF(MATCH(Bron!$B$12,'uitgebreide raming'!$B$29:$I$29,0)=3,'uitgebreide raming'!$D34,IF(MATCH(Bron!$B$12,'uitgebreide raming'!$B$29:$I$29,0)=5,'uitgebreide raming'!$F34,IF(MATCH(Bron!$B$12,'uitgebreide raming'!$B$29:$I$29,0)=7,'uitgebreide raming'!$H34,0))))),0)</f>
        <v>0</v>
      </c>
      <c r="I41" s="9" t="e">
        <f>H41/H45</f>
        <v>#DIV/0!</v>
      </c>
      <c r="J41"/>
      <c r="K41"/>
      <c r="L41"/>
      <c r="M41" s="8" t="s">
        <v>124</v>
      </c>
      <c r="N41" s="10">
        <f>IFERROR(IF(M$2=Bron!$B$11,IF(MATCH(Bron!$B$11,'uitgebreide raming'!$B$56:$I$56,0)=1,'uitgebreide raming'!$B61,IF(MATCH(Bron!$B$11,'uitgebreide raming'!$B$56:$I$56,0)=3,'uitgebreide raming'!$D61,IF(MATCH(Bron!$B$11,'uitgebreide raming'!$B$56:$I$56,0)=5,'uitgebreide raming'!$F61,IF(MATCH(Bron!$B$11,'uitgebreide raming'!$B$56:$I$56,0)=7,'uitgebreide raming'!$H61,0)))),IF(MATCH(Bron!$B$12,'uitgebreide raming'!$B$56:$I$56,0)=1,'uitgebreide raming'!$B61,IF(MATCH(Bron!$B$12,'uitgebreide raming'!$B$56:$I$56,0)=3,'uitgebreide raming'!$D61,IF(MATCH(Bron!$B$12,'uitgebreide raming'!$B$56:$I$56,0)=5,'uitgebreide raming'!$F61,IF(MATCH(Bron!$B$12,'uitgebreide raming'!$B$56:$I$56,0)=7,'uitgebreide raming'!$H61,0))))),0)</f>
        <v>0</v>
      </c>
      <c r="O41" s="9" t="e">
        <f>N41/N45</f>
        <v>#DIV/0!</v>
      </c>
      <c r="T41" s="23"/>
      <c r="U41" s="53"/>
      <c r="V41" s="40"/>
    </row>
    <row r="42" spans="1:24" ht="14.4" x14ac:dyDescent="0.3">
      <c r="A42" s="8" t="s">
        <v>125</v>
      </c>
      <c r="B42" s="10">
        <f>IFERROR(IF(A$2=Bron!$B$11,IF(MATCH(Bron!$B$11,'uitgebreide raming'!$B$2:$I$2,0)=1,'uitgebreide raming'!$B8,IF(MATCH(Bron!$B$11,'uitgebreide raming'!$B$2:$I$2,0)=3,'uitgebreide raming'!$D8,IF(MATCH(Bron!$B$11,'uitgebreide raming'!$B$2:$I$2,0)=5,'uitgebreide raming'!$F8,IF(MATCH(Bron!$B$11,'uitgebreide raming'!$B$2:$I$2,0)=7,'uitgebreide raming'!$H8,0)))),IF(MATCH(Bron!$B$12,'uitgebreide raming'!$B$2:$I$2,0)=1,'uitgebreide raming'!$B8,IF(MATCH(Bron!$B$12,'uitgebreide raming'!$B$2:$I$2,0)=3,'uitgebreide raming'!$D8,IF(MATCH(Bron!$B$12,'uitgebreide raming'!$B$2:$I$2,0)=5,'uitgebreide raming'!$F8,IF(MATCH(Bron!$B$12,'uitgebreide raming'!$B$2:$I$2,0)=7,'uitgebreide raming'!$H8,0))))),0)</f>
        <v>0</v>
      </c>
      <c r="C42" s="9" t="e">
        <f>B42/B45</f>
        <v>#DIV/0!</v>
      </c>
      <c r="E42" s="18" t="s">
        <v>69</v>
      </c>
      <c r="G42" s="8" t="s">
        <v>125</v>
      </c>
      <c r="H42" s="10">
        <f>IFERROR(IF(G$2=Bron!$B$11,IF(MATCH(Bron!$B$11,'uitgebreide raming'!$B$29:$I$29,0)=1,'uitgebreide raming'!$B35,IF(MATCH(Bron!$B$11,'uitgebreide raming'!$B$29:$I$29,0)=3,'uitgebreide raming'!$D35,IF(MATCH(Bron!$B$11,'uitgebreide raming'!$B$29:$I$29,0)=5,'uitgebreide raming'!$F35,IF(MATCH(Bron!$B$11,'uitgebreide raming'!$B$29:$I$29,0)=7,'uitgebreide raming'!$H35,0)))),IF(MATCH(Bron!$B$12,'uitgebreide raming'!$B$29:$I$29,0)=1,'uitgebreide raming'!$B35,IF(MATCH(Bron!$B$12,'uitgebreide raming'!$B$29:$I$29,0)=3,'uitgebreide raming'!$D35,IF(MATCH(Bron!$B$12,'uitgebreide raming'!$B$29:$I$29,0)=5,'uitgebreide raming'!$F35,IF(MATCH(Bron!$B$12,'uitgebreide raming'!$B$29:$I$29,0)=7,'uitgebreide raming'!$H35,0))))),0)</f>
        <v>0</v>
      </c>
      <c r="I42" s="9" t="e">
        <f>H42/H45</f>
        <v>#DIV/0!</v>
      </c>
      <c r="J42"/>
      <c r="K42"/>
      <c r="L42"/>
      <c r="M42" s="8" t="s">
        <v>125</v>
      </c>
      <c r="N42" s="10">
        <f>IFERROR(IF(M$2=Bron!$B$11,IF(MATCH(Bron!$B$11,'uitgebreide raming'!$B$56:$I$56,0)=1,'uitgebreide raming'!$B62,IF(MATCH(Bron!$B$11,'uitgebreide raming'!$B$56:$I$56,0)=3,'uitgebreide raming'!$D62,IF(MATCH(Bron!$B$11,'uitgebreide raming'!$B$56:$I$56,0)=5,'uitgebreide raming'!$F62,IF(MATCH(Bron!$B$11,'uitgebreide raming'!$B$56:$I$56,0)=7,'uitgebreide raming'!$H62,0)))),IF(MATCH(Bron!$B$12,'uitgebreide raming'!$B$56:$I$56,0)=1,'uitgebreide raming'!$B62,IF(MATCH(Bron!$B$12,'uitgebreide raming'!$B$56:$I$56,0)=3,'uitgebreide raming'!$D62,IF(MATCH(Bron!$B$12,'uitgebreide raming'!$B$56:$I$56,0)=5,'uitgebreide raming'!$F62,IF(MATCH(Bron!$B$12,'uitgebreide raming'!$B$56:$I$56,0)=7,'uitgebreide raming'!$H62,0))))),0)</f>
        <v>0</v>
      </c>
      <c r="O42" s="9" t="e">
        <f>N42/N45</f>
        <v>#DIV/0!</v>
      </c>
      <c r="Q42" s="18" t="s">
        <v>69</v>
      </c>
      <c r="T42" s="23"/>
      <c r="U42" s="53"/>
      <c r="V42" s="40"/>
    </row>
    <row r="43" spans="1:24" ht="14.4" x14ac:dyDescent="0.3">
      <c r="A43" s="8" t="s">
        <v>126</v>
      </c>
      <c r="B43" s="10">
        <f>IFERROR(IF(A$2=Bron!$B$11,IF(MATCH(Bron!$B$11,'uitgebreide raming'!$B$2:$I$2,0)=1,'uitgebreide raming'!$B9,IF(MATCH(Bron!$B$11,'uitgebreide raming'!$B$2:$I$2,0)=3,'uitgebreide raming'!$D9,IF(MATCH(Bron!$B$11,'uitgebreide raming'!$B$2:$I$2,0)=5,'uitgebreide raming'!$F9,IF(MATCH(Bron!$B$11,'uitgebreide raming'!$B$2:$I$2,0)=7,'uitgebreide raming'!$H9,0)))),IF(MATCH(Bron!$B$12,'uitgebreide raming'!$B$2:$I$2,0)=1,'uitgebreide raming'!$B9,IF(MATCH(Bron!$B$12,'uitgebreide raming'!$B$2:$I$2,0)=3,'uitgebreide raming'!$D9,IF(MATCH(Bron!$B$12,'uitgebreide raming'!$B$2:$I$2,0)=5,'uitgebreide raming'!$F9,IF(MATCH(Bron!$B$12,'uitgebreide raming'!$B$2:$I$2,0)=7,'uitgebreide raming'!$H9,0))))),0)</f>
        <v>0</v>
      </c>
      <c r="C43" s="9" t="e">
        <f>B43/B45</f>
        <v>#DIV/0!</v>
      </c>
      <c r="G43" s="8" t="s">
        <v>126</v>
      </c>
      <c r="H43" s="10">
        <f>IFERROR(IF(G$2=Bron!$B$11,IF(MATCH(Bron!$B$11,'uitgebreide raming'!$B$29:$I$29,0)=1,'uitgebreide raming'!$B36,IF(MATCH(Bron!$B$11,'uitgebreide raming'!$B$29:$I$29,0)=3,'uitgebreide raming'!$D36,IF(MATCH(Bron!$B$11,'uitgebreide raming'!$B$29:$I$29,0)=5,'uitgebreide raming'!$F36,IF(MATCH(Bron!$B$11,'uitgebreide raming'!$B$29:$I$29,0)=7,'uitgebreide raming'!$H36,0)))),IF(MATCH(Bron!$B$12,'uitgebreide raming'!$B$29:$I$29,0)=1,'uitgebreide raming'!$B36,IF(MATCH(Bron!$B$12,'uitgebreide raming'!$B$29:$I$29,0)=3,'uitgebreide raming'!$D36,IF(MATCH(Bron!$B$12,'uitgebreide raming'!$B$29:$I$29,0)=5,'uitgebreide raming'!$F36,IF(MATCH(Bron!$B$12,'uitgebreide raming'!$B$29:$I$29,0)=7,'uitgebreide raming'!$H36,0))))),0)</f>
        <v>0</v>
      </c>
      <c r="I43" s="9" t="e">
        <f>H43/H45</f>
        <v>#DIV/0!</v>
      </c>
      <c r="J43"/>
      <c r="K43"/>
      <c r="L43"/>
      <c r="M43" s="8" t="s">
        <v>126</v>
      </c>
      <c r="N43" s="10">
        <f>IFERROR(IF(M$2=Bron!$B$11,IF(MATCH(Bron!$B$11,'uitgebreide raming'!$B$56:$I$56,0)=1,'uitgebreide raming'!$B63,IF(MATCH(Bron!$B$11,'uitgebreide raming'!$B$56:$I$56,0)=3,'uitgebreide raming'!$D63,IF(MATCH(Bron!$B$11,'uitgebreide raming'!$B$56:$I$56,0)=5,'uitgebreide raming'!$F63,IF(MATCH(Bron!$B$11,'uitgebreide raming'!$B$56:$I$56,0)=7,'uitgebreide raming'!$H63,0)))),IF(MATCH(Bron!$B$12,'uitgebreide raming'!$B$56:$I$56,0)=1,'uitgebreide raming'!$B63,IF(MATCH(Bron!$B$12,'uitgebreide raming'!$B$56:$I$56,0)=3,'uitgebreide raming'!$D63,IF(MATCH(Bron!$B$12,'uitgebreide raming'!$B$56:$I$56,0)=5,'uitgebreide raming'!$F63,IF(MATCH(Bron!$B$12,'uitgebreide raming'!$B$56:$I$56,0)=7,'uitgebreide raming'!$H63,0))))),0)</f>
        <v>0</v>
      </c>
      <c r="O43" s="9" t="e">
        <f>N43/N45</f>
        <v>#DIV/0!</v>
      </c>
      <c r="T43" s="23"/>
      <c r="U43" s="53"/>
      <c r="V43" s="40"/>
    </row>
    <row r="44" spans="1:24" ht="27.6" x14ac:dyDescent="0.3">
      <c r="A44" s="8" t="s">
        <v>127</v>
      </c>
      <c r="B44" s="10">
        <f>IFERROR(IF(A$2=Bron!$B$11,IF(MATCH(Bron!$B$11,'uitgebreide raming'!$B$2:$I$2,0)=1,'uitgebreide raming'!$B10,IF(MATCH(Bron!$B$11,'uitgebreide raming'!$B$2:$I$2,0)=3,'uitgebreide raming'!$D10,IF(MATCH(Bron!$B$11,'uitgebreide raming'!$B$2:$I$2,0)=5,'uitgebreide raming'!$F10,IF(MATCH(Bron!$B$11,'uitgebreide raming'!$B$2:$I$2,0)=7,'uitgebreide raming'!$H10,0)))),IF(MATCH(Bron!$B$12,'uitgebreide raming'!$B$2:$I$2,0)=1,'uitgebreide raming'!$B10,IF(MATCH(Bron!$B$12,'uitgebreide raming'!$B$2:$I$2,0)=3,'uitgebreide raming'!$D10,IF(MATCH(Bron!$B$12,'uitgebreide raming'!$B$2:$I$2,0)=5,'uitgebreide raming'!$F10,IF(MATCH(Bron!$B$12,'uitgebreide raming'!$B$2:$I$2,0)=7,'uitgebreide raming'!$H10,0))))),0)</f>
        <v>0</v>
      </c>
      <c r="C44" s="9" t="e">
        <f>B44/B45</f>
        <v>#DIV/0!</v>
      </c>
      <c r="G44" s="8" t="s">
        <v>127</v>
      </c>
      <c r="H44" s="10">
        <f>IFERROR(IF(G$2=Bron!$B$11,IF(MATCH(Bron!$B$11,'uitgebreide raming'!$B$29:$I$29,0)=1,'uitgebreide raming'!$B37,IF(MATCH(Bron!$B$11,'uitgebreide raming'!$B$29:$I$29,0)=3,'uitgebreide raming'!$D37,IF(MATCH(Bron!$B$11,'uitgebreide raming'!$B$29:$I$29,0)=5,'uitgebreide raming'!$F37,IF(MATCH(Bron!$B$11,'uitgebreide raming'!$B$29:$I$29,0)=7,'uitgebreide raming'!$H37,0)))),IF(MATCH(Bron!$B$12,'uitgebreide raming'!$B$29:$I$29,0)=1,'uitgebreide raming'!$B37,IF(MATCH(Bron!$B$12,'uitgebreide raming'!$B$29:$I$29,0)=3,'uitgebreide raming'!$D37,IF(MATCH(Bron!$B$12,'uitgebreide raming'!$B$29:$I$29,0)=5,'uitgebreide raming'!$F37,IF(MATCH(Bron!$B$12,'uitgebreide raming'!$B$29:$I$29,0)=7,'uitgebreide raming'!$H37,0))))),0)</f>
        <v>0</v>
      </c>
      <c r="I44" s="9" t="e">
        <f>H44/H45</f>
        <v>#DIV/0!</v>
      </c>
      <c r="J44"/>
      <c r="K44"/>
      <c r="L44"/>
      <c r="M44" s="8" t="s">
        <v>127</v>
      </c>
      <c r="N44" s="10">
        <f>IFERROR(IF(M$2=Bron!$B$11,IF(MATCH(Bron!$B$11,'uitgebreide raming'!$B$56:$I$56,0)=1,'uitgebreide raming'!$B64,IF(MATCH(Bron!$B$11,'uitgebreide raming'!$B$56:$I$56,0)=3,'uitgebreide raming'!$D64,IF(MATCH(Bron!$B$11,'uitgebreide raming'!$B$56:$I$56,0)=5,'uitgebreide raming'!$F64,IF(MATCH(Bron!$B$11,'uitgebreide raming'!$B$56:$I$56,0)=7,'uitgebreide raming'!$H64,0)))),IF(MATCH(Bron!$B$12,'uitgebreide raming'!$B$56:$I$56,0)=1,'uitgebreide raming'!$B64,IF(MATCH(Bron!$B$12,'uitgebreide raming'!$B$56:$I$56,0)=3,'uitgebreide raming'!$D64,IF(MATCH(Bron!$B$12,'uitgebreide raming'!$B$56:$I$56,0)=5,'uitgebreide raming'!$F64,IF(MATCH(Bron!$B$12,'uitgebreide raming'!$B$56:$I$56,0)=7,'uitgebreide raming'!$H64,0))))),0)</f>
        <v>0</v>
      </c>
      <c r="O44" s="9" t="e">
        <f>N44/N45</f>
        <v>#DIV/0!</v>
      </c>
      <c r="T44" s="23"/>
      <c r="U44" s="53"/>
      <c r="V44" s="40"/>
    </row>
    <row r="45" spans="1:24" ht="14.4" x14ac:dyDescent="0.3">
      <c r="A45" s="8" t="s">
        <v>110</v>
      </c>
      <c r="B45" s="10">
        <f>B44+B43</f>
        <v>0</v>
      </c>
      <c r="C45" s="9" t="e">
        <f>SUM(C40:C42)+C44</f>
        <v>#DIV/0!</v>
      </c>
      <c r="G45" s="8" t="s">
        <v>110</v>
      </c>
      <c r="H45" s="10">
        <f>H44+H43</f>
        <v>0</v>
      </c>
      <c r="I45" s="9" t="e">
        <f>SUM(I40:I42)+I44</f>
        <v>#DIV/0!</v>
      </c>
      <c r="J45"/>
      <c r="K45"/>
      <c r="L45"/>
      <c r="M45" s="8" t="s">
        <v>110</v>
      </c>
      <c r="N45" s="10">
        <f>N44+N43</f>
        <v>0</v>
      </c>
      <c r="O45" s="9" t="e">
        <f>SUM(O40:O42)+O44</f>
        <v>#DIV/0!</v>
      </c>
      <c r="T45" s="23"/>
      <c r="U45" s="53"/>
      <c r="V45" s="40"/>
    </row>
    <row r="46" spans="1:24" ht="14.4" x14ac:dyDescent="0.3">
      <c r="A46" s="18" t="s">
        <v>313</v>
      </c>
      <c r="B46" s="10">
        <f>IFERROR(IF(A$2=Bron!$B$11,IF(MATCH(Bron!$B$11,'uitgebreide raming'!$B$2:$I$2,0)=1,'uitgebreide raming'!$B12,IF(MATCH(Bron!$B$11,'uitgebreide raming'!$B$2:$I$2,0)=3,'uitgebreide raming'!$D12,IF(MATCH(Bron!$B$11,'uitgebreide raming'!$B$2:$I$2,0)=5,'uitgebreide raming'!$F12,IF(MATCH(Bron!$B$11,'uitgebreide raming'!$B$2:$I$2,0)=7,'uitgebreide raming'!$H12,0)))),IF(MATCH(Bron!$B$12,'uitgebreide raming'!$B$2:$I$2,0)=1,'uitgebreide raming'!$B12,IF(MATCH(Bron!$B$12,'uitgebreide raming'!$B$2:$I$2,0)=3,'uitgebreide raming'!$D12,IF(MATCH(Bron!$B$12,'uitgebreide raming'!$B$2:$I$2,0)=5,'uitgebreide raming'!$F12,IF(MATCH(Bron!$B$12,'uitgebreide raming'!$B$2:$I$2,0)=7,'uitgebreide raming'!$H12,0))))),0)</f>
        <v>0</v>
      </c>
      <c r="C46" s="9"/>
      <c r="G46" s="18" t="s">
        <v>313</v>
      </c>
      <c r="H46" s="10">
        <f>IFERROR(IF(G$2=Bron!$B$11,IF(MATCH(Bron!$B$11,'uitgebreide raming'!$B$29:$I$29,0)=1,'uitgebreide raming'!$B39,IF(MATCH(Bron!$B$11,'uitgebreide raming'!$B$29:$I$29,0)=3,'uitgebreide raming'!$D39,IF(MATCH(Bron!$B$11,'uitgebreide raming'!$B$29:$I$29,0)=5,'uitgebreide raming'!$F39,IF(MATCH(Bron!$B$11,'uitgebreide raming'!$B$29:$I$29,0)=7,'uitgebreide raming'!$H39,0)))),IF(MATCH(Bron!$B$12,'uitgebreide raming'!$B$29:$I$29,0)=1,'uitgebreide raming'!$B39,IF(MATCH(Bron!$B$12,'uitgebreide raming'!$B$29:$I$29,0)=3,'uitgebreide raming'!$D39,IF(MATCH(Bron!$B$12,'uitgebreide raming'!$B$29:$I$29,0)=5,'uitgebreide raming'!$F39,IF(MATCH(Bron!$B$12,'uitgebreide raming'!$B$29:$I$29,0)=7,'uitgebreide raming'!$H39,0))))),0)</f>
        <v>0</v>
      </c>
      <c r="J46"/>
      <c r="K46"/>
      <c r="L46"/>
      <c r="M46" s="8" t="s">
        <v>313</v>
      </c>
      <c r="N46" s="10">
        <f>IFERROR(IF(M$2=Bron!$B$11,IF(MATCH(Bron!$B$11,'uitgebreide raming'!$B$56:$I$56,0)=1,'uitgebreide raming'!$B66,IF(MATCH(Bron!$B$11,'uitgebreide raming'!$B$56:$I$56,0)=3,'uitgebreide raming'!$D66,IF(MATCH(Bron!$B$11,'uitgebreide raming'!$B$56:$I$56,0)=5,'uitgebreide raming'!$F66,IF(MATCH(Bron!$B$11,'uitgebreide raming'!$B$56:$I$56,0)=7,'uitgebreide raming'!$H66,0)))),IF(MATCH(Bron!$B$12,'uitgebreide raming'!$B$56:$I$56,0)=1,'uitgebreide raming'!$B66,IF(MATCH(Bron!$B$12,'uitgebreide raming'!$B$56:$I$56,0)=3,'uitgebreide raming'!$D66,IF(MATCH(Bron!$B$12,'uitgebreide raming'!$B$56:$I$56,0)=5,'uitgebreide raming'!$F66,IF(MATCH(Bron!$B$12,'uitgebreide raming'!$B$56:$I$56,0)=7,'uitgebreide raming'!$H66,0))))),0)</f>
        <v>0</v>
      </c>
      <c r="O46" s="9"/>
      <c r="U46" s="53"/>
      <c r="V46" s="40"/>
    </row>
    <row r="48" spans="1:24" ht="18" x14ac:dyDescent="0.3">
      <c r="A48" s="1223" t="s">
        <v>91</v>
      </c>
      <c r="B48" s="1223"/>
      <c r="C48" s="1223"/>
      <c r="D48" s="1223"/>
      <c r="E48" s="1223"/>
      <c r="F48" s="1223"/>
      <c r="G48" s="1223"/>
      <c r="H48" s="1223"/>
      <c r="I48" s="1223"/>
      <c r="J48" s="1223"/>
      <c r="K48" s="1223"/>
      <c r="L48" s="1223"/>
      <c r="M48" s="1223"/>
      <c r="N48" s="1223"/>
      <c r="O48" s="1223"/>
      <c r="P48" s="1223"/>
      <c r="Q48" s="1223"/>
    </row>
    <row r="49" spans="1:18" outlineLevel="1" x14ac:dyDescent="0.3">
      <c r="A49" s="54" t="s">
        <v>23</v>
      </c>
      <c r="B49" s="54" t="str">
        <f>'Overzicht BTA'!$C$3</f>
        <v>Kies de zorgvorm</v>
      </c>
      <c r="C49" s="54"/>
      <c r="D49" s="54"/>
      <c r="E49" s="54"/>
      <c r="F49" s="54"/>
      <c r="G49" s="54" t="s">
        <v>23</v>
      </c>
      <c r="H49" s="54" t="str">
        <f>'Overzicht BTA'!$H$3</f>
        <v>Kies de zorgvorm</v>
      </c>
      <c r="I49" s="54"/>
      <c r="J49" s="54"/>
      <c r="K49" s="54"/>
      <c r="L49" s="54"/>
      <c r="M49" s="54" t="s">
        <v>23</v>
      </c>
      <c r="N49" s="54" t="str">
        <f>'Overzicht BTA'!$N$3</f>
        <v>Kies de zorgvorm</v>
      </c>
      <c r="O49" s="54"/>
      <c r="P49" s="54"/>
      <c r="Q49" s="54"/>
    </row>
    <row r="50" spans="1:18" outlineLevel="1" x14ac:dyDescent="0.3">
      <c r="A50" s="134" t="str">
        <f>IF(ISNUMBER(MATCH(Bron!$B$11,'Overzicht BTA'!B$7:B$10,0)),Bron!$B$11,IF(ISNUMBER(MATCH(Bron!$B$12,'Overzicht BTA'!B$7:B$10,0)),Bron!$B$12,"/"))</f>
        <v>/</v>
      </c>
      <c r="B50" s="135"/>
      <c r="C50" s="135"/>
      <c r="D50" s="135"/>
      <c r="E50" s="136"/>
      <c r="G50" s="134" t="str">
        <f>IF(ISNUMBER(MATCH(Bron!$B$11,'Overzicht BTA'!H$7:H$10,0)),Bron!$B$11,IF(ISNUMBER(MATCH(Bron!$B$12,'Overzicht BTA'!H$7:H$10,0)),Bron!$B$12,"/"))</f>
        <v>/</v>
      </c>
      <c r="H50" s="135"/>
      <c r="I50" s="135"/>
      <c r="J50" s="135"/>
      <c r="K50" s="136"/>
      <c r="M50" s="134" t="str">
        <f>IF(ISNUMBER(MATCH(Bron!$B$11,'Overzicht BTA'!$N$7:$N$9,0)),Bron!$B$11,IF(ISNUMBER(MATCH(Bron!$B$12,'Overzicht BTA'!N$7:N$10,0)),Bron!$B$12,"/"))</f>
        <v>/</v>
      </c>
      <c r="N50" s="135"/>
      <c r="O50" s="135"/>
      <c r="P50" s="135"/>
      <c r="Q50" s="136"/>
    </row>
    <row r="51" spans="1:18" outlineLevel="1" x14ac:dyDescent="0.3">
      <c r="A51" s="109" t="s">
        <v>311</v>
      </c>
      <c r="B51" s="110"/>
      <c r="C51" s="111"/>
      <c r="D51" s="111"/>
      <c r="E51" s="111"/>
      <c r="G51" s="109" t="s">
        <v>311</v>
      </c>
      <c r="H51" s="110"/>
      <c r="I51" s="111"/>
      <c r="J51" s="111"/>
      <c r="K51" s="111"/>
      <c r="M51" s="109" t="s">
        <v>311</v>
      </c>
      <c r="N51" s="110"/>
      <c r="O51" s="111"/>
      <c r="P51" s="111"/>
      <c r="Q51" s="111"/>
    </row>
    <row r="52" spans="1:18" outlineLevel="1" x14ac:dyDescent="0.3">
      <c r="A52" s="70" t="s">
        <v>304</v>
      </c>
      <c r="B52" s="32" t="s">
        <v>275</v>
      </c>
      <c r="C52" s="32" t="s">
        <v>276</v>
      </c>
      <c r="D52" s="33"/>
      <c r="E52" s="32" t="s">
        <v>277</v>
      </c>
      <c r="G52" s="70" t="s">
        <v>304</v>
      </c>
      <c r="H52" s="32" t="s">
        <v>275</v>
      </c>
      <c r="I52" s="32" t="s">
        <v>276</v>
      </c>
      <c r="J52" s="33"/>
      <c r="K52" s="32" t="s">
        <v>277</v>
      </c>
      <c r="M52" s="70" t="s">
        <v>304</v>
      </c>
      <c r="N52" s="32" t="s">
        <v>275</v>
      </c>
      <c r="O52" s="32" t="s">
        <v>276</v>
      </c>
      <c r="P52" s="33"/>
      <c r="Q52" s="32" t="s">
        <v>277</v>
      </c>
    </row>
    <row r="53" spans="1:18" outlineLevel="1" x14ac:dyDescent="0.3">
      <c r="A53" s="368">
        <f>IFERROR(IF('Overzicht BTA'!D59=0,IF(A2=Bron!$B$11,IF(MATCH(Bron!$B$11,'Overzicht BTA'!B$51:B$54,0)=1,'Overzicht BTA'!D51,IF(MATCH(Bron!$B$11,'Overzicht BTA'!B$51:B$54,0)=2,'Overzicht BTA'!D52,IF(MATCH(Bron!$B$11,'Overzicht BTA'!B$51:B$54,0)=3,'Overzicht BTA'!D53,IF(MATCH(Bron!$B$11,'Overzicht BTA'!B$51:B$54,0)=4,'Overzicht BTA'!D54,0)))),IF(MATCH(Bron!$B$12,'Overzicht BTA'!B$51:B$54,0)=1,'Overzicht BTA'!D51,IF(MATCH(Bron!$B$12,'Overzicht BTA'!B$51:B$54,0)=2,'Overzicht BTA'!D52,IF(MATCH(Bron!$B$12,'Overzicht BTA'!B$51:B$54,0)=3,'Overzicht BTA'!D53,IF(MATCH(Bron!$B$12,'Overzicht BTA'!B$51:B$54,0)=4,'Overzicht BTA'!D54,0))))),0),0)</f>
        <v>0</v>
      </c>
      <c r="B53" s="71">
        <f>VLOOKUP(B49,'Capaciteiten &amp; forfaits'!$B$3:$H$76,6,FALSE)</f>
        <v>0</v>
      </c>
      <c r="C53" s="71">
        <f>'Overzicht BTA'!$D$37</f>
        <v>2.3958200000000001</v>
      </c>
      <c r="D53" s="72">
        <f>IF(A50=Bron!$B$11,0.75,1)</f>
        <v>1</v>
      </c>
      <c r="E53" s="73">
        <f>ROUND(A53*B53*C53*D53,2)</f>
        <v>0</v>
      </c>
      <c r="G53" s="368">
        <f>IFERROR(IF('Overzicht BTA'!J59=0,IF(M50=Bron!$B$11,IF(MATCH(Bron!$B$11,'Overzicht BTA'!$H$51:$H$54,0)=1,'Overzicht BTA'!$J$51,IF(MATCH(Bron!$B$11,'Overzicht BTA'!$H$51:$H$54,0)=2,'Overzicht BTA'!$J$52,IF(MATCH(Bron!$B$11,'Overzicht BTA'!$H$51:$H$54,0)=3,'Overzicht BTA'!$J$53,IF(MATCH(Bron!$B$11,'Overzicht BTA'!$H$51:$H$54,0)=4,'Overzicht BTA'!$J$54,0)))),IF(MATCH(Bron!$B$12,'Overzicht BTA'!$H$51:$H$54,0)=1,'Overzicht BTA'!$J$51,IF(MATCH(Bron!$B$12,'Overzicht BTA'!$H$51:$H$54,0)=2,'Overzicht BTA'!$J$52,IF(MATCH(Bron!$B$12,'Overzicht BTA'!$H$51:$H$54,0)=3,'Overzicht BTA'!$J$53,IF(MATCH(Bron!$B$12,'Overzicht BTA'!$H$51:$H$54,0)=4,'Overzicht BTA'!$J$54,0))))),0),0)</f>
        <v>0</v>
      </c>
      <c r="H53" s="71">
        <f>VLOOKUP(H49,'Capaciteiten &amp; forfaits'!$B$3:$H$76,6,FALSE)</f>
        <v>0</v>
      </c>
      <c r="I53" s="71">
        <f>'Overzicht BTA'!$D$37</f>
        <v>2.3958200000000001</v>
      </c>
      <c r="J53" s="72">
        <f>IF(G50=Bron!$B$11,0.75,1)</f>
        <v>1</v>
      </c>
      <c r="K53" s="73">
        <f>ROUND(G53*H53*I53*J53,2)</f>
        <v>0</v>
      </c>
      <c r="M53" s="368">
        <f>IFERROR(IF('Overzicht BTA'!P59=0,IF(G50=Bron!$B$11,IF(MATCH(Bron!$B$11,'Overzicht BTA'!$N$51:$N$54,0)=1,'Overzicht BTA'!$P$51,IF(MATCH(Bron!$B$11,'Overzicht BTA'!$N$51:$N$54,0)=2,'Overzicht BTA'!$P$52,IF(MATCH(Bron!$B$11,'Overzicht BTA'!$N$51:$N$54,0)=3,'Overzicht BTA'!$P$53,IF(MATCH(Bron!$B$11,'Overzicht BTA'!$N$51:$N$54,0)=4,'Overzicht BTA'!$P$54,0)))),IF(MATCH(Bron!$B$12,'Overzicht BTA'!$N$51:$N$54,0)=1,'Overzicht BTA'!$P$51,IF(MATCH(Bron!$B$12,'Overzicht BTA'!$N$51:$N$54,0)=2,'Overzicht BTA'!$P$52,IF(MATCH(Bron!$B$12,'Overzicht BTA'!$N$51:$N$54,0)=3,'Overzicht BTA'!$P$53,IF(MATCH(Bron!$B$12,'Overzicht BTA'!$N$51:$N$54,0)=4,'Overzicht BTA'!$P$54,0))))),0),0)</f>
        <v>0</v>
      </c>
      <c r="N53" s="71">
        <f>VLOOKUP(N49,'Capaciteiten &amp; forfaits'!$B$3:$H$76,6,FALSE)</f>
        <v>0</v>
      </c>
      <c r="O53" s="71">
        <f>'Overzicht BTA'!$D$37</f>
        <v>2.3958200000000001</v>
      </c>
      <c r="P53" s="72">
        <f>IF(M50=Bron!$B$11,0.75,1)</f>
        <v>1</v>
      </c>
      <c r="Q53" s="73">
        <f>ROUND(M53*N53*O53*P53,2)</f>
        <v>0</v>
      </c>
    </row>
    <row r="54" spans="1:18" outlineLevel="1" x14ac:dyDescent="0.3">
      <c r="A54" s="62" t="s">
        <v>312</v>
      </c>
      <c r="B54" s="63">
        <f>B91</f>
        <v>0</v>
      </c>
      <c r="C54" s="64">
        <v>0.6</v>
      </c>
      <c r="D54" s="62"/>
      <c r="E54" s="63">
        <f>ROUND(B54*C54,2)</f>
        <v>0</v>
      </c>
      <c r="F54" s="51">
        <f>E53*10/6</f>
        <v>0</v>
      </c>
      <c r="G54" s="62" t="s">
        <v>312</v>
      </c>
      <c r="H54" s="63">
        <f>H91</f>
        <v>0</v>
      </c>
      <c r="I54" s="64">
        <v>0.6</v>
      </c>
      <c r="J54" s="62"/>
      <c r="K54" s="63">
        <f>ROUND(H54*I54,2)</f>
        <v>0</v>
      </c>
      <c r="L54" s="51">
        <f>K53*10/6</f>
        <v>0</v>
      </c>
      <c r="M54" s="62" t="s">
        <v>312</v>
      </c>
      <c r="N54" s="63">
        <f>N91</f>
        <v>0</v>
      </c>
      <c r="O54" s="64">
        <v>0.6</v>
      </c>
      <c r="P54" s="62"/>
      <c r="Q54" s="63">
        <f>ROUND(N54*O54,2)</f>
        <v>0</v>
      </c>
    </row>
    <row r="55" spans="1:18" outlineLevel="1" x14ac:dyDescent="0.3">
      <c r="A55" s="535" t="s">
        <v>313</v>
      </c>
      <c r="B55" s="113">
        <f>B94</f>
        <v>0</v>
      </c>
      <c r="C55" s="536">
        <v>0.6</v>
      </c>
      <c r="D55" s="67"/>
      <c r="E55" s="68">
        <f>ROUND(B55*C55,2)</f>
        <v>0</v>
      </c>
      <c r="F55" s="51"/>
      <c r="G55" s="535" t="s">
        <v>313</v>
      </c>
      <c r="H55" s="113">
        <f>H94</f>
        <v>0</v>
      </c>
      <c r="I55" s="536">
        <v>0.6</v>
      </c>
      <c r="J55" s="67"/>
      <c r="K55" s="68">
        <f>ROUND(H55*I55,2)</f>
        <v>0</v>
      </c>
      <c r="L55" s="51"/>
      <c r="M55" s="535" t="s">
        <v>313</v>
      </c>
      <c r="N55" s="113">
        <f>N94</f>
        <v>0</v>
      </c>
      <c r="O55" s="536">
        <v>0.6</v>
      </c>
      <c r="P55" s="67"/>
      <c r="Q55" s="68">
        <f>ROUND(N55*O55,2)</f>
        <v>0</v>
      </c>
      <c r="R55" s="51"/>
    </row>
    <row r="56" spans="1:18" outlineLevel="1" x14ac:dyDescent="0.3">
      <c r="A56" s="1238" t="s">
        <v>287</v>
      </c>
      <c r="B56" s="1239"/>
      <c r="C56" s="9"/>
      <c r="D56" s="132" t="s">
        <v>19</v>
      </c>
      <c r="E56" s="24">
        <f>MIN(E53,E54+E55)</f>
        <v>0</v>
      </c>
      <c r="F56" s="23"/>
      <c r="G56" s="1238" t="s">
        <v>287</v>
      </c>
      <c r="H56" s="1239"/>
      <c r="I56" s="9"/>
      <c r="J56" s="132" t="s">
        <v>19</v>
      </c>
      <c r="K56" s="24">
        <f>MIN(K53,K54+K55)</f>
        <v>0</v>
      </c>
      <c r="M56" s="1238" t="s">
        <v>287</v>
      </c>
      <c r="N56" s="1239"/>
      <c r="O56" s="9"/>
      <c r="P56" s="132" t="s">
        <v>19</v>
      </c>
      <c r="Q56" s="24">
        <f>MIN(Q53,Q54+Q55)</f>
        <v>0</v>
      </c>
    </row>
    <row r="57" spans="1:18" outlineLevel="1" x14ac:dyDescent="0.3">
      <c r="A57" s="221" t="s">
        <v>279</v>
      </c>
      <c r="B57" s="8"/>
      <c r="C57" s="9">
        <v>0.1</v>
      </c>
      <c r="D57" s="9"/>
      <c r="E57" s="24">
        <f>ROUND(E56*C57,2)</f>
        <v>0</v>
      </c>
      <c r="F57" s="25"/>
      <c r="G57" s="221" t="s">
        <v>279</v>
      </c>
      <c r="H57" s="8"/>
      <c r="I57" s="9">
        <v>0.1</v>
      </c>
      <c r="J57" s="9"/>
      <c r="K57" s="24">
        <f>ROUND(K56*I57,2)</f>
        <v>0</v>
      </c>
      <c r="M57" s="221" t="s">
        <v>279</v>
      </c>
      <c r="N57" s="8"/>
      <c r="O57" s="9">
        <v>0.1</v>
      </c>
      <c r="P57" s="9"/>
      <c r="Q57" s="24">
        <f>ROUND(Q56*O57,2)</f>
        <v>0</v>
      </c>
    </row>
    <row r="58" spans="1:18" outlineLevel="1" x14ac:dyDescent="0.3">
      <c r="A58" s="8" t="s">
        <v>64</v>
      </c>
      <c r="B58" s="8" t="s">
        <v>293</v>
      </c>
      <c r="C58" s="97">
        <f>IF(A50=Bron!$B$11,'Overzicht BTA'!C61,IF(A50=Bron!$B$12,'Overzicht BTA'!C60,0))</f>
        <v>0</v>
      </c>
      <c r="D58" s="9"/>
      <c r="E58" s="24">
        <f>ROUND(E56*C58,2)</f>
        <v>0</v>
      </c>
      <c r="F58" s="25"/>
      <c r="G58" s="8" t="s">
        <v>64</v>
      </c>
      <c r="H58" s="8" t="s">
        <v>293</v>
      </c>
      <c r="I58" s="97">
        <f>IF(G50=Bron!$B$11,'Overzicht BTA'!I61,IF(G50=Bron!$B$12,'Overzicht BTA'!I60,0))</f>
        <v>0</v>
      </c>
      <c r="J58" s="9"/>
      <c r="K58" s="24">
        <f>ROUND(K56*I58,2)</f>
        <v>0</v>
      </c>
      <c r="M58" s="8" t="s">
        <v>64</v>
      </c>
      <c r="N58" s="8" t="s">
        <v>293</v>
      </c>
      <c r="O58" s="97">
        <f>IF(M50=Bron!$B$11,'Overzicht BTA'!O61,IF(M50=Bron!$B$12,'Overzicht BTA'!O60,0))</f>
        <v>0</v>
      </c>
      <c r="P58" s="9"/>
      <c r="Q58" s="24">
        <f>ROUND(Q56*O58,2)</f>
        <v>0</v>
      </c>
    </row>
    <row r="59" spans="1:18" ht="14.4" outlineLevel="1" thickBot="1" x14ac:dyDescent="0.35">
      <c r="A59" s="8" t="s">
        <v>64</v>
      </c>
      <c r="B59" s="50" t="s">
        <v>281</v>
      </c>
      <c r="C59" s="9">
        <v>0.21</v>
      </c>
      <c r="D59" s="26"/>
      <c r="E59" s="27">
        <f>ROUND(E57*C59,2)</f>
        <v>0</v>
      </c>
      <c r="F59" s="25"/>
      <c r="G59" s="8" t="s">
        <v>64</v>
      </c>
      <c r="H59" s="50" t="s">
        <v>281</v>
      </c>
      <c r="I59" s="9">
        <v>0.21</v>
      </c>
      <c r="J59" s="26"/>
      <c r="K59" s="27">
        <f>ROUND(K57*I59,2)</f>
        <v>0</v>
      </c>
      <c r="M59" s="8" t="s">
        <v>64</v>
      </c>
      <c r="N59" s="50" t="s">
        <v>281</v>
      </c>
      <c r="O59" s="9">
        <v>0.21</v>
      </c>
      <c r="P59" s="26"/>
      <c r="Q59" s="27">
        <f>ROUND(Q57*O59,2)</f>
        <v>0</v>
      </c>
    </row>
    <row r="60" spans="1:18" ht="14.4" outlineLevel="1" thickTop="1" x14ac:dyDescent="0.3">
      <c r="A60" s="28" t="s">
        <v>282</v>
      </c>
      <c r="B60" s="29"/>
      <c r="C60" s="30"/>
      <c r="D60" s="31"/>
      <c r="E60" s="80">
        <f>SUM(E56:E59)</f>
        <v>0</v>
      </c>
      <c r="F60" s="25"/>
      <c r="G60" s="28" t="s">
        <v>282</v>
      </c>
      <c r="H60" s="29"/>
      <c r="I60" s="30"/>
      <c r="J60" s="31"/>
      <c r="K60" s="80">
        <f>SUM(K56:K59)</f>
        <v>0</v>
      </c>
      <c r="M60" s="28" t="s">
        <v>282</v>
      </c>
      <c r="N60" s="29"/>
      <c r="O60" s="30"/>
      <c r="P60" s="31"/>
      <c r="Q60" s="80">
        <f>SUM(Q56:Q59)</f>
        <v>0</v>
      </c>
    </row>
    <row r="61" spans="1:18" outlineLevel="1" x14ac:dyDescent="0.3"/>
    <row r="62" spans="1:18" ht="14.4" outlineLevel="1" x14ac:dyDescent="0.3">
      <c r="A62" s="1232" t="s">
        <v>303</v>
      </c>
      <c r="B62" s="1233"/>
      <c r="C62" s="153"/>
      <c r="D62" s="154"/>
      <c r="E62" s="153"/>
      <c r="G62" s="1232" t="s">
        <v>303</v>
      </c>
      <c r="H62" s="1233"/>
      <c r="I62" s="153"/>
      <c r="J62" s="154"/>
      <c r="K62" s="153"/>
      <c r="M62" s="1232" t="s">
        <v>303</v>
      </c>
      <c r="N62" s="1233"/>
      <c r="O62" s="153"/>
      <c r="P62" s="154"/>
      <c r="Q62" s="153"/>
    </row>
    <row r="63" spans="1:18" outlineLevel="1" x14ac:dyDescent="0.3">
      <c r="A63" s="70" t="s">
        <v>304</v>
      </c>
      <c r="B63" s="32" t="s">
        <v>275</v>
      </c>
      <c r="C63" s="32" t="s">
        <v>276</v>
      </c>
      <c r="D63" s="33"/>
      <c r="E63" s="32" t="s">
        <v>277</v>
      </c>
      <c r="G63" s="70" t="s">
        <v>304</v>
      </c>
      <c r="H63" s="32" t="s">
        <v>275</v>
      </c>
      <c r="I63" s="32" t="s">
        <v>276</v>
      </c>
      <c r="J63" s="33"/>
      <c r="K63" s="32" t="s">
        <v>277</v>
      </c>
      <c r="M63" s="70" t="s">
        <v>304</v>
      </c>
      <c r="N63" s="32" t="s">
        <v>275</v>
      </c>
      <c r="O63" s="32" t="s">
        <v>276</v>
      </c>
      <c r="P63" s="33"/>
      <c r="Q63" s="32" t="s">
        <v>277</v>
      </c>
    </row>
    <row r="64" spans="1:18" outlineLevel="1" x14ac:dyDescent="0.3">
      <c r="A64" s="367">
        <f>IF(OR(A50=Bron!B11,A50=Bron!B12),IF('Overzicht BTA'!D59=0,A53,0),A53)</f>
        <v>0</v>
      </c>
      <c r="B64" s="71">
        <f>B16</f>
        <v>0</v>
      </c>
      <c r="C64" s="71">
        <f>'Overzicht BTA'!$D$37</f>
        <v>2.3958200000000001</v>
      </c>
      <c r="D64" s="72"/>
      <c r="E64" s="73">
        <f>ROUND(A64*B64*C64,2)</f>
        <v>0</v>
      </c>
      <c r="G64" s="367">
        <f>G53</f>
        <v>0</v>
      </c>
      <c r="H64" s="71">
        <f>H16</f>
        <v>0</v>
      </c>
      <c r="I64" s="71">
        <f>'Overzicht BTA'!$D$37</f>
        <v>2.3958200000000001</v>
      </c>
      <c r="J64" s="72"/>
      <c r="K64" s="73">
        <f>ROUND(G64*H64*I64,2)</f>
        <v>0</v>
      </c>
      <c r="M64" s="367">
        <f>M53</f>
        <v>0</v>
      </c>
      <c r="N64" s="71">
        <f>N16</f>
        <v>0</v>
      </c>
      <c r="O64" s="71">
        <f>'Overzicht BTA'!$D$37</f>
        <v>2.3958200000000001</v>
      </c>
      <c r="P64" s="72"/>
      <c r="Q64" s="73">
        <f>ROUND(M64*N64*O64,2)</f>
        <v>0</v>
      </c>
    </row>
    <row r="65" spans="1:24" outlineLevel="1" x14ac:dyDescent="0.3">
      <c r="A65" s="65" t="s">
        <v>305</v>
      </c>
      <c r="B65" s="63">
        <f>B92</f>
        <v>0</v>
      </c>
      <c r="C65" s="66">
        <v>0.6</v>
      </c>
      <c r="D65" s="67"/>
      <c r="E65" s="68">
        <f>ROUND(B65*C65,2)</f>
        <v>0</v>
      </c>
      <c r="F65" s="51">
        <f>E64*10/6</f>
        <v>0</v>
      </c>
      <c r="G65" s="65" t="s">
        <v>305</v>
      </c>
      <c r="H65" s="63">
        <f>H92</f>
        <v>0</v>
      </c>
      <c r="I65" s="66">
        <v>0.6</v>
      </c>
      <c r="J65" s="67"/>
      <c r="K65" s="68">
        <f>ROUND(H65*I65,2)</f>
        <v>0</v>
      </c>
      <c r="L65" s="51">
        <f>K64*10/6</f>
        <v>0</v>
      </c>
      <c r="M65" s="65" t="s">
        <v>305</v>
      </c>
      <c r="N65" s="63">
        <f>N92</f>
        <v>0</v>
      </c>
      <c r="O65" s="66">
        <v>0.6</v>
      </c>
      <c r="P65" s="67"/>
      <c r="Q65" s="68">
        <f>ROUND(N65*O65,2)</f>
        <v>0</v>
      </c>
    </row>
    <row r="66" spans="1:24" ht="14.4" outlineLevel="1" x14ac:dyDescent="0.3">
      <c r="A66" s="1220" t="s">
        <v>287</v>
      </c>
      <c r="B66" s="1221"/>
      <c r="C66" s="20"/>
      <c r="D66" s="133" t="s">
        <v>32</v>
      </c>
      <c r="E66" s="34">
        <f>MIN(E64,E65)</f>
        <v>0</v>
      </c>
      <c r="G66" s="1220" t="s">
        <v>287</v>
      </c>
      <c r="H66" s="1221"/>
      <c r="I66" s="20"/>
      <c r="J66" s="133" t="s">
        <v>32</v>
      </c>
      <c r="K66" s="34">
        <f>MIN(K64,K65)</f>
        <v>0</v>
      </c>
      <c r="M66" s="1220" t="s">
        <v>287</v>
      </c>
      <c r="N66" s="1221"/>
      <c r="O66" s="20"/>
      <c r="P66" s="133" t="s">
        <v>32</v>
      </c>
      <c r="Q66" s="34">
        <f>MIN(Q64,Q65)</f>
        <v>0</v>
      </c>
    </row>
    <row r="67" spans="1:24" outlineLevel="1" x14ac:dyDescent="0.3">
      <c r="A67" s="22" t="s">
        <v>306</v>
      </c>
      <c r="B67" s="22"/>
      <c r="C67" s="35">
        <v>0.1</v>
      </c>
      <c r="D67" s="22"/>
      <c r="E67" s="34">
        <f>ROUND(E66*C67,2)</f>
        <v>0</v>
      </c>
      <c r="G67" s="22" t="s">
        <v>306</v>
      </c>
      <c r="H67" s="22"/>
      <c r="I67" s="35">
        <v>0.1</v>
      </c>
      <c r="J67" s="22"/>
      <c r="K67" s="34">
        <f>ROUND(K66*I67,2)</f>
        <v>0</v>
      </c>
      <c r="M67" s="22" t="s">
        <v>306</v>
      </c>
      <c r="N67" s="22"/>
      <c r="O67" s="35">
        <v>0.1</v>
      </c>
      <c r="P67" s="22"/>
      <c r="Q67" s="34">
        <f>ROUND(Q66*O67,2)</f>
        <v>0</v>
      </c>
    </row>
    <row r="68" spans="1:24" outlineLevel="1" x14ac:dyDescent="0.3">
      <c r="A68" s="22" t="s">
        <v>64</v>
      </c>
      <c r="B68" s="22" t="s">
        <v>307</v>
      </c>
      <c r="C68" s="35">
        <v>0.21</v>
      </c>
      <c r="D68" s="22"/>
      <c r="E68" s="34">
        <f>ROUND(E66*C68,2)</f>
        <v>0</v>
      </c>
      <c r="G68" s="22" t="s">
        <v>64</v>
      </c>
      <c r="H68" s="22" t="s">
        <v>307</v>
      </c>
      <c r="I68" s="35">
        <v>0.21</v>
      </c>
      <c r="J68" s="22"/>
      <c r="K68" s="34">
        <f>ROUND(K66*I68,2)</f>
        <v>0</v>
      </c>
      <c r="M68" s="22" t="s">
        <v>64</v>
      </c>
      <c r="N68" s="22" t="s">
        <v>307</v>
      </c>
      <c r="O68" s="35">
        <v>0.21</v>
      </c>
      <c r="P68" s="22"/>
      <c r="Q68" s="34">
        <f>ROUND(Q66*O68,2)</f>
        <v>0</v>
      </c>
    </row>
    <row r="69" spans="1:24" ht="14.4" outlineLevel="1" thickBot="1" x14ac:dyDescent="0.35">
      <c r="A69" s="36" t="s">
        <v>294</v>
      </c>
      <c r="B69" s="36" t="s">
        <v>308</v>
      </c>
      <c r="C69" s="37">
        <v>0.21</v>
      </c>
      <c r="D69" s="36"/>
      <c r="E69" s="38">
        <f>ROUND(E67*C69,2)</f>
        <v>0</v>
      </c>
      <c r="G69" s="36" t="s">
        <v>294</v>
      </c>
      <c r="H69" s="36" t="s">
        <v>308</v>
      </c>
      <c r="I69" s="37">
        <v>0.21</v>
      </c>
      <c r="J69" s="36"/>
      <c r="K69" s="38">
        <f>ROUND(K67*I69,2)</f>
        <v>0</v>
      </c>
      <c r="M69" s="36" t="s">
        <v>294</v>
      </c>
      <c r="N69" s="36" t="s">
        <v>308</v>
      </c>
      <c r="O69" s="37">
        <v>0.21</v>
      </c>
      <c r="P69" s="36"/>
      <c r="Q69" s="38">
        <f>ROUND(Q67*O69,2)</f>
        <v>0</v>
      </c>
    </row>
    <row r="70" spans="1:24" ht="14.4" outlineLevel="1" thickTop="1" x14ac:dyDescent="0.3">
      <c r="A70" s="22" t="s">
        <v>282</v>
      </c>
      <c r="B70" s="22"/>
      <c r="C70" s="35"/>
      <c r="D70" s="22"/>
      <c r="E70" s="96">
        <f>SUM(E67:E69)+E66</f>
        <v>0</v>
      </c>
      <c r="G70" s="22" t="s">
        <v>282</v>
      </c>
      <c r="H70" s="22"/>
      <c r="I70" s="35"/>
      <c r="J70" s="22"/>
      <c r="K70" s="96">
        <f>SUM(K67:K69)+K66</f>
        <v>0</v>
      </c>
      <c r="M70" s="22" t="s">
        <v>282</v>
      </c>
      <c r="N70" s="22"/>
      <c r="O70" s="35"/>
      <c r="P70" s="22"/>
      <c r="Q70" s="96">
        <f>SUM(Q67:Q69)+Q66</f>
        <v>0</v>
      </c>
    </row>
    <row r="71" spans="1:24" ht="15" outlineLevel="1" thickBot="1" x14ac:dyDescent="0.35">
      <c r="C71" s="39"/>
      <c r="E71"/>
      <c r="F71"/>
      <c r="I71" s="39"/>
      <c r="K71"/>
      <c r="L71"/>
      <c r="O71" s="39"/>
      <c r="Q71"/>
    </row>
    <row r="72" spans="1:24" ht="15" outlineLevel="2" thickBot="1" x14ac:dyDescent="0.35">
      <c r="A72" s="376" t="s">
        <v>283</v>
      </c>
      <c r="B72" s="1015"/>
      <c r="C72" s="1015"/>
      <c r="D72" s="1016"/>
      <c r="E72" s="1016"/>
      <c r="F72"/>
      <c r="G72" s="376" t="s">
        <v>283</v>
      </c>
      <c r="H72" s="1015"/>
      <c r="I72" s="1015"/>
      <c r="J72" s="1016"/>
      <c r="K72" s="1016"/>
      <c r="L72"/>
      <c r="M72" s="376" t="s">
        <v>283</v>
      </c>
      <c r="N72" s="1015"/>
      <c r="O72" s="1015"/>
      <c r="P72" s="1016"/>
      <c r="Q72" s="1016"/>
    </row>
    <row r="73" spans="1:24" ht="14.4" outlineLevel="2" x14ac:dyDescent="0.3">
      <c r="A73" s="1025" t="s">
        <v>274</v>
      </c>
      <c r="B73" s="1025" t="s">
        <v>275</v>
      </c>
      <c r="C73" s="1025" t="s">
        <v>276</v>
      </c>
      <c r="D73" s="1025"/>
      <c r="E73" s="1025" t="s">
        <v>277</v>
      </c>
      <c r="F73" s="20"/>
      <c r="G73" s="1025" t="s">
        <v>274</v>
      </c>
      <c r="H73" s="1025" t="s">
        <v>275</v>
      </c>
      <c r="I73" s="1025" t="s">
        <v>276</v>
      </c>
      <c r="J73" s="1025"/>
      <c r="K73" s="1025" t="s">
        <v>277</v>
      </c>
      <c r="L73" s="20"/>
      <c r="M73" s="1025" t="s">
        <v>274</v>
      </c>
      <c r="N73" s="1025" t="s">
        <v>275</v>
      </c>
      <c r="O73" s="1025" t="s">
        <v>276</v>
      </c>
      <c r="P73" s="1025"/>
      <c r="Q73" s="1025" t="s">
        <v>277</v>
      </c>
    </row>
    <row r="74" spans="1:24" ht="14.4" outlineLevel="2" x14ac:dyDescent="0.3">
      <c r="A74" s="1026">
        <f>A53</f>
        <v>0</v>
      </c>
      <c r="B74" s="1027">
        <f>IF(B49=Bron!$E$40,55,0)</f>
        <v>0</v>
      </c>
      <c r="C74" s="1025">
        <f>C53</f>
        <v>2.3958200000000001</v>
      </c>
      <c r="D74" s="1025"/>
      <c r="E74" s="1028">
        <f>ROUND(A74*B74*C74,2)</f>
        <v>0</v>
      </c>
      <c r="F74" s="20"/>
      <c r="G74" s="1026">
        <f>G53</f>
        <v>0</v>
      </c>
      <c r="H74" s="1027">
        <f>IF(H49=Bron!$E$40,55,0)</f>
        <v>0</v>
      </c>
      <c r="I74" s="1025">
        <f>I53</f>
        <v>2.3958200000000001</v>
      </c>
      <c r="J74" s="1025"/>
      <c r="K74" s="1028">
        <f>ROUND(G74*H74*I74,2)</f>
        <v>0</v>
      </c>
      <c r="L74" s="20"/>
      <c r="M74" s="1026">
        <f>M53</f>
        <v>0</v>
      </c>
      <c r="N74" s="1027">
        <f>IF(N49=Bron!$E$40,55,0)</f>
        <v>0</v>
      </c>
      <c r="O74" s="1025">
        <f>O53</f>
        <v>2.3958200000000001</v>
      </c>
      <c r="P74" s="1025"/>
      <c r="Q74" s="1028">
        <f>ROUND(M74*N74*O74,2)</f>
        <v>0</v>
      </c>
    </row>
    <row r="75" spans="1:24" ht="14.4" outlineLevel="2" x14ac:dyDescent="0.3">
      <c r="A75" s="32" t="s">
        <v>285</v>
      </c>
      <c r="B75" s="1028">
        <f>'Bouwkost VERB'!$E$52</f>
        <v>0</v>
      </c>
      <c r="C75" s="1029">
        <v>0.6</v>
      </c>
      <c r="D75" s="1025"/>
      <c r="E75" s="1028">
        <f>B75*C75</f>
        <v>0</v>
      </c>
      <c r="F75" s="20"/>
      <c r="G75" s="32" t="s">
        <v>285</v>
      </c>
      <c r="H75" s="1028">
        <f>'Bouwkost VERB'!$P$52</f>
        <v>0</v>
      </c>
      <c r="I75" s="1029">
        <v>0.6</v>
      </c>
      <c r="J75" s="1025"/>
      <c r="K75" s="1028">
        <f>H75*I75</f>
        <v>0</v>
      </c>
      <c r="L75" s="20"/>
      <c r="M75" s="32" t="s">
        <v>285</v>
      </c>
      <c r="N75" s="1028">
        <f>'Bouwkost VERB'!$AA$52</f>
        <v>0</v>
      </c>
      <c r="O75" s="1029">
        <v>0.6</v>
      </c>
      <c r="P75" s="1025"/>
      <c r="Q75" s="1028">
        <f>N75*O75</f>
        <v>0</v>
      </c>
    </row>
    <row r="76" spans="1:24" ht="14.4" outlineLevel="2" x14ac:dyDescent="0.3">
      <c r="A76" s="32" t="s">
        <v>286</v>
      </c>
      <c r="B76" s="1028">
        <f>'Bouwkost VERB'!$E$58</f>
        <v>0</v>
      </c>
      <c r="C76" s="1029">
        <v>0.6</v>
      </c>
      <c r="D76" s="1025"/>
      <c r="E76" s="1028">
        <f>B76*C76</f>
        <v>0</v>
      </c>
      <c r="F76" s="20"/>
      <c r="G76" s="32" t="s">
        <v>286</v>
      </c>
      <c r="H76" s="1028">
        <f>'Bouwkost VERB'!$P$58</f>
        <v>0</v>
      </c>
      <c r="I76" s="1029">
        <v>0.6</v>
      </c>
      <c r="J76" s="1025"/>
      <c r="K76" s="1028">
        <f>H76*I76</f>
        <v>0</v>
      </c>
      <c r="L76" s="20"/>
      <c r="M76" s="32" t="s">
        <v>286</v>
      </c>
      <c r="N76" s="1028">
        <f>'Bouwkost VERB'!$AA$58</f>
        <v>0</v>
      </c>
      <c r="O76" s="1029">
        <v>0.6</v>
      </c>
      <c r="P76" s="1025"/>
      <c r="Q76" s="1028">
        <f>N76*O76</f>
        <v>0</v>
      </c>
    </row>
    <row r="77" spans="1:24" ht="14.4" outlineLevel="2" x14ac:dyDescent="0.3">
      <c r="A77" s="1234" t="s">
        <v>287</v>
      </c>
      <c r="B77" s="1234"/>
      <c r="C77" s="133"/>
      <c r="D77" s="1030" t="s">
        <v>32</v>
      </c>
      <c r="E77" s="1031">
        <f>MIN(E76:E76)</f>
        <v>0</v>
      </c>
      <c r="F77" s="20"/>
      <c r="G77" s="1234" t="s">
        <v>287</v>
      </c>
      <c r="H77" s="1234"/>
      <c r="I77" s="133"/>
      <c r="J77" s="1030" t="s">
        <v>32</v>
      </c>
      <c r="K77" s="1031">
        <f>MIN(K76:K76)</f>
        <v>0</v>
      </c>
      <c r="L77" s="20"/>
      <c r="M77" s="1234" t="s">
        <v>287</v>
      </c>
      <c r="N77" s="1234"/>
      <c r="O77" s="133"/>
      <c r="P77" s="1030" t="s">
        <v>32</v>
      </c>
      <c r="Q77" s="1031">
        <f>MIN(Q76:Q76)</f>
        <v>0</v>
      </c>
    </row>
    <row r="78" spans="1:24" outlineLevel="2" x14ac:dyDescent="0.3">
      <c r="A78" s="221" t="s">
        <v>279</v>
      </c>
      <c r="B78" s="8"/>
      <c r="C78" s="97">
        <v>0.1</v>
      </c>
      <c r="D78" s="97"/>
      <c r="E78" s="949">
        <f>ROUND(E77*C78,2)</f>
        <v>0</v>
      </c>
      <c r="F78" s="25"/>
      <c r="G78" s="221" t="s">
        <v>279</v>
      </c>
      <c r="H78" s="8"/>
      <c r="I78" s="9">
        <v>0.1</v>
      </c>
      <c r="J78" s="9"/>
      <c r="K78" s="24">
        <f>ROUND(K77*I78,2)</f>
        <v>0</v>
      </c>
      <c r="M78" s="221" t="s">
        <v>279</v>
      </c>
      <c r="N78" s="8"/>
      <c r="O78" s="9">
        <v>0.1</v>
      </c>
      <c r="P78" s="9"/>
      <c r="Q78" s="24">
        <f>ROUND(Q77*O78,2)</f>
        <v>0</v>
      </c>
      <c r="T78" s="243"/>
      <c r="U78" s="23"/>
      <c r="V78" s="40"/>
      <c r="W78" s="40"/>
      <c r="X78" s="496"/>
    </row>
    <row r="79" spans="1:24" ht="13.2" customHeight="1" outlineLevel="2" x14ac:dyDescent="0.3">
      <c r="A79" s="8" t="s">
        <v>64</v>
      </c>
      <c r="B79" s="8" t="s">
        <v>293</v>
      </c>
      <c r="C79" s="97">
        <f>IF(A71=Bron!$B$11,'Overzicht BTA'!$C$17,IF(A71=Bron!$B$12,'Overzicht BTA'!C85,0))</f>
        <v>0</v>
      </c>
      <c r="D79" s="97"/>
      <c r="E79" s="949">
        <f>ROUND(E77*C79,2)</f>
        <v>0</v>
      </c>
      <c r="F79" s="25"/>
      <c r="G79" s="8" t="s">
        <v>64</v>
      </c>
      <c r="H79" s="8" t="s">
        <v>293</v>
      </c>
      <c r="I79" s="97">
        <f>IF(G71=Bron!$B$11,'Overzicht BTA'!I86/100,IF(G71=Bron!$B$12,'Overzicht BTA'!I85,0))</f>
        <v>0</v>
      </c>
      <c r="J79" s="9"/>
      <c r="K79" s="24">
        <f>ROUND(K77*I79,2)</f>
        <v>0</v>
      </c>
      <c r="M79" s="8" t="s">
        <v>64</v>
      </c>
      <c r="N79" s="8" t="s">
        <v>293</v>
      </c>
      <c r="O79" s="97">
        <f>IF(M71=Bron!$B$11,'Overzicht BTA'!O86/100,IF(M71=Bron!$B$12,'Overzicht BTA'!O85,0))</f>
        <v>0</v>
      </c>
      <c r="P79" s="9"/>
      <c r="Q79" s="24">
        <f>ROUND(Q77*O79,2)</f>
        <v>0</v>
      </c>
      <c r="T79" s="23"/>
      <c r="U79" s="23"/>
      <c r="V79" s="850"/>
      <c r="W79" s="40"/>
      <c r="X79" s="496"/>
    </row>
    <row r="80" spans="1:24" ht="14.4" outlineLevel="2" thickBot="1" x14ac:dyDescent="0.35">
      <c r="A80" s="8" t="s">
        <v>64</v>
      </c>
      <c r="B80" s="50" t="s">
        <v>281</v>
      </c>
      <c r="C80" s="97">
        <v>0.21</v>
      </c>
      <c r="D80" s="950"/>
      <c r="E80" s="951">
        <f>ROUND(E78*C80,2)</f>
        <v>0</v>
      </c>
      <c r="F80" s="25"/>
      <c r="G80" s="8" t="s">
        <v>64</v>
      </c>
      <c r="H80" s="50" t="s">
        <v>281</v>
      </c>
      <c r="I80" s="9">
        <v>0.21</v>
      </c>
      <c r="J80" s="26"/>
      <c r="K80" s="27">
        <f>ROUND(K78*I80,2)</f>
        <v>0</v>
      </c>
      <c r="M80" s="8" t="s">
        <v>64</v>
      </c>
      <c r="N80" s="50" t="s">
        <v>281</v>
      </c>
      <c r="O80" s="9">
        <v>0.21</v>
      </c>
      <c r="P80" s="26"/>
      <c r="Q80" s="27">
        <f>ROUND(Q78*O80,2)</f>
        <v>0</v>
      </c>
      <c r="T80" s="23"/>
      <c r="V80" s="40"/>
      <c r="W80" s="40"/>
      <c r="X80" s="496"/>
    </row>
    <row r="81" spans="1:24" ht="14.4" outlineLevel="2" thickTop="1" x14ac:dyDescent="0.3">
      <c r="A81" s="28" t="s">
        <v>282</v>
      </c>
      <c r="B81" s="29"/>
      <c r="C81" s="952"/>
      <c r="D81" s="953"/>
      <c r="E81" s="954">
        <f>SUM(E77:E80)</f>
        <v>0</v>
      </c>
      <c r="F81" s="25"/>
      <c r="G81" s="28" t="s">
        <v>282</v>
      </c>
      <c r="H81" s="29"/>
      <c r="I81" s="30"/>
      <c r="J81" s="31"/>
      <c r="K81" s="80">
        <f>SUM(K77:K80)</f>
        <v>0</v>
      </c>
      <c r="M81" s="28" t="s">
        <v>282</v>
      </c>
      <c r="N81" s="29"/>
      <c r="O81" s="30"/>
      <c r="P81" s="31"/>
      <c r="Q81" s="80">
        <f>SUM(Q77:Q80)</f>
        <v>0</v>
      </c>
      <c r="T81" s="23"/>
      <c r="U81" s="23"/>
      <c r="V81" s="23"/>
      <c r="W81" s="23"/>
      <c r="X81" s="496"/>
    </row>
    <row r="82" spans="1:24" ht="14.4" outlineLevel="2" x14ac:dyDescent="0.3">
      <c r="C82" s="39"/>
      <c r="E82"/>
      <c r="I82" s="39"/>
      <c r="K82"/>
      <c r="O82" s="39"/>
      <c r="Q82"/>
    </row>
    <row r="83" spans="1:24" outlineLevel="1" x14ac:dyDescent="0.3">
      <c r="A83" s="22" t="s">
        <v>309</v>
      </c>
      <c r="B83" s="22"/>
      <c r="C83" s="35"/>
      <c r="D83" s="22"/>
      <c r="E83" s="498">
        <f>E60+E70+E81</f>
        <v>0</v>
      </c>
      <c r="G83" s="22" t="s">
        <v>309</v>
      </c>
      <c r="H83" s="22"/>
      <c r="I83" s="35"/>
      <c r="J83" s="22"/>
      <c r="K83" s="498">
        <f>K60+K70+K81</f>
        <v>0</v>
      </c>
      <c r="M83" s="22" t="s">
        <v>309</v>
      </c>
      <c r="N83" s="22"/>
      <c r="O83" s="35"/>
      <c r="P83" s="22"/>
      <c r="Q83" s="498">
        <f>Q60+Q70+Q81</f>
        <v>0</v>
      </c>
      <c r="V83" s="39"/>
      <c r="X83" s="852"/>
    </row>
    <row r="84" spans="1:24" ht="15" outlineLevel="1" thickBot="1" x14ac:dyDescent="0.35">
      <c r="C84" s="39"/>
      <c r="E84"/>
      <c r="I84" s="39"/>
      <c r="K84"/>
      <c r="O84" s="39"/>
      <c r="Q84"/>
    </row>
    <row r="85" spans="1:24" ht="14.4" outlineLevel="1" thickBot="1" x14ac:dyDescent="0.35">
      <c r="A85" s="1224" t="s">
        <v>310</v>
      </c>
      <c r="B85" s="1225"/>
      <c r="C85" s="127">
        <f>E56+E66+E77</f>
        <v>0</v>
      </c>
      <c r="D85" s="131" t="s">
        <v>289</v>
      </c>
      <c r="E85" s="492">
        <f>ROUND(C85*10/6,2)</f>
        <v>0</v>
      </c>
      <c r="G85" s="1224" t="s">
        <v>310</v>
      </c>
      <c r="H85" s="1225"/>
      <c r="I85" s="127">
        <f>K56+K66+K77</f>
        <v>0</v>
      </c>
      <c r="J85" s="131" t="s">
        <v>289</v>
      </c>
      <c r="K85" s="492">
        <f>ROUND(I85*10/6,2)</f>
        <v>0</v>
      </c>
      <c r="M85" s="1224" t="s">
        <v>310</v>
      </c>
      <c r="N85" s="1225"/>
      <c r="O85" s="127">
        <f>Q56+Q66+Q77</f>
        <v>0</v>
      </c>
      <c r="P85" s="131" t="s">
        <v>289</v>
      </c>
      <c r="Q85" s="492">
        <f>ROUND(O85*10/6,2)</f>
        <v>0</v>
      </c>
    </row>
    <row r="86" spans="1:24" outlineLevel="1" x14ac:dyDescent="0.3">
      <c r="C86" s="39"/>
      <c r="I86" s="39"/>
      <c r="O86" s="39"/>
    </row>
    <row r="87" spans="1:24" ht="14.4" outlineLevel="1" x14ac:dyDescent="0.3">
      <c r="A87" s="237" t="s">
        <v>290</v>
      </c>
      <c r="B87" s="8"/>
      <c r="C87" s="8"/>
      <c r="G87" s="237" t="s">
        <v>290</v>
      </c>
      <c r="H87" s="8"/>
      <c r="I87" s="8"/>
      <c r="J87"/>
      <c r="K87"/>
      <c r="L87"/>
      <c r="M87" s="237" t="s">
        <v>290</v>
      </c>
      <c r="N87" s="8"/>
      <c r="O87" s="8"/>
    </row>
    <row r="88" spans="1:24" ht="14.4" outlineLevel="1" x14ac:dyDescent="0.3">
      <c r="A88" s="8" t="s">
        <v>123</v>
      </c>
      <c r="B88" s="10">
        <f>IFERROR(IF(A$2=Bron!$B$11,IF(MATCH(Bron!$B$11,'uitgebreide raming_gewijzigd'!$B$2:$I$2,0)=1,'uitgebreide raming_gewijzigd'!$B6,IF(MATCH(Bron!$B$11,'uitgebreide raming_gewijzigd'!$B$2:$I$2,0)=3,'uitgebreide raming_gewijzigd'!$D6,IF(MATCH(Bron!$B$11,'uitgebreide raming_gewijzigd'!$B$2:$I$2,0)=5,'uitgebreide raming_gewijzigd'!$F6,IF(MATCH(Bron!$B$11,'uitgebreide raming_gewijzigd'!$B$2:$I$2,0)=7,'uitgebreide raming_gewijzigd'!$H6,0)))),IF(MATCH(Bron!$B$12,'uitgebreide raming_gewijzigd'!$B$2:$I$2,0)=1,'uitgebreide raming_gewijzigd'!$B6,IF(MATCH(Bron!$B$12,'uitgebreide raming_gewijzigd'!$B$2:$I$2,0)=3,'uitgebreide raming_gewijzigd'!$D6,IF(MATCH(Bron!$B$12,'uitgebreide raming_gewijzigd'!$B$2:$I$2,0)=5,'uitgebreide raming_gewijzigd'!$F6,IF(MATCH(Bron!$B$12,'uitgebreide raming_gewijzigd'!$B$2:$I$2,0)=7,'uitgebreide raming_gewijzigd'!$H6,0))))),0)</f>
        <v>0</v>
      </c>
      <c r="C88" s="9" t="e">
        <f>B88/B93</f>
        <v>#DIV/0!</v>
      </c>
      <c r="G88" s="8" t="s">
        <v>123</v>
      </c>
      <c r="H88" s="10">
        <f>IFERROR(IF(G$2=Bron!$B$11,IF(MATCH(Bron!$B$11,'uitgebreide raming_gewijzigd'!$B$29:$I$29,0)=1,'uitgebreide raming_gewijzigd'!$B33,IF(MATCH(Bron!$B$11,'uitgebreide raming_gewijzigd'!$B$29:$I$29,0)=3,'uitgebreide raming_gewijzigd'!$D33,IF(MATCH(Bron!$B$11,'uitgebreide raming_gewijzigd'!$B$29:$I$29,0)=5,'uitgebreide raming_gewijzigd'!$F33,IF(MATCH(Bron!$B$11,'uitgebreide raming_gewijzigd'!$B$29:$I$29,0)=7,'uitgebreide raming_gewijzigd'!$H33,0)))),IF(MATCH(Bron!$B$12,'uitgebreide raming_gewijzigd'!$B$29:$I$29,0)=1,'uitgebreide raming_gewijzigd'!$B33,IF(MATCH(Bron!$B$12,'uitgebreide raming_gewijzigd'!$B$29:$I$29,0)=3,'uitgebreide raming_gewijzigd'!$D33,IF(MATCH(Bron!$B$12,'uitgebreide raming_gewijzigd'!$B$29:$I$29,0)=5,'uitgebreide raming_gewijzigd'!$F33,IF(MATCH(Bron!$B$12,'uitgebreide raming_gewijzigd'!$B$29:$I$29,0)=7,'uitgebreide raming_gewijzigd'!$H33,0))))),0)</f>
        <v>0</v>
      </c>
      <c r="I88" s="9" t="e">
        <f>H88/H93</f>
        <v>#DIV/0!</v>
      </c>
      <c r="J88"/>
      <c r="K88"/>
      <c r="L88"/>
      <c r="M88" s="8" t="s">
        <v>123</v>
      </c>
      <c r="N88" s="10">
        <f>IFERROR(IF(M$2=Bron!$B$11,IF(MATCH(Bron!$B$11,'uitgebreide raming_gewijzigd'!$B$56:$I$56,0)=1,'uitgebreide raming'!$B60,IF(MATCH(Bron!$B$11,'uitgebreide raming_gewijzigd'!$B$56:$I$56,0)=3,'uitgebreide raming_gewijzigd'!$D60,IF(MATCH(Bron!$B$11,'uitgebreide raming_gewijzigd'!$B$56:$I$56,0)=5,'uitgebreide raming_gewijzigd'!$F60,IF(MATCH(Bron!$B$11,'uitgebreide raming_gewijzigd'!$B$56:$I$56,0)=7,'uitgebreide raming_gewijzigd'!$H60,0)))),IF(MATCH(Bron!$B$12,'uitgebreide raming_gewijzigd'!$B$56:$I$56,0)=1,'uitgebreide raming_gewijzigd'!$B60,IF(MATCH(Bron!$B$12,'uitgebreide raming_gewijzigd'!$B$56:$I$56,0)=3,'uitgebreide raming_gewijzigd'!$D60,IF(MATCH(Bron!$B$12,'uitgebreide raming_gewijzigd'!$B$56:$I$56,0)=5,'uitgebreide raming_gewijzigd'!$F60,IF(MATCH(Bron!$B$12,'uitgebreide raming_gewijzigd'!$B$56:$I$56,0)=7,'uitgebreide raming_gewijzigd'!$H60,0))))),0)</f>
        <v>0</v>
      </c>
      <c r="O88" s="9" t="e">
        <f>N88/N93</f>
        <v>#DIV/0!</v>
      </c>
    </row>
    <row r="89" spans="1:24" ht="14.4" outlineLevel="1" x14ac:dyDescent="0.3">
      <c r="A89" s="8" t="s">
        <v>124</v>
      </c>
      <c r="B89" s="10">
        <f>IFERROR(IF(A$2=Bron!$B$11,IF(MATCH(Bron!$B$11,'uitgebreide raming_gewijzigd'!$B$2:$I$2,0)=1,'uitgebreide raming_gewijzigd'!$B7,IF(MATCH(Bron!$B$11,'uitgebreide raming_gewijzigd'!$B$2:$I$2,0)=3,'uitgebreide raming_gewijzigd'!$D7,IF(MATCH(Bron!$B$11,'uitgebreide raming_gewijzigd'!$B$2:$I$2,0)=5,'uitgebreide raming_gewijzigd'!$F7,IF(MATCH(Bron!$B$11,'uitgebreide raming_gewijzigd'!$B$2:$I$2,0)=7,'uitgebreide raming_gewijzigd'!$H7,0)))),IF(MATCH(Bron!$B$12,'uitgebreide raming_gewijzigd'!$B$2:$I$2,0)=1,'uitgebreide raming_gewijzigd'!$B7,IF(MATCH(Bron!$B$12,'uitgebreide raming_gewijzigd'!$B$2:$I$2,0)=3,'uitgebreide raming_gewijzigd'!$D7,IF(MATCH(Bron!$B$12,'uitgebreide raming_gewijzigd'!$B$2:$I$2,0)=5,'uitgebreide raming_gewijzigd'!$F7,IF(MATCH(Bron!$B$12,'uitgebreide raming_gewijzigd'!$B$2:$I$2,0)=7,'uitgebreide raming_gewijzigd'!$H7,0))))),0)</f>
        <v>0</v>
      </c>
      <c r="C89" s="9" t="e">
        <f>B89/B93</f>
        <v>#DIV/0!</v>
      </c>
      <c r="G89" s="8" t="s">
        <v>124</v>
      </c>
      <c r="H89" s="10">
        <f>IFERROR(IF(G$2=Bron!$B$11,IF(MATCH(Bron!$B$11,'uitgebreide raming_gewijzigd'!$B$29:$I$29,0)=1,'uitgebreide raming_gewijzigd'!$B34,IF(MATCH(Bron!$B$11,'uitgebreide raming_gewijzigd'!$B$29:$I$29,0)=3,'uitgebreide raming_gewijzigd'!$D34,IF(MATCH(Bron!$B$11,'uitgebreide raming_gewijzigd'!$B$29:$I$29,0)=5,'uitgebreide raming_gewijzigd'!$F34,IF(MATCH(Bron!$B$11,'uitgebreide raming_gewijzigd'!$B$29:$I$29,0)=7,'uitgebreide raming_gewijzigd'!$H34,0)))),IF(MATCH(Bron!$B$12,'uitgebreide raming_gewijzigd'!$B$29:$I$29,0)=1,'uitgebreide raming_gewijzigd'!$B34,IF(MATCH(Bron!$B$12,'uitgebreide raming_gewijzigd'!$B$29:$I$29,0)=3,'uitgebreide raming_gewijzigd'!$D34,IF(MATCH(Bron!$B$12,'uitgebreide raming_gewijzigd'!$B$29:$I$29,0)=5,'uitgebreide raming_gewijzigd'!$F34,IF(MATCH(Bron!$B$12,'uitgebreide raming_gewijzigd'!$B$29:$I$29,0)=7,'uitgebreide raming_gewijzigd'!$H34,0))))),0)</f>
        <v>0</v>
      </c>
      <c r="I89" s="9" t="e">
        <f>H89/H93</f>
        <v>#DIV/0!</v>
      </c>
      <c r="J89"/>
      <c r="K89"/>
      <c r="L89"/>
      <c r="M89" s="8" t="s">
        <v>124</v>
      </c>
      <c r="N89" s="10">
        <f>IFERROR(IF(M$2=Bron!$B$11,IF(MATCH(Bron!$B$11,'uitgebreide raming_gewijzigd'!$B$56:$I$56,0)=1,'uitgebreide raming'!$B61,IF(MATCH(Bron!$B$11,'uitgebreide raming_gewijzigd'!$B$56:$I$56,0)=3,'uitgebreide raming_gewijzigd'!$D61,IF(MATCH(Bron!$B$11,'uitgebreide raming_gewijzigd'!$B$56:$I$56,0)=5,'uitgebreide raming_gewijzigd'!$F61,IF(MATCH(Bron!$B$11,'uitgebreide raming_gewijzigd'!$B$56:$I$56,0)=7,'uitgebreide raming_gewijzigd'!$H61,0)))),IF(MATCH(Bron!$B$12,'uitgebreide raming_gewijzigd'!$B$56:$I$56,0)=1,'uitgebreide raming_gewijzigd'!$B61,IF(MATCH(Bron!$B$12,'uitgebreide raming_gewijzigd'!$B$56:$I$56,0)=3,'uitgebreide raming_gewijzigd'!$D61,IF(MATCH(Bron!$B$12,'uitgebreide raming_gewijzigd'!$B$56:$I$56,0)=5,'uitgebreide raming_gewijzigd'!$F61,IF(MATCH(Bron!$B$12,'uitgebreide raming_gewijzigd'!$B$56:$I$56,0)=7,'uitgebreide raming_gewijzigd'!$H61,0))))),0)</f>
        <v>0</v>
      </c>
      <c r="O89" s="9" t="e">
        <f>N89/N93</f>
        <v>#DIV/0!</v>
      </c>
    </row>
    <row r="90" spans="1:24" ht="14.4" outlineLevel="1" x14ac:dyDescent="0.3">
      <c r="A90" s="8" t="s">
        <v>125</v>
      </c>
      <c r="B90" s="10">
        <f>IFERROR(IF(A$2=Bron!$B$11,IF(MATCH(Bron!$B$11,'uitgebreide raming_gewijzigd'!$B$2:$I$2,0)=1,'uitgebreide raming_gewijzigd'!$B8,IF(MATCH(Bron!$B$11,'uitgebreide raming_gewijzigd'!$B$2:$I$2,0)=3,'uitgebreide raming_gewijzigd'!$D8,IF(MATCH(Bron!$B$11,'uitgebreide raming_gewijzigd'!$B$2:$I$2,0)=5,'uitgebreide raming_gewijzigd'!$F8,IF(MATCH(Bron!$B$11,'uitgebreide raming_gewijzigd'!$B$2:$I$2,0)=7,'uitgebreide raming_gewijzigd'!$H8,0)))),IF(MATCH(Bron!$B$12,'uitgebreide raming_gewijzigd'!$B$2:$I$2,0)=1,'uitgebreide raming_gewijzigd'!$B8,IF(MATCH(Bron!$B$12,'uitgebreide raming_gewijzigd'!$B$2:$I$2,0)=3,'uitgebreide raming_gewijzigd'!$D8,IF(MATCH(Bron!$B$12,'uitgebreide raming_gewijzigd'!$B$2:$I$2,0)=5,'uitgebreide raming_gewijzigd'!$F8,IF(MATCH(Bron!$B$12,'uitgebreide raming_gewijzigd'!$B$2:$I$2,0)=7,'uitgebreide raming_gewijzigd'!$H8,0))))),0)</f>
        <v>0</v>
      </c>
      <c r="C90" s="9" t="e">
        <f>B90/B93</f>
        <v>#DIV/0!</v>
      </c>
      <c r="E90" s="18" t="s">
        <v>69</v>
      </c>
      <c r="G90" s="8" t="s">
        <v>125</v>
      </c>
      <c r="H90" s="10">
        <f>IFERROR(IF(G$2=Bron!$B$11,IF(MATCH(Bron!$B$11,'uitgebreide raming_gewijzigd'!$B$29:$I$29,0)=1,'uitgebreide raming_gewijzigd'!$B35,IF(MATCH(Bron!$B$11,'uitgebreide raming_gewijzigd'!$B$29:$I$29,0)=3,'uitgebreide raming_gewijzigd'!$D35,IF(MATCH(Bron!$B$11,'uitgebreide raming_gewijzigd'!$B$29:$I$29,0)=5,'uitgebreide raming_gewijzigd'!$F35,IF(MATCH(Bron!$B$11,'uitgebreide raming_gewijzigd'!$B$29:$I$29,0)=7,'uitgebreide raming_gewijzigd'!$H35,0)))),IF(MATCH(Bron!$B$12,'uitgebreide raming_gewijzigd'!$B$29:$I$29,0)=1,'uitgebreide raming_gewijzigd'!$B35,IF(MATCH(Bron!$B$12,'uitgebreide raming_gewijzigd'!$B$29:$I$29,0)=3,'uitgebreide raming_gewijzigd'!$D35,IF(MATCH(Bron!$B$12,'uitgebreide raming_gewijzigd'!$B$29:$I$29,0)=5,'uitgebreide raming_gewijzigd'!$F35,IF(MATCH(Bron!$B$12,'uitgebreide raming_gewijzigd'!$B$29:$I$29,0)=7,'uitgebreide raming_gewijzigd'!$H35,0))))),0)</f>
        <v>0</v>
      </c>
      <c r="I90" s="9" t="e">
        <f>H90/H93</f>
        <v>#DIV/0!</v>
      </c>
      <c r="J90"/>
      <c r="K90"/>
      <c r="L90"/>
      <c r="M90" s="8" t="s">
        <v>125</v>
      </c>
      <c r="N90" s="10">
        <f>IFERROR(IF(M$2=Bron!$B$11,IF(MATCH(Bron!$B$11,'uitgebreide raming_gewijzigd'!$B$56:$I$56,0)=1,'uitgebreide raming'!$B62,IF(MATCH(Bron!$B$11,'uitgebreide raming_gewijzigd'!$B$56:$I$56,0)=3,'uitgebreide raming_gewijzigd'!$D62,IF(MATCH(Bron!$B$11,'uitgebreide raming_gewijzigd'!$B$56:$I$56,0)=5,'uitgebreide raming_gewijzigd'!$F62,IF(MATCH(Bron!$B$11,'uitgebreide raming_gewijzigd'!$B$56:$I$56,0)=7,'uitgebreide raming_gewijzigd'!$H62,0)))),IF(MATCH(Bron!$B$12,'uitgebreide raming_gewijzigd'!$B$56:$I$56,0)=1,'uitgebreide raming_gewijzigd'!$B62,IF(MATCH(Bron!$B$12,'uitgebreide raming_gewijzigd'!$B$56:$I$56,0)=3,'uitgebreide raming_gewijzigd'!$D62,IF(MATCH(Bron!$B$12,'uitgebreide raming_gewijzigd'!$B$56:$I$56,0)=5,'uitgebreide raming_gewijzigd'!$F62,IF(MATCH(Bron!$B$12,'uitgebreide raming_gewijzigd'!$B$56:$I$56,0)=7,'uitgebreide raming_gewijzigd'!$H62,0))))),0)</f>
        <v>0</v>
      </c>
      <c r="O90" s="9" t="e">
        <f>N90/N93</f>
        <v>#DIV/0!</v>
      </c>
      <c r="Q90" s="18" t="s">
        <v>69</v>
      </c>
    </row>
    <row r="91" spans="1:24" ht="14.4" outlineLevel="1" x14ac:dyDescent="0.3">
      <c r="A91" s="8" t="s">
        <v>126</v>
      </c>
      <c r="B91" s="10">
        <f>SUM(B88:B90)</f>
        <v>0</v>
      </c>
      <c r="C91" s="9" t="e">
        <f>B91/B93</f>
        <v>#DIV/0!</v>
      </c>
      <c r="G91" s="8" t="s">
        <v>126</v>
      </c>
      <c r="H91" s="10">
        <f>SUM(H88:H90)</f>
        <v>0</v>
      </c>
      <c r="I91" s="9" t="e">
        <f>H91/H93</f>
        <v>#DIV/0!</v>
      </c>
      <c r="J91"/>
      <c r="K91"/>
      <c r="L91"/>
      <c r="M91" s="8" t="s">
        <v>126</v>
      </c>
      <c r="N91" s="10">
        <f>N90+N89+N88</f>
        <v>0</v>
      </c>
      <c r="O91" s="9" t="e">
        <f>N91/N93</f>
        <v>#DIV/0!</v>
      </c>
    </row>
    <row r="92" spans="1:24" ht="27.6" outlineLevel="1" x14ac:dyDescent="0.3">
      <c r="A92" s="8" t="s">
        <v>127</v>
      </c>
      <c r="B92" s="10">
        <f>IFERROR(IF(A$2=Bron!$B$11,IF(MATCH(Bron!$B$11,'uitgebreide raming_gewijzigd'!$B$2:$I$2,0)=1,'uitgebreide raming_gewijzigd'!$B10,IF(MATCH(Bron!$B$11,'uitgebreide raming_gewijzigd'!$B$2:$I$2,0)=3,'uitgebreide raming_gewijzigd'!$D10,IF(MATCH(Bron!$B$11,'uitgebreide raming_gewijzigd'!$B$2:$I$2,0)=5,'uitgebreide raming_gewijzigd'!$F10,IF(MATCH(Bron!$B$11,'uitgebreide raming_gewijzigd'!$B$2:$I$2,0)=7,'uitgebreide raming_gewijzigd'!$H10,0)))),IF(MATCH(Bron!$B$12,'uitgebreide raming_gewijzigd'!$B$2:$I$2,0)=1,'uitgebreide raming_gewijzigd'!$B10,IF(MATCH(Bron!$B$12,'uitgebreide raming_gewijzigd'!$B$2:$I$2,0)=3,'uitgebreide raming_gewijzigd'!$D10,IF(MATCH(Bron!$B$12,'uitgebreide raming_gewijzigd'!$B$2:$I$2,0)=5,'uitgebreide raming_gewijzigd'!$F10,IF(MATCH(Bron!$B$12,'uitgebreide raming_gewijzigd'!$B$2:$I$2,0)=7,'uitgebreide raming_gewijzigd'!$H10,0))))),0)</f>
        <v>0</v>
      </c>
      <c r="C92" s="9" t="e">
        <f>B92/B93</f>
        <v>#DIV/0!</v>
      </c>
      <c r="G92" s="8" t="s">
        <v>127</v>
      </c>
      <c r="H92" s="10">
        <f>IFERROR(IF(G$2=Bron!$B$11,IF(MATCH(Bron!$B$11,'uitgebreide raming_gewijzigd'!$B$29:$I$29,0)=1,'uitgebreide raming_gewijzigd'!$B37,IF(MATCH(Bron!$B$11,'uitgebreide raming_gewijzigd'!$B$29:$I$29,0)=3,'uitgebreide raming_gewijzigd'!$D37,IF(MATCH(Bron!$B$11,'uitgebreide raming_gewijzigd'!$B$29:$I$29,0)=5,'uitgebreide raming_gewijzigd'!$F37,IF(MATCH(Bron!$B$11,'uitgebreide raming_gewijzigd'!$B$29:$I$29,0)=7,'uitgebreide raming_gewijzigd'!$H37,0)))),IF(MATCH(Bron!$B$12,'uitgebreide raming_gewijzigd'!$B$29:$I$29,0)=1,'uitgebreide raming_gewijzigd'!$B37,IF(MATCH(Bron!$B$12,'uitgebreide raming_gewijzigd'!$B$29:$I$29,0)=3,'uitgebreide raming_gewijzigd'!$D37,IF(MATCH(Bron!$B$12,'uitgebreide raming_gewijzigd'!$B$29:$I$29,0)=5,'uitgebreide raming_gewijzigd'!$F37,IF(MATCH(Bron!$B$12,'uitgebreide raming_gewijzigd'!$B$29:$I$29,0)=7,'uitgebreide raming_gewijzigd'!$H37,0))))),0)</f>
        <v>0</v>
      </c>
      <c r="I92" s="9" t="e">
        <f>H92/H93</f>
        <v>#DIV/0!</v>
      </c>
      <c r="J92"/>
      <c r="K92"/>
      <c r="L92"/>
      <c r="M92" s="8" t="s">
        <v>127</v>
      </c>
      <c r="N92" s="10">
        <f>IFERROR(IF(M$2=Bron!$B$11,IF(MATCH(Bron!$B$11,'uitgebreide raming_gewijzigd'!$B$56:$I$56,0)=1,'uitgebreide raming'!$B64,IF(MATCH(Bron!$B$11,'uitgebreide raming_gewijzigd'!$B$56:$I$56,0)=3,'uitgebreide raming_gewijzigd'!$D64,IF(MATCH(Bron!$B$11,'uitgebreide raming_gewijzigd'!$B$56:$I$56,0)=5,'uitgebreide raming_gewijzigd'!$F64,IF(MATCH(Bron!$B$11,'uitgebreide raming_gewijzigd'!$B$56:$I$56,0)=7,'uitgebreide raming_gewijzigd'!$H64,0)))),IF(MATCH(Bron!$B$12,'uitgebreide raming_gewijzigd'!$B$56:$I$56,0)=1,'uitgebreide raming_gewijzigd'!$B64,IF(MATCH(Bron!$B$12,'uitgebreide raming_gewijzigd'!$B$56:$I$56,0)=3,'uitgebreide raming_gewijzigd'!$D64,IF(MATCH(Bron!$B$12,'uitgebreide raming_gewijzigd'!$B$56:$I$56,0)=5,'uitgebreide raming_gewijzigd'!$F64,IF(MATCH(Bron!$B$12,'uitgebreide raming_gewijzigd'!$B$56:$I$56,0)=7,'uitgebreide raming_gewijzigd'!$H64,0))))),0)</f>
        <v>0</v>
      </c>
      <c r="O92" s="9" t="e">
        <f>N92/N93</f>
        <v>#DIV/0!</v>
      </c>
    </row>
    <row r="93" spans="1:24" ht="14.4" outlineLevel="1" x14ac:dyDescent="0.3">
      <c r="A93" s="8" t="s">
        <v>110</v>
      </c>
      <c r="B93" s="10">
        <f>B92+B91</f>
        <v>0</v>
      </c>
      <c r="C93" s="9" t="e">
        <f>B93/B93</f>
        <v>#DIV/0!</v>
      </c>
      <c r="G93" s="8" t="s">
        <v>110</v>
      </c>
      <c r="H93" s="10">
        <f>H92+H91</f>
        <v>0</v>
      </c>
      <c r="I93" s="9" t="e">
        <f>H93/H93</f>
        <v>#DIV/0!</v>
      </c>
      <c r="J93"/>
      <c r="K93"/>
      <c r="L93"/>
      <c r="M93" s="8" t="s">
        <v>110</v>
      </c>
      <c r="N93" s="10">
        <f>N91+N92</f>
        <v>0</v>
      </c>
      <c r="O93" s="9" t="e">
        <f>N93/N93</f>
        <v>#DIV/0!</v>
      </c>
    </row>
    <row r="94" spans="1:24" ht="14.4" outlineLevel="1" x14ac:dyDescent="0.3">
      <c r="A94" s="23" t="s">
        <v>313</v>
      </c>
      <c r="B94" s="53">
        <f>IFERROR(IF(A$2=Bron!$B$11,IF(MATCH(Bron!$B$11,'uitgebreide raming_gewijzigd'!$B$2:$I$2,0)=1,'uitgebreide raming_gewijzigd'!$B12,IF(MATCH(Bron!$B$11,'uitgebreide raming_gewijzigd'!$B$2:$I$2,0)=3,'uitgebreide raming_gewijzigd'!$D12,IF(MATCH(Bron!$B$11,'uitgebreide raming_gewijzigd'!$B$2:$I$2,0)=5,'uitgebreide raming_gewijzigd'!$F12,IF(MATCH(Bron!$B$11,'uitgebreide raming_gewijzigd'!$B$2:$I$2,0)=7,'uitgebreide raming_gewijzigd'!$H12,0)))),IF(MATCH(Bron!$B$12,'uitgebreide raming_gewijzigd'!$B$2:$I$2,0)=1,'uitgebreide raming_gewijzigd'!$B12,IF(MATCH(Bron!$B$12,'uitgebreide raming_gewijzigd'!$B$2:$I$2,0)=3,'uitgebreide raming_gewijzigd'!$D12,IF(MATCH(Bron!$B$12,'uitgebreide raming_gewijzigd'!$B$2:$I$2,0)=5,'uitgebreide raming_gewijzigd'!$F12,IF(MATCH(Bron!$B$12,'uitgebreide raming_gewijzigd'!$B$2:$I$2,0)=7,'uitgebreide raming_gewijzigd'!$H12,0))))),0)</f>
        <v>0</v>
      </c>
      <c r="C94" s="40"/>
      <c r="G94" s="23" t="s">
        <v>313</v>
      </c>
      <c r="H94" s="10">
        <f>IFERROR(IF(G$2=Bron!$B$11,IF(MATCH(Bron!$B$11,'uitgebreide raming_gewijzigd'!$B$29:$I$29,0)=1,'uitgebreide raming_gewijzigd'!$B39,IF(MATCH(Bron!$B$11,'uitgebreide raming_gewijzigd'!$B$29:$I$29,0)=3,'uitgebreide raming_gewijzigd'!$D39,IF(MATCH(Bron!$B$11,'uitgebreide raming_gewijzigd'!$B$29:$I$29,0)=5,'uitgebreide raming_gewijzigd'!$F39,IF(MATCH(Bron!$B$11,'uitgebreide raming_gewijzigd'!$B$29:$I$29,0)=7,'uitgebreide raming_gewijzigd'!$H39,0)))),IF(MATCH(Bron!$B$12,'uitgebreide raming_gewijzigd'!$B$29:$I$29,0)=1,'uitgebreide raming_gewijzigd'!$B39,IF(MATCH(Bron!$B$12,'uitgebreide raming_gewijzigd'!$B$29:$I$29,0)=3,'uitgebreide raming_gewijzigd'!$D39,IF(MATCH(Bron!$B$12,'uitgebreide raming_gewijzigd'!$B$29:$I$29,0)=5,'uitgebreide raming_gewijzigd'!$F39,IF(MATCH(Bron!$B$12,'uitgebreide raming_gewijzigd'!$B$29:$I$29,0)=7,'uitgebreide raming_gewijzigd'!$H39,0))))),0)</f>
        <v>0</v>
      </c>
      <c r="I94" s="40"/>
      <c r="J94"/>
      <c r="K94"/>
      <c r="L94"/>
      <c r="M94" s="23" t="s">
        <v>313</v>
      </c>
      <c r="N94" s="10">
        <f>IFERROR(IF(M$2=Bron!$B$11,IF(MATCH(Bron!$B$11,'uitgebreide raming_gewijzigd'!$B$56:$I$56,0)=1,'uitgebreide raming'!$B66,IF(MATCH(Bron!$B$11,'uitgebreide raming_gewijzigd'!$B$56:$I$56,0)=3,'uitgebreide raming_gewijzigd'!$D66,IF(MATCH(Bron!$B$11,'uitgebreide raming_gewijzigd'!$B$56:$I$56,0)=5,'uitgebreide raming_gewijzigd'!$F66,IF(MATCH(Bron!$B$11,'uitgebreide raming_gewijzigd'!$B$56:$I$56,0)=7,'uitgebreide raming_gewijzigd'!$H66,0)))),IF(MATCH(Bron!$B$12,'uitgebreide raming_gewijzigd'!$B$56:$I$56,0)=1,'uitgebreide raming_gewijzigd'!$B66,IF(MATCH(Bron!$B$12,'uitgebreide raming_gewijzigd'!$B$56:$I$56,0)=3,'uitgebreide raming_gewijzigd'!$D66,IF(MATCH(Bron!$B$12,'uitgebreide raming_gewijzigd'!$B$56:$I$56,0)=5,'uitgebreide raming_gewijzigd'!$F66,IF(MATCH(Bron!$B$12,'uitgebreide raming_gewijzigd'!$B$56:$I$56,0)=7,'uitgebreide raming_gewijzigd'!$H66,0))))),0)</f>
        <v>0</v>
      </c>
      <c r="O94" s="40"/>
    </row>
    <row r="96" spans="1:24" ht="18" x14ac:dyDescent="0.3">
      <c r="A96" s="1223" t="s">
        <v>92</v>
      </c>
      <c r="B96" s="1223"/>
      <c r="C96" s="1223"/>
      <c r="D96" s="1223"/>
      <c r="E96" s="1223"/>
      <c r="F96" s="1223"/>
      <c r="G96" s="1223"/>
      <c r="H96" s="1223"/>
      <c r="I96" s="1223"/>
      <c r="J96" s="1223"/>
      <c r="K96" s="1223"/>
      <c r="L96" s="1223"/>
      <c r="M96" s="1223"/>
      <c r="N96" s="1223"/>
      <c r="O96" s="1223"/>
      <c r="P96" s="1223"/>
      <c r="Q96" s="1223"/>
      <c r="R96" s="51"/>
    </row>
    <row r="97" spans="1:17" outlineLevel="1" x14ac:dyDescent="0.3">
      <c r="A97" s="54" t="s">
        <v>23</v>
      </c>
      <c r="B97" s="54" t="str">
        <f>'Overzicht BTA'!$C$3</f>
        <v>Kies de zorgvorm</v>
      </c>
      <c r="C97" s="54"/>
      <c r="D97" s="54"/>
      <c r="E97" s="54"/>
      <c r="F97" s="54"/>
      <c r="G97" s="54" t="s">
        <v>23</v>
      </c>
      <c r="H97" s="54" t="str">
        <f>'Overzicht BTA'!$H$3</f>
        <v>Kies de zorgvorm</v>
      </c>
      <c r="I97" s="54"/>
      <c r="J97" s="54"/>
      <c r="K97" s="54"/>
      <c r="L97" s="54"/>
      <c r="M97" s="54" t="s">
        <v>23</v>
      </c>
      <c r="N97" s="54" t="str">
        <f>'Overzicht BTA'!$N$3</f>
        <v>Kies de zorgvorm</v>
      </c>
      <c r="O97" s="54"/>
      <c r="P97" s="54"/>
      <c r="Q97" s="54"/>
    </row>
    <row r="98" spans="1:17" outlineLevel="1" x14ac:dyDescent="0.3">
      <c r="A98" s="134" t="str">
        <f>IF(ISNUMBER(MATCH(Bron!$B$11,'Overzicht BTA'!B$7:B$10,0)),Bron!$B$11,IF(ISNUMBER(MATCH(Bron!$B$12,'Overzicht BTA'!B$7:B$10,0)),Bron!$B$12,"/"))</f>
        <v>/</v>
      </c>
      <c r="B98" s="135"/>
      <c r="C98" s="135"/>
      <c r="D98" s="135"/>
      <c r="E98" s="136"/>
      <c r="G98" s="134" t="str">
        <f>IF(ISNUMBER(MATCH(Bron!$B$11,'Overzicht BTA'!H$7:H$10,0)),Bron!$B$11,IF(ISNUMBER(MATCH(Bron!$B$12,'Overzicht BTA'!H$7:H$10,0)),Bron!$B$12,"/"))</f>
        <v>/</v>
      </c>
      <c r="H98" s="135"/>
      <c r="I98" s="135"/>
      <c r="J98" s="135"/>
      <c r="K98" s="136"/>
      <c r="M98" s="134" t="str">
        <f>IF(ISNUMBER(MATCH(Bron!$B$11,'Overzicht BTA'!$N$7:$N$9,0)),Bron!$B$11,IF(ISNUMBER(MATCH(Bron!$B$12,'Overzicht BTA'!N$7:N$10,0)),Bron!$B$12,"/"))</f>
        <v>/</v>
      </c>
      <c r="N98" s="135"/>
      <c r="O98" s="135"/>
      <c r="P98" s="135"/>
      <c r="Q98" s="136"/>
    </row>
    <row r="99" spans="1:17" outlineLevel="1" x14ac:dyDescent="0.3">
      <c r="A99" s="109" t="s">
        <v>311</v>
      </c>
      <c r="B99" s="110"/>
      <c r="C99" s="111"/>
      <c r="D99" s="111"/>
      <c r="E99" s="111"/>
      <c r="G99" s="109" t="s">
        <v>311</v>
      </c>
      <c r="H99" s="110"/>
      <c r="I99" s="111"/>
      <c r="J99" s="111"/>
      <c r="K99" s="111"/>
      <c r="M99" s="109" t="s">
        <v>311</v>
      </c>
      <c r="N99" s="110"/>
      <c r="O99" s="111"/>
      <c r="P99" s="111"/>
      <c r="Q99" s="111"/>
    </row>
    <row r="100" spans="1:17" outlineLevel="1" x14ac:dyDescent="0.3">
      <c r="A100" s="70" t="s">
        <v>304</v>
      </c>
      <c r="B100" s="32" t="s">
        <v>275</v>
      </c>
      <c r="C100" s="32" t="s">
        <v>276</v>
      </c>
      <c r="D100" s="33"/>
      <c r="E100" s="32" t="s">
        <v>277</v>
      </c>
      <c r="G100" s="70" t="s">
        <v>304</v>
      </c>
      <c r="H100" s="32" t="s">
        <v>275</v>
      </c>
      <c r="I100" s="32" t="s">
        <v>276</v>
      </c>
      <c r="J100" s="33"/>
      <c r="K100" s="32" t="s">
        <v>277</v>
      </c>
      <c r="M100" s="70" t="s">
        <v>304</v>
      </c>
      <c r="N100" s="32" t="s">
        <v>275</v>
      </c>
      <c r="O100" s="32" t="s">
        <v>276</v>
      </c>
      <c r="P100" s="33"/>
      <c r="Q100" s="32" t="s">
        <v>277</v>
      </c>
    </row>
    <row r="101" spans="1:17" outlineLevel="1" x14ac:dyDescent="0.3">
      <c r="A101" s="368">
        <f>A53</f>
        <v>0</v>
      </c>
      <c r="B101" s="71">
        <f>VLOOKUP(B97,'Capaciteiten &amp; forfaits'!$B$3:$H$76,6,FALSE)</f>
        <v>0</v>
      </c>
      <c r="C101" s="71">
        <f>'Overzicht BTA'!$D$38</f>
        <v>2.3958200000000001</v>
      </c>
      <c r="D101" s="72">
        <f>IF(A98=Bron!$B$11,0.75,1)</f>
        <v>1</v>
      </c>
      <c r="E101" s="73">
        <f>ROUND(A101*B101*C101*D101,2)</f>
        <v>0</v>
      </c>
      <c r="G101" s="368">
        <f>G53</f>
        <v>0</v>
      </c>
      <c r="H101" s="71">
        <f>VLOOKUP(H97,'Capaciteiten &amp; forfaits'!$B$3:$H$76,6,FALSE)</f>
        <v>0</v>
      </c>
      <c r="I101" s="71">
        <f>'Overzicht BTA'!$D$38</f>
        <v>2.3958200000000001</v>
      </c>
      <c r="J101" s="72">
        <f>IF(G98=Bron!$B$11,0.75,1)</f>
        <v>1</v>
      </c>
      <c r="K101" s="73">
        <f>ROUND(G101*H101*I101*J101,2)</f>
        <v>0</v>
      </c>
      <c r="M101" s="368">
        <f>M53</f>
        <v>0</v>
      </c>
      <c r="N101" s="71">
        <f>VLOOKUP(N97,'Capaciteiten &amp; forfaits'!$B$3:$H$76,6,FALSE)</f>
        <v>0</v>
      </c>
      <c r="O101" s="71">
        <f>'Overzicht BTA'!$D$38</f>
        <v>2.3958200000000001</v>
      </c>
      <c r="P101" s="72">
        <f>IF(M98=Bron!$B$11,0.75,1)</f>
        <v>1</v>
      </c>
      <c r="Q101" s="73">
        <f>ROUND(M101*N101*O101*P101,2)</f>
        <v>0</v>
      </c>
    </row>
    <row r="102" spans="1:17" outlineLevel="1" x14ac:dyDescent="0.3">
      <c r="A102" s="62" t="s">
        <v>312</v>
      </c>
      <c r="B102" s="63">
        <f>B91</f>
        <v>0</v>
      </c>
      <c r="C102" s="64">
        <v>0.6</v>
      </c>
      <c r="D102" s="62"/>
      <c r="E102" s="63">
        <f>ROUND(B102*C102,2)</f>
        <v>0</v>
      </c>
      <c r="F102" s="51">
        <f>E101*10/6</f>
        <v>0</v>
      </c>
      <c r="G102" s="62" t="s">
        <v>312</v>
      </c>
      <c r="H102" s="63">
        <f>H91</f>
        <v>0</v>
      </c>
      <c r="I102" s="64">
        <v>0.6</v>
      </c>
      <c r="J102" s="62"/>
      <c r="K102" s="63">
        <f>ROUND(H102*I102,2)</f>
        <v>0</v>
      </c>
      <c r="L102" s="51">
        <f>K101*10/6</f>
        <v>0</v>
      </c>
      <c r="M102" s="62" t="s">
        <v>312</v>
      </c>
      <c r="N102" s="63">
        <f>N91</f>
        <v>0</v>
      </c>
      <c r="O102" s="64">
        <v>0.6</v>
      </c>
      <c r="P102" s="62"/>
      <c r="Q102" s="63">
        <f>ROUND(N102*O102,2)</f>
        <v>0</v>
      </c>
    </row>
    <row r="103" spans="1:17" outlineLevel="1" x14ac:dyDescent="0.3">
      <c r="A103" s="535" t="s">
        <v>313</v>
      </c>
      <c r="B103" s="63">
        <f>B94</f>
        <v>0</v>
      </c>
      <c r="C103" s="536">
        <v>0.6</v>
      </c>
      <c r="D103" s="67"/>
      <c r="E103" s="68">
        <f>ROUND(B103*C103,2)</f>
        <v>0</v>
      </c>
      <c r="F103" s="51"/>
      <c r="G103" s="535" t="s">
        <v>313</v>
      </c>
      <c r="H103" s="63">
        <f>H94</f>
        <v>0</v>
      </c>
      <c r="I103" s="536">
        <v>0.6</v>
      </c>
      <c r="J103" s="67"/>
      <c r="K103" s="68">
        <f>ROUND(H103*I103,2)</f>
        <v>0</v>
      </c>
      <c r="L103" s="51"/>
      <c r="M103" s="535" t="s">
        <v>313</v>
      </c>
      <c r="N103" s="63">
        <f>N94</f>
        <v>0</v>
      </c>
      <c r="O103" s="536">
        <v>0.6</v>
      </c>
      <c r="P103" s="67"/>
      <c r="Q103" s="68">
        <f>ROUND(N103*O103,2)</f>
        <v>0</v>
      </c>
    </row>
    <row r="104" spans="1:17" outlineLevel="1" x14ac:dyDescent="0.3">
      <c r="A104" s="1238" t="s">
        <v>287</v>
      </c>
      <c r="B104" s="1239"/>
      <c r="C104" s="9"/>
      <c r="D104" s="132" t="s">
        <v>19</v>
      </c>
      <c r="E104" s="24">
        <f>MIN(E101,E102+E103)</f>
        <v>0</v>
      </c>
      <c r="F104" s="23"/>
      <c r="G104" s="1238" t="s">
        <v>287</v>
      </c>
      <c r="H104" s="1239"/>
      <c r="I104" s="9"/>
      <c r="J104" s="132" t="s">
        <v>19</v>
      </c>
      <c r="K104" s="24">
        <f>MIN(K101,K102+K103)</f>
        <v>0</v>
      </c>
      <c r="M104" s="1238" t="s">
        <v>287</v>
      </c>
      <c r="N104" s="1239"/>
      <c r="O104" s="9"/>
      <c r="P104" s="132" t="s">
        <v>19</v>
      </c>
      <c r="Q104" s="24">
        <f>MIN(Q101,Q102+Q103)</f>
        <v>0</v>
      </c>
    </row>
    <row r="105" spans="1:17" outlineLevel="1" x14ac:dyDescent="0.3">
      <c r="A105" s="221" t="s">
        <v>279</v>
      </c>
      <c r="B105" s="8"/>
      <c r="C105" s="9">
        <v>0.1</v>
      </c>
      <c r="D105" s="9"/>
      <c r="E105" s="24">
        <f>ROUND(E104*C105,2)</f>
        <v>0</v>
      </c>
      <c r="F105" s="25"/>
      <c r="G105" s="221" t="s">
        <v>279</v>
      </c>
      <c r="H105" s="8"/>
      <c r="I105" s="9">
        <v>0.1</v>
      </c>
      <c r="J105" s="9"/>
      <c r="K105" s="24">
        <f>ROUND(K104*I105,2)</f>
        <v>0</v>
      </c>
      <c r="M105" s="221" t="s">
        <v>279</v>
      </c>
      <c r="N105" s="8"/>
      <c r="O105" s="9">
        <v>0.1</v>
      </c>
      <c r="P105" s="9"/>
      <c r="Q105" s="24">
        <f>ROUND(Q104*O105,2)</f>
        <v>0</v>
      </c>
    </row>
    <row r="106" spans="1:17" outlineLevel="1" x14ac:dyDescent="0.3">
      <c r="A106" s="8" t="s">
        <v>64</v>
      </c>
      <c r="B106" s="8" t="s">
        <v>293</v>
      </c>
      <c r="C106" s="97">
        <f>C58</f>
        <v>0</v>
      </c>
      <c r="D106" s="9"/>
      <c r="E106" s="24">
        <f>ROUND(E104*C106,2)</f>
        <v>0</v>
      </c>
      <c r="F106" s="25"/>
      <c r="G106" s="8" t="s">
        <v>64</v>
      </c>
      <c r="H106" s="8" t="s">
        <v>293</v>
      </c>
      <c r="I106" s="97">
        <f>I58</f>
        <v>0</v>
      </c>
      <c r="J106" s="9"/>
      <c r="K106" s="24">
        <f>ROUND(K104*I106,2)</f>
        <v>0</v>
      </c>
      <c r="M106" s="8" t="s">
        <v>64</v>
      </c>
      <c r="N106" s="8" t="s">
        <v>293</v>
      </c>
      <c r="O106" s="97">
        <f>O58</f>
        <v>0</v>
      </c>
      <c r="P106" s="9"/>
      <c r="Q106" s="24">
        <f>ROUND(Q104*O106,2)</f>
        <v>0</v>
      </c>
    </row>
    <row r="107" spans="1:17" ht="14.4" outlineLevel="1" thickBot="1" x14ac:dyDescent="0.35">
      <c r="A107" s="8" t="s">
        <v>64</v>
      </c>
      <c r="B107" s="50" t="s">
        <v>281</v>
      </c>
      <c r="C107" s="9">
        <v>0.21</v>
      </c>
      <c r="D107" s="26"/>
      <c r="E107" s="27">
        <f>ROUND(E105*C107,2)</f>
        <v>0</v>
      </c>
      <c r="F107" s="25"/>
      <c r="G107" s="8" t="s">
        <v>64</v>
      </c>
      <c r="H107" s="50" t="s">
        <v>281</v>
      </c>
      <c r="I107" s="9">
        <v>0.21</v>
      </c>
      <c r="J107" s="26"/>
      <c r="K107" s="27">
        <f>ROUND(K105*I107,2)</f>
        <v>0</v>
      </c>
      <c r="M107" s="8" t="s">
        <v>64</v>
      </c>
      <c r="N107" s="50" t="s">
        <v>281</v>
      </c>
      <c r="O107" s="9">
        <v>0.21</v>
      </c>
      <c r="P107" s="26"/>
      <c r="Q107" s="27">
        <f>ROUND(Q105*O107,2)</f>
        <v>0</v>
      </c>
    </row>
    <row r="108" spans="1:17" ht="14.4" outlineLevel="1" thickTop="1" x14ac:dyDescent="0.3">
      <c r="A108" s="28" t="s">
        <v>282</v>
      </c>
      <c r="B108" s="29"/>
      <c r="C108" s="30"/>
      <c r="D108" s="31"/>
      <c r="E108" s="80">
        <f>SUM(E104:E107)</f>
        <v>0</v>
      </c>
      <c r="F108" s="25"/>
      <c r="G108" s="28" t="s">
        <v>282</v>
      </c>
      <c r="H108" s="29"/>
      <c r="I108" s="30"/>
      <c r="J108" s="31"/>
      <c r="K108" s="80">
        <f>SUM(K104:K107)</f>
        <v>0</v>
      </c>
      <c r="M108" s="28" t="s">
        <v>282</v>
      </c>
      <c r="N108" s="29"/>
      <c r="O108" s="30"/>
      <c r="P108" s="31"/>
      <c r="Q108" s="80">
        <f>SUM(Q104:Q107)</f>
        <v>0</v>
      </c>
    </row>
    <row r="109" spans="1:17" outlineLevel="1" x14ac:dyDescent="0.3"/>
    <row r="110" spans="1:17" ht="14.4" outlineLevel="1" x14ac:dyDescent="0.3">
      <c r="A110" s="1232" t="s">
        <v>303</v>
      </c>
      <c r="B110" s="1233"/>
      <c r="C110" s="153"/>
      <c r="D110" s="154"/>
      <c r="E110" s="153"/>
      <c r="G110" s="1232" t="s">
        <v>303</v>
      </c>
      <c r="H110" s="1233"/>
      <c r="I110" s="153"/>
      <c r="J110" s="154"/>
      <c r="K110" s="153"/>
      <c r="M110" s="1232" t="s">
        <v>303</v>
      </c>
      <c r="N110" s="1233"/>
      <c r="O110" s="153"/>
      <c r="P110" s="154"/>
      <c r="Q110" s="153"/>
    </row>
    <row r="111" spans="1:17" outlineLevel="1" x14ac:dyDescent="0.3">
      <c r="A111" s="70" t="s">
        <v>304</v>
      </c>
      <c r="B111" s="32" t="s">
        <v>275</v>
      </c>
      <c r="C111" s="32" t="s">
        <v>276</v>
      </c>
      <c r="D111" s="33"/>
      <c r="E111" s="32" t="s">
        <v>277</v>
      </c>
      <c r="G111" s="70" t="s">
        <v>304</v>
      </c>
      <c r="H111" s="32" t="s">
        <v>275</v>
      </c>
      <c r="I111" s="32" t="s">
        <v>276</v>
      </c>
      <c r="J111" s="33"/>
      <c r="K111" s="32" t="s">
        <v>277</v>
      </c>
      <c r="M111" s="70" t="s">
        <v>304</v>
      </c>
      <c r="N111" s="32" t="s">
        <v>275</v>
      </c>
      <c r="O111" s="32" t="s">
        <v>276</v>
      </c>
      <c r="P111" s="33"/>
      <c r="Q111" s="32" t="s">
        <v>277</v>
      </c>
    </row>
    <row r="112" spans="1:17" outlineLevel="1" x14ac:dyDescent="0.3">
      <c r="A112" s="367">
        <f>A101</f>
        <v>0</v>
      </c>
      <c r="B112" s="71">
        <f>B64</f>
        <v>0</v>
      </c>
      <c r="C112" s="71">
        <f>'Overzicht BTA'!$D$38</f>
        <v>2.3958200000000001</v>
      </c>
      <c r="D112" s="72"/>
      <c r="E112" s="73">
        <f>ROUND(A112*B112*C112,2)</f>
        <v>0</v>
      </c>
      <c r="G112" s="367">
        <f>G101</f>
        <v>0</v>
      </c>
      <c r="H112" s="71">
        <f>H64</f>
        <v>0</v>
      </c>
      <c r="I112" s="71">
        <f>'Overzicht BTA'!$D$38</f>
        <v>2.3958200000000001</v>
      </c>
      <c r="J112" s="72"/>
      <c r="K112" s="73">
        <f>ROUND(G112*H112*I112,2)</f>
        <v>0</v>
      </c>
      <c r="M112" s="367">
        <f>M101</f>
        <v>0</v>
      </c>
      <c r="N112" s="71">
        <f>N64</f>
        <v>0</v>
      </c>
      <c r="O112" s="71">
        <f>'Overzicht BTA'!$D$38</f>
        <v>2.3958200000000001</v>
      </c>
      <c r="P112" s="72"/>
      <c r="Q112" s="73">
        <f>ROUND(M112*N112*O112,2)</f>
        <v>0</v>
      </c>
    </row>
    <row r="113" spans="1:24" outlineLevel="1" x14ac:dyDescent="0.3">
      <c r="A113" s="65" t="s">
        <v>305</v>
      </c>
      <c r="B113" s="63">
        <f>B92</f>
        <v>0</v>
      </c>
      <c r="C113" s="66">
        <v>0.6</v>
      </c>
      <c r="D113" s="67"/>
      <c r="E113" s="68">
        <f>ROUND(B113*C113,2)</f>
        <v>0</v>
      </c>
      <c r="F113" s="51">
        <f>E112*10/6</f>
        <v>0</v>
      </c>
      <c r="G113" s="65" t="s">
        <v>305</v>
      </c>
      <c r="H113" s="63">
        <f>H92</f>
        <v>0</v>
      </c>
      <c r="I113" s="66">
        <v>0.6</v>
      </c>
      <c r="J113" s="67"/>
      <c r="K113" s="68">
        <f>ROUND(H113*I113,2)</f>
        <v>0</v>
      </c>
      <c r="L113" s="51">
        <f>K112*10/6</f>
        <v>0</v>
      </c>
      <c r="M113" s="65" t="s">
        <v>305</v>
      </c>
      <c r="N113" s="63">
        <f>N92</f>
        <v>0</v>
      </c>
      <c r="O113" s="66">
        <v>0.6</v>
      </c>
      <c r="P113" s="67"/>
      <c r="Q113" s="68">
        <f>ROUND(N113*O113,2)</f>
        <v>0</v>
      </c>
    </row>
    <row r="114" spans="1:24" ht="14.4" outlineLevel="1" x14ac:dyDescent="0.3">
      <c r="A114" s="1220" t="s">
        <v>287</v>
      </c>
      <c r="B114" s="1221"/>
      <c r="C114" s="20"/>
      <c r="D114" s="133" t="s">
        <v>32</v>
      </c>
      <c r="E114" s="34">
        <f>MIN(E112,E113)</f>
        <v>0</v>
      </c>
      <c r="G114" s="1220" t="s">
        <v>287</v>
      </c>
      <c r="H114" s="1221"/>
      <c r="I114" s="20"/>
      <c r="J114" s="133" t="s">
        <v>32</v>
      </c>
      <c r="K114" s="34">
        <f>MIN(K112,K113)</f>
        <v>0</v>
      </c>
      <c r="M114" s="1220" t="s">
        <v>287</v>
      </c>
      <c r="N114" s="1221"/>
      <c r="O114" s="20"/>
      <c r="P114" s="133" t="s">
        <v>32</v>
      </c>
      <c r="Q114" s="34">
        <f>MIN(Q112,Q113)</f>
        <v>0</v>
      </c>
    </row>
    <row r="115" spans="1:24" outlineLevel="1" x14ac:dyDescent="0.3">
      <c r="A115" s="22" t="s">
        <v>306</v>
      </c>
      <c r="B115" s="22"/>
      <c r="C115" s="35">
        <v>0.1</v>
      </c>
      <c r="D115" s="22"/>
      <c r="E115" s="34">
        <f>ROUND(E114*C115,2)</f>
        <v>0</v>
      </c>
      <c r="G115" s="22" t="s">
        <v>306</v>
      </c>
      <c r="H115" s="22"/>
      <c r="I115" s="35">
        <v>0.1</v>
      </c>
      <c r="J115" s="22"/>
      <c r="K115" s="34">
        <f>ROUND(K114*I115,2)</f>
        <v>0</v>
      </c>
      <c r="M115" s="22" t="s">
        <v>306</v>
      </c>
      <c r="N115" s="22"/>
      <c r="O115" s="35">
        <v>0.1</v>
      </c>
      <c r="P115" s="22"/>
      <c r="Q115" s="34">
        <f>ROUND(Q114*O115,2)</f>
        <v>0</v>
      </c>
    </row>
    <row r="116" spans="1:24" outlineLevel="1" x14ac:dyDescent="0.3">
      <c r="A116" s="22" t="s">
        <v>64</v>
      </c>
      <c r="B116" s="22" t="s">
        <v>307</v>
      </c>
      <c r="C116" s="35">
        <v>0.21</v>
      </c>
      <c r="D116" s="22"/>
      <c r="E116" s="34">
        <f>ROUND(E114*C116,2)</f>
        <v>0</v>
      </c>
      <c r="G116" s="22" t="s">
        <v>64</v>
      </c>
      <c r="H116" s="22" t="s">
        <v>307</v>
      </c>
      <c r="I116" s="35">
        <v>0.21</v>
      </c>
      <c r="J116" s="22"/>
      <c r="K116" s="34">
        <f>ROUND(K114*I116,2)</f>
        <v>0</v>
      </c>
      <c r="M116" s="22" t="s">
        <v>64</v>
      </c>
      <c r="N116" s="22" t="s">
        <v>307</v>
      </c>
      <c r="O116" s="35">
        <v>0.21</v>
      </c>
      <c r="P116" s="22"/>
      <c r="Q116" s="34">
        <f>ROUND(Q114*O116,2)</f>
        <v>0</v>
      </c>
    </row>
    <row r="117" spans="1:24" ht="14.4" outlineLevel="1" thickBot="1" x14ac:dyDescent="0.35">
      <c r="A117" s="36" t="s">
        <v>294</v>
      </c>
      <c r="B117" s="36" t="s">
        <v>308</v>
      </c>
      <c r="C117" s="37">
        <v>0.21</v>
      </c>
      <c r="D117" s="36"/>
      <c r="E117" s="38">
        <f>ROUND(E115*C117,2)</f>
        <v>0</v>
      </c>
      <c r="G117" s="36" t="s">
        <v>294</v>
      </c>
      <c r="H117" s="36" t="s">
        <v>308</v>
      </c>
      <c r="I117" s="37">
        <v>0.21</v>
      </c>
      <c r="J117" s="36"/>
      <c r="K117" s="38">
        <f>ROUND(K115*I117,2)</f>
        <v>0</v>
      </c>
      <c r="M117" s="36" t="s">
        <v>294</v>
      </c>
      <c r="N117" s="36" t="s">
        <v>308</v>
      </c>
      <c r="O117" s="37">
        <v>0.21</v>
      </c>
      <c r="P117" s="36"/>
      <c r="Q117" s="38">
        <f>ROUND(Q115*O117,2)</f>
        <v>0</v>
      </c>
    </row>
    <row r="118" spans="1:24" ht="14.4" outlineLevel="1" thickTop="1" x14ac:dyDescent="0.3">
      <c r="A118" s="22" t="s">
        <v>282</v>
      </c>
      <c r="B118" s="22"/>
      <c r="C118" s="35"/>
      <c r="D118" s="22"/>
      <c r="E118" s="96">
        <f>SUM(E115:E117)+E114</f>
        <v>0</v>
      </c>
      <c r="G118" s="22" t="s">
        <v>282</v>
      </c>
      <c r="H118" s="22"/>
      <c r="I118" s="35"/>
      <c r="J118" s="22"/>
      <c r="K118" s="96">
        <f>SUM(K115:K117)+K114</f>
        <v>0</v>
      </c>
      <c r="M118" s="22" t="s">
        <v>282</v>
      </c>
      <c r="N118" s="22"/>
      <c r="O118" s="35"/>
      <c r="P118" s="22"/>
      <c r="Q118" s="96">
        <f>SUM(Q115:Q117)+Q114</f>
        <v>0</v>
      </c>
    </row>
    <row r="119" spans="1:24" ht="15" outlineLevel="1" thickBot="1" x14ac:dyDescent="0.35">
      <c r="C119" s="39"/>
      <c r="E119"/>
      <c r="F119"/>
      <c r="I119" s="39"/>
      <c r="K119"/>
      <c r="L119"/>
      <c r="O119" s="39"/>
      <c r="Q119"/>
    </row>
    <row r="120" spans="1:24" ht="15" outlineLevel="2" thickBot="1" x14ac:dyDescent="0.35">
      <c r="A120" s="376" t="s">
        <v>283</v>
      </c>
      <c r="B120" s="1015"/>
      <c r="C120" s="1015"/>
      <c r="D120" s="1016"/>
      <c r="E120" s="1016"/>
      <c r="F120"/>
      <c r="G120" s="376" t="s">
        <v>283</v>
      </c>
      <c r="H120" s="1015"/>
      <c r="I120" s="1015"/>
      <c r="J120" s="1016"/>
      <c r="K120" s="1016"/>
      <c r="L120"/>
      <c r="M120" s="376" t="s">
        <v>283</v>
      </c>
      <c r="N120" s="1015"/>
      <c r="O120" s="1015"/>
      <c r="P120" s="1016"/>
      <c r="Q120" s="1016"/>
    </row>
    <row r="121" spans="1:24" ht="14.4" outlineLevel="2" x14ac:dyDescent="0.3">
      <c r="A121" s="1025" t="s">
        <v>274</v>
      </c>
      <c r="B121" s="1025" t="s">
        <v>275</v>
      </c>
      <c r="C121" s="1025" t="s">
        <v>276</v>
      </c>
      <c r="D121" s="1025"/>
      <c r="E121" s="1025" t="s">
        <v>277</v>
      </c>
      <c r="F121" s="20"/>
      <c r="G121" s="1025" t="s">
        <v>274</v>
      </c>
      <c r="H121" s="1025" t="s">
        <v>275</v>
      </c>
      <c r="I121" s="1025" t="s">
        <v>276</v>
      </c>
      <c r="J121" s="1025"/>
      <c r="K121" s="1025" t="s">
        <v>277</v>
      </c>
      <c r="L121" s="20"/>
      <c r="M121" s="1025" t="s">
        <v>274</v>
      </c>
      <c r="N121" s="1025" t="s">
        <v>275</v>
      </c>
      <c r="O121" s="1025" t="s">
        <v>276</v>
      </c>
      <c r="P121" s="1025"/>
      <c r="Q121" s="1025" t="s">
        <v>277</v>
      </c>
    </row>
    <row r="122" spans="1:24" ht="14.4" outlineLevel="2" x14ac:dyDescent="0.3">
      <c r="A122" s="1026">
        <f>A101</f>
        <v>0</v>
      </c>
      <c r="B122" s="1027">
        <f>IF(B97=Bron!$E$40,55,0)</f>
        <v>0</v>
      </c>
      <c r="C122" s="1025">
        <f>C101</f>
        <v>2.3958200000000001</v>
      </c>
      <c r="D122" s="1025"/>
      <c r="E122" s="1028">
        <f>ROUND(A122*B122*C122,2)</f>
        <v>0</v>
      </c>
      <c r="F122" s="20"/>
      <c r="G122" s="1026">
        <f>G101</f>
        <v>0</v>
      </c>
      <c r="H122" s="1027">
        <f>IF(H97=Bron!$E$40,55,0)</f>
        <v>0</v>
      </c>
      <c r="I122" s="1025">
        <f>I101</f>
        <v>2.3958200000000001</v>
      </c>
      <c r="J122" s="1025"/>
      <c r="K122" s="1028">
        <f>ROUND(G122*H122*I122,2)</f>
        <v>0</v>
      </c>
      <c r="L122" s="20"/>
      <c r="M122" s="1026">
        <f>M101</f>
        <v>0</v>
      </c>
      <c r="N122" s="1027">
        <f>IF(N97=Bron!$E$40,55,0)</f>
        <v>0</v>
      </c>
      <c r="O122" s="1025">
        <f>O101</f>
        <v>2.3958200000000001</v>
      </c>
      <c r="P122" s="1025"/>
      <c r="Q122" s="1028">
        <f>ROUND(M122*N122*O122,2)</f>
        <v>0</v>
      </c>
    </row>
    <row r="123" spans="1:24" ht="14.4" outlineLevel="2" x14ac:dyDescent="0.3">
      <c r="A123" s="32" t="s">
        <v>285</v>
      </c>
      <c r="B123" s="1028">
        <f>'Bouwkost VERB'!$E$52</f>
        <v>0</v>
      </c>
      <c r="C123" s="1029">
        <v>0.6</v>
      </c>
      <c r="D123" s="1025"/>
      <c r="E123" s="1028">
        <f>B123*C123</f>
        <v>0</v>
      </c>
      <c r="F123" s="20"/>
      <c r="G123" s="32" t="s">
        <v>285</v>
      </c>
      <c r="H123" s="1028">
        <f>'Bouwkost VERB'!$P$52</f>
        <v>0</v>
      </c>
      <c r="I123" s="1029">
        <v>0.6</v>
      </c>
      <c r="J123" s="1025"/>
      <c r="K123" s="1028">
        <f>H123*I123</f>
        <v>0</v>
      </c>
      <c r="L123" s="20"/>
      <c r="M123" s="32" t="s">
        <v>285</v>
      </c>
      <c r="N123" s="1028">
        <f>'Bouwkost VERB'!$AA$52</f>
        <v>0</v>
      </c>
      <c r="O123" s="1029">
        <v>0.6</v>
      </c>
      <c r="P123" s="1025"/>
      <c r="Q123" s="1028">
        <f>N123*O123</f>
        <v>0</v>
      </c>
    </row>
    <row r="124" spans="1:24" ht="14.4" outlineLevel="2" x14ac:dyDescent="0.3">
      <c r="A124" s="32" t="s">
        <v>286</v>
      </c>
      <c r="B124" s="1028">
        <f>'Bouwkost VERB'!$E$58</f>
        <v>0</v>
      </c>
      <c r="C124" s="1029">
        <v>0.6</v>
      </c>
      <c r="D124" s="1025"/>
      <c r="E124" s="1028">
        <f>B124*C124</f>
        <v>0</v>
      </c>
      <c r="F124" s="20"/>
      <c r="G124" s="32" t="s">
        <v>286</v>
      </c>
      <c r="H124" s="1028">
        <f>'Bouwkost VERB'!$P$58</f>
        <v>0</v>
      </c>
      <c r="I124" s="1029">
        <v>0.6</v>
      </c>
      <c r="J124" s="1025"/>
      <c r="K124" s="1028">
        <f>H124*I124</f>
        <v>0</v>
      </c>
      <c r="L124" s="20"/>
      <c r="M124" s="32" t="s">
        <v>286</v>
      </c>
      <c r="N124" s="1028">
        <f>'Bouwkost VERB'!$AA$58</f>
        <v>0</v>
      </c>
      <c r="O124" s="1029">
        <v>0.6</v>
      </c>
      <c r="P124" s="1025"/>
      <c r="Q124" s="1028">
        <f>N124*O124</f>
        <v>0</v>
      </c>
    </row>
    <row r="125" spans="1:24" ht="14.4" outlineLevel="2" x14ac:dyDescent="0.3">
      <c r="A125" s="1234" t="s">
        <v>287</v>
      </c>
      <c r="B125" s="1234"/>
      <c r="C125" s="133"/>
      <c r="D125" s="1030" t="s">
        <v>32</v>
      </c>
      <c r="E125" s="1031">
        <f>MIN(E124:E124)</f>
        <v>0</v>
      </c>
      <c r="F125" s="20"/>
      <c r="G125" s="1234" t="s">
        <v>287</v>
      </c>
      <c r="H125" s="1234"/>
      <c r="I125" s="133"/>
      <c r="J125" s="1030" t="s">
        <v>32</v>
      </c>
      <c r="K125" s="1031">
        <f>MIN(K124:K124)</f>
        <v>0</v>
      </c>
      <c r="L125" s="20"/>
      <c r="M125" s="1234" t="s">
        <v>287</v>
      </c>
      <c r="N125" s="1234"/>
      <c r="O125" s="133"/>
      <c r="P125" s="1030" t="s">
        <v>32</v>
      </c>
      <c r="Q125" s="1031">
        <f>MIN(Q124:Q124)</f>
        <v>0</v>
      </c>
    </row>
    <row r="126" spans="1:24" outlineLevel="2" x14ac:dyDescent="0.3">
      <c r="A126" s="221" t="s">
        <v>279</v>
      </c>
      <c r="B126" s="8"/>
      <c r="C126" s="97">
        <v>0.1</v>
      </c>
      <c r="D126" s="97"/>
      <c r="E126" s="949">
        <f>ROUND(E125*C126,2)</f>
        <v>0</v>
      </c>
      <c r="F126" s="25"/>
      <c r="G126" s="221" t="s">
        <v>279</v>
      </c>
      <c r="H126" s="8"/>
      <c r="I126" s="9">
        <v>0.1</v>
      </c>
      <c r="J126" s="9"/>
      <c r="K126" s="24">
        <f>ROUND(K125*I126,2)</f>
        <v>0</v>
      </c>
      <c r="M126" s="221" t="s">
        <v>279</v>
      </c>
      <c r="N126" s="8"/>
      <c r="O126" s="9">
        <v>0.1</v>
      </c>
      <c r="P126" s="9"/>
      <c r="Q126" s="24">
        <f>ROUND(Q125*O126,2)</f>
        <v>0</v>
      </c>
      <c r="T126" s="243"/>
      <c r="U126" s="23"/>
      <c r="V126" s="40"/>
      <c r="W126" s="40"/>
      <c r="X126" s="496"/>
    </row>
    <row r="127" spans="1:24" ht="13.2" customHeight="1" outlineLevel="2" x14ac:dyDescent="0.3">
      <c r="A127" s="8" t="s">
        <v>64</v>
      </c>
      <c r="B127" s="8" t="s">
        <v>293</v>
      </c>
      <c r="C127" s="97">
        <f>IF(A119=Bron!$B$11,'Overzicht BTA'!$C$17,IF(A119=Bron!$B$12,'Overzicht BTA'!C133,0))</f>
        <v>0</v>
      </c>
      <c r="D127" s="97"/>
      <c r="E127" s="949">
        <f>ROUND(E125*C127,2)</f>
        <v>0</v>
      </c>
      <c r="F127" s="25"/>
      <c r="G127" s="8" t="s">
        <v>64</v>
      </c>
      <c r="H127" s="8" t="s">
        <v>293</v>
      </c>
      <c r="I127" s="97">
        <f>IF(G119=Bron!$B$11,'Overzicht BTA'!I134/100,IF(G119=Bron!$B$12,'Overzicht BTA'!I133,0))</f>
        <v>0</v>
      </c>
      <c r="J127" s="9"/>
      <c r="K127" s="24">
        <f>ROUND(K125*I127,2)</f>
        <v>0</v>
      </c>
      <c r="M127" s="8" t="s">
        <v>64</v>
      </c>
      <c r="N127" s="8" t="s">
        <v>293</v>
      </c>
      <c r="O127" s="97">
        <f>IF(M119=Bron!$B$11,'Overzicht BTA'!O134/100,IF(M119=Bron!$B$12,'Overzicht BTA'!O133,0))</f>
        <v>0</v>
      </c>
      <c r="P127" s="9"/>
      <c r="Q127" s="24">
        <f>ROUND(Q125*O127,2)</f>
        <v>0</v>
      </c>
      <c r="T127" s="23"/>
      <c r="U127" s="23"/>
      <c r="V127" s="850"/>
      <c r="W127" s="40"/>
      <c r="X127" s="496"/>
    </row>
    <row r="128" spans="1:24" ht="14.4" outlineLevel="2" thickBot="1" x14ac:dyDescent="0.35">
      <c r="A128" s="8" t="s">
        <v>64</v>
      </c>
      <c r="B128" s="50" t="s">
        <v>281</v>
      </c>
      <c r="C128" s="97">
        <v>0.21</v>
      </c>
      <c r="D128" s="950"/>
      <c r="E128" s="951">
        <f>ROUND(E126*C128,2)</f>
        <v>0</v>
      </c>
      <c r="F128" s="25"/>
      <c r="G128" s="8" t="s">
        <v>64</v>
      </c>
      <c r="H128" s="50" t="s">
        <v>281</v>
      </c>
      <c r="I128" s="9">
        <v>0.21</v>
      </c>
      <c r="J128" s="26"/>
      <c r="K128" s="27">
        <f>ROUND(K126*I128,2)</f>
        <v>0</v>
      </c>
      <c r="M128" s="8" t="s">
        <v>64</v>
      </c>
      <c r="N128" s="50" t="s">
        <v>281</v>
      </c>
      <c r="O128" s="9">
        <v>0.21</v>
      </c>
      <c r="P128" s="26"/>
      <c r="Q128" s="27">
        <f>ROUND(Q126*O128,2)</f>
        <v>0</v>
      </c>
      <c r="T128" s="23"/>
      <c r="V128" s="40"/>
      <c r="W128" s="40"/>
      <c r="X128" s="496"/>
    </row>
    <row r="129" spans="1:24" ht="14.4" outlineLevel="2" thickTop="1" x14ac:dyDescent="0.3">
      <c r="A129" s="28" t="s">
        <v>282</v>
      </c>
      <c r="B129" s="29"/>
      <c r="C129" s="952"/>
      <c r="D129" s="953"/>
      <c r="E129" s="954">
        <f>SUM(E125:E128)</f>
        <v>0</v>
      </c>
      <c r="F129" s="25"/>
      <c r="G129" s="28" t="s">
        <v>282</v>
      </c>
      <c r="H129" s="29"/>
      <c r="I129" s="30"/>
      <c r="J129" s="31"/>
      <c r="K129" s="80">
        <f>SUM(K125:K128)</f>
        <v>0</v>
      </c>
      <c r="M129" s="28" t="s">
        <v>282</v>
      </c>
      <c r="N129" s="29"/>
      <c r="O129" s="30"/>
      <c r="P129" s="31"/>
      <c r="Q129" s="80">
        <f>SUM(Q125:Q128)</f>
        <v>0</v>
      </c>
      <c r="T129" s="23"/>
      <c r="U129" s="23"/>
      <c r="V129" s="23"/>
      <c r="W129" s="23"/>
      <c r="X129" s="496"/>
    </row>
    <row r="130" spans="1:24" ht="14.4" outlineLevel="2" x14ac:dyDescent="0.3">
      <c r="C130" s="39"/>
      <c r="E130"/>
      <c r="I130" s="39"/>
      <c r="K130"/>
      <c r="O130" s="39"/>
      <c r="Q130"/>
    </row>
    <row r="131" spans="1:24" outlineLevel="1" x14ac:dyDescent="0.3">
      <c r="A131" s="22" t="s">
        <v>309</v>
      </c>
      <c r="B131" s="22"/>
      <c r="C131" s="35"/>
      <c r="D131" s="22"/>
      <c r="E131" s="498">
        <f>E108+E118+E129</f>
        <v>0</v>
      </c>
      <c r="G131" s="22" t="s">
        <v>309</v>
      </c>
      <c r="H131" s="22"/>
      <c r="I131" s="35"/>
      <c r="J131" s="22"/>
      <c r="K131" s="498">
        <f>K108+K118+K129</f>
        <v>0</v>
      </c>
      <c r="M131" s="22" t="s">
        <v>309</v>
      </c>
      <c r="N131" s="22"/>
      <c r="O131" s="35"/>
      <c r="P131" s="22"/>
      <c r="Q131" s="498">
        <f>Q108+Q118+Q129</f>
        <v>0</v>
      </c>
      <c r="V131" s="39"/>
      <c r="X131" s="852"/>
    </row>
    <row r="132" spans="1:24" ht="15" outlineLevel="1" thickBot="1" x14ac:dyDescent="0.35">
      <c r="C132" s="39"/>
      <c r="E132"/>
      <c r="I132" s="39"/>
      <c r="K132"/>
      <c r="O132" s="39"/>
      <c r="Q132"/>
    </row>
    <row r="133" spans="1:24" ht="14.4" customHeight="1" outlineLevel="1" thickBot="1" x14ac:dyDescent="0.35">
      <c r="A133" s="1224" t="s">
        <v>310</v>
      </c>
      <c r="B133" s="1225"/>
      <c r="C133" s="127">
        <f>E104+E114+E125</f>
        <v>0</v>
      </c>
      <c r="D133" s="131" t="s">
        <v>289</v>
      </c>
      <c r="E133" s="492">
        <f>ROUND(C133*10/6,2)</f>
        <v>0</v>
      </c>
      <c r="G133" s="1224" t="s">
        <v>310</v>
      </c>
      <c r="H133" s="1225"/>
      <c r="I133" s="127">
        <f>K104+K114+K125</f>
        <v>0</v>
      </c>
      <c r="J133" s="131" t="s">
        <v>289</v>
      </c>
      <c r="K133" s="492">
        <f>ROUND(I133*10/6,2)</f>
        <v>0</v>
      </c>
      <c r="M133" s="1224" t="s">
        <v>310</v>
      </c>
      <c r="N133" s="1225"/>
      <c r="O133" s="127">
        <f>Q104+Q114+Q125</f>
        <v>0</v>
      </c>
      <c r="P133" s="131" t="s">
        <v>289</v>
      </c>
      <c r="Q133" s="492">
        <f>ROUND(O133*10/6,2)</f>
        <v>0</v>
      </c>
    </row>
  </sheetData>
  <mergeCells count="47">
    <mergeCell ref="A29:B29"/>
    <mergeCell ref="G29:H29"/>
    <mergeCell ref="M29:N29"/>
    <mergeCell ref="A77:B77"/>
    <mergeCell ref="G77:H77"/>
    <mergeCell ref="M77:N77"/>
    <mergeCell ref="A56:B56"/>
    <mergeCell ref="G56:H56"/>
    <mergeCell ref="M56:N56"/>
    <mergeCell ref="A62:B62"/>
    <mergeCell ref="G62:H62"/>
    <mergeCell ref="M62:N62"/>
    <mergeCell ref="A66:B66"/>
    <mergeCell ref="G66:H66"/>
    <mergeCell ref="M66:N66"/>
    <mergeCell ref="A125:B125"/>
    <mergeCell ref="G125:H125"/>
    <mergeCell ref="M125:N125"/>
    <mergeCell ref="M8:N8"/>
    <mergeCell ref="M14:N14"/>
    <mergeCell ref="M18:N18"/>
    <mergeCell ref="M37:N37"/>
    <mergeCell ref="A48:Q48"/>
    <mergeCell ref="A8:B8"/>
    <mergeCell ref="A18:B18"/>
    <mergeCell ref="A37:B37"/>
    <mergeCell ref="A14:B14"/>
    <mergeCell ref="G8:H8"/>
    <mergeCell ref="G14:H14"/>
    <mergeCell ref="G18:H18"/>
    <mergeCell ref="G37:H37"/>
    <mergeCell ref="A85:B85"/>
    <mergeCell ref="G85:H85"/>
    <mergeCell ref="M85:N85"/>
    <mergeCell ref="A133:B133"/>
    <mergeCell ref="G133:H133"/>
    <mergeCell ref="A96:Q96"/>
    <mergeCell ref="A104:B104"/>
    <mergeCell ref="G104:H104"/>
    <mergeCell ref="M104:N104"/>
    <mergeCell ref="M133:N133"/>
    <mergeCell ref="A110:B110"/>
    <mergeCell ref="G110:H110"/>
    <mergeCell ref="M110:N110"/>
    <mergeCell ref="A114:B114"/>
    <mergeCell ref="G114:H114"/>
    <mergeCell ref="M114:N114"/>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D0BE1-1B77-4AFD-B0CE-0B7F4AC52578}">
  <sheetPr codeName="Blad7"/>
  <dimension ref="A1:W143"/>
  <sheetViews>
    <sheetView zoomScale="80" zoomScaleNormal="80" workbookViewId="0">
      <selection activeCell="K87" sqref="K87"/>
    </sheetView>
  </sheetViews>
  <sheetFormatPr defaultRowHeight="14.4" outlineLevelRow="2" outlineLevelCol="1" x14ac:dyDescent="0.3"/>
  <cols>
    <col min="1" max="1" width="29.6640625" bestFit="1" customWidth="1" outlineLevel="1"/>
    <col min="2" max="2" width="17.33203125" customWidth="1" outlineLevel="1"/>
    <col min="3" max="3" width="12.6640625" bestFit="1" customWidth="1" outlineLevel="1"/>
    <col min="4" max="4" width="7.33203125" bestFit="1" customWidth="1" outlineLevel="1"/>
    <col min="5" max="5" width="14.88671875" bestFit="1" customWidth="1" outlineLevel="1"/>
    <col min="6" max="6" width="3.6640625" customWidth="1"/>
    <col min="7" max="7" width="29.6640625" hidden="1" customWidth="1" outlineLevel="1"/>
    <col min="8" max="8" width="13.88671875" hidden="1" customWidth="1" outlineLevel="1"/>
    <col min="9" max="9" width="12.6640625" hidden="1" customWidth="1" outlineLevel="1"/>
    <col min="10" max="10" width="5.6640625" hidden="1" customWidth="1" outlineLevel="1"/>
    <col min="11" max="11" width="14.88671875" hidden="1" customWidth="1" outlineLevel="1"/>
    <col min="12" max="12" width="4.33203125" customWidth="1" collapsed="1"/>
    <col min="13" max="13" width="29.6640625" hidden="1" customWidth="1" outlineLevel="1"/>
    <col min="14" max="14" width="13.88671875" hidden="1" customWidth="1" outlineLevel="1"/>
    <col min="15" max="15" width="12.6640625" hidden="1" customWidth="1" outlineLevel="1"/>
    <col min="16" max="16" width="5.6640625" hidden="1" customWidth="1" outlineLevel="1"/>
    <col min="17" max="17" width="14.88671875" hidden="1" customWidth="1" outlineLevel="1"/>
    <col min="18" max="18" width="8.88671875" collapsed="1"/>
  </cols>
  <sheetData>
    <row r="1" spans="1:17" s="106" customFormat="1" x14ac:dyDescent="0.3">
      <c r="A1" s="106" t="s">
        <v>23</v>
      </c>
      <c r="B1" s="106" t="str">
        <f>'Overzicht BTA'!C3</f>
        <v>Kies de zorgvorm</v>
      </c>
      <c r="G1" s="106" t="s">
        <v>23</v>
      </c>
      <c r="H1" s="106" t="str">
        <f>'Overzicht BTA'!H3</f>
        <v>Kies de zorgvorm</v>
      </c>
      <c r="M1" s="106" t="s">
        <v>23</v>
      </c>
      <c r="N1" s="106" t="str">
        <f>'Overzicht BTA'!N3</f>
        <v>Kies de zorgvorm</v>
      </c>
    </row>
    <row r="2" spans="1:17" x14ac:dyDescent="0.3">
      <c r="A2" s="134" t="str">
        <f>IF(ISNUMBER(MATCH(Bron!$B$11,'Overzicht BTA'!B$7:B$10,0)),Bron!$B$11,IF(ISNUMBER(MATCH(Bron!$B$12,'Overzicht BTA'!B$7:B$10,0)),Bron!$B$12,"/"))</f>
        <v>/</v>
      </c>
      <c r="B2" s="135"/>
      <c r="C2" s="135"/>
      <c r="D2" s="135"/>
      <c r="E2" s="136"/>
      <c r="G2" s="134" t="str">
        <f>IF(ISNUMBER(MATCH(Bron!$B$11,'Overzicht BTA'!H$7:H$10,0)),Bron!$B$11,IF(ISNUMBER(MATCH(Bron!$B$12,'Overzicht BTA'!H$7:H$10,0)),Bron!$B$12,"/"))</f>
        <v>/</v>
      </c>
      <c r="H2" s="135"/>
      <c r="I2" s="135"/>
      <c r="J2" s="135"/>
      <c r="K2" s="136"/>
      <c r="M2" s="134" t="str">
        <f>IF(ISNUMBER(MATCH(Bron!$B$11,'Overzicht BTA'!$N$7:$N$9,0)),Bron!$B$11,IF(ISNUMBER(MATCH(Bron!$B$12,'Overzicht BTA'!N$7:N$10,0)),Bron!$B$12,"/"))</f>
        <v>/</v>
      </c>
      <c r="N2" s="135"/>
      <c r="O2" s="135"/>
      <c r="P2" s="135"/>
      <c r="Q2" s="136"/>
    </row>
    <row r="3" spans="1:17" x14ac:dyDescent="0.3">
      <c r="A3" s="109" t="s">
        <v>311</v>
      </c>
      <c r="B3" s="110"/>
      <c r="C3" s="111"/>
      <c r="D3" s="111"/>
      <c r="E3" s="111"/>
      <c r="G3" s="109" t="s">
        <v>311</v>
      </c>
      <c r="H3" s="110"/>
      <c r="I3" s="111"/>
      <c r="J3" s="111"/>
      <c r="K3" s="111"/>
      <c r="M3" s="109" t="s">
        <v>311</v>
      </c>
      <c r="N3" s="110"/>
      <c r="O3" s="111"/>
      <c r="P3" s="111"/>
      <c r="Q3" s="111"/>
    </row>
    <row r="4" spans="1:17" x14ac:dyDescent="0.3">
      <c r="A4" s="70" t="s">
        <v>304</v>
      </c>
      <c r="B4" s="32" t="s">
        <v>275</v>
      </c>
      <c r="C4" s="32" t="s">
        <v>276</v>
      </c>
      <c r="D4" s="33"/>
      <c r="E4" s="32" t="s">
        <v>277</v>
      </c>
      <c r="G4" s="70" t="s">
        <v>304</v>
      </c>
      <c r="H4" s="32" t="s">
        <v>275</v>
      </c>
      <c r="I4" s="32" t="s">
        <v>276</v>
      </c>
      <c r="J4" s="33"/>
      <c r="K4" s="32" t="s">
        <v>277</v>
      </c>
      <c r="M4" s="70" t="s">
        <v>304</v>
      </c>
      <c r="N4" s="32" t="s">
        <v>275</v>
      </c>
      <c r="O4" s="32" t="s">
        <v>276</v>
      </c>
      <c r="P4" s="33"/>
      <c r="Q4" s="32" t="s">
        <v>277</v>
      </c>
    </row>
    <row r="5" spans="1:17" x14ac:dyDescent="0.3">
      <c r="A5" s="368">
        <f>IFERROR(IF('Overzicht BTA'!D15=0,0,IF(A2=Bron!$B$11,IF(MATCH(Bron!$B$11,'Overzicht BTA'!B$7:B$10,0)=1,'Overzicht BTA'!D7,IF(MATCH(Bron!$B$11,'Overzicht BTA'!B$7:B$10,0)=2,'Overzicht BTA'!D8,IF(MATCH(Bron!$B$11,'Overzicht BTA'!B$7:B$10,0)=3,'Overzicht BTA'!D9,IF(MATCH(Bron!$B$11,'Overzicht BTA'!B$7:B$10,0)=4,'Overzicht BTA'!D10,0)))),IF(MATCH(Bron!$B$12,'Overzicht BTA'!B$7:B$10,0)=1,'Overzicht BTA'!D7,IF(MATCH(Bron!$B$12,'Overzicht BTA'!B$7:B$10,0)=2,'Overzicht BTA'!D8,IF(MATCH(Bron!$B$12,'Overzicht BTA'!B$7:B$10,0)=3,'Overzicht BTA'!D9,IF(MATCH(Bron!$B$12,'Overzicht BTA'!B$7:B$10,0)=4,'Overzicht BTA'!D10,0)))))),0)</f>
        <v>0</v>
      </c>
      <c r="B5" s="909">
        <f>VLOOKUP('Overzicht BTA'!$C$3,'Capaciteiten &amp; forfaits'!$B$3:$H$76,6,FALSE)</f>
        <v>0</v>
      </c>
      <c r="C5" s="71">
        <f>'Overzicht BTA'!$D$36</f>
        <v>2.3958200000000001</v>
      </c>
      <c r="D5" s="72">
        <f>IF(A2=Bron!$B$11,0.75,1)</f>
        <v>1</v>
      </c>
      <c r="E5" s="73">
        <f>ROUND(A5*B5*C5*D5,2)</f>
        <v>0</v>
      </c>
      <c r="G5" s="368">
        <f>IFERROR(IF('Overzicht BTA'!J15=0,0,IF(G2=Bron!$B$11,IF(MATCH(Bron!$B$11,'Overzicht BTA'!H$7:H$10,0)=1,'Overzicht BTA'!J7,IF(MATCH(Bron!$B$11,'Overzicht BTA'!H$7:H$10,0)=2,'Overzicht BTA'!J8,IF(MATCH(Bron!$B$11,'Overzicht BTA'!H$7:H$10,0)=3,'Overzicht BTA'!J9,IF(MATCH(Bron!$B$11,'Overzicht BTA'!H$7:H$10,0)=4,'Overzicht BTA'!J10,0)))),IF(MATCH(Bron!$B$12,'Overzicht BTA'!H$7:H$10,0)=1,'Overzicht BTA'!J7,IF(MATCH(Bron!$B$12,'Overzicht BTA'!H$7:H$10,0)=2,'Overzicht BTA'!J8,IF(MATCH(Bron!$B$12,'Overzicht BTA'!H$7:H$10,0)=3,'Overzicht BTA'!J9,IF(MATCH(Bron!$B$12,'Overzicht BTA'!H$7:H$10,0)=4,'Overzicht BTA'!J10,0)))))),0)</f>
        <v>0</v>
      </c>
      <c r="H5" s="909">
        <f>VLOOKUP(H1,'Capaciteiten &amp; forfaits'!$B$3:$H$76,6,FALSE)</f>
        <v>0</v>
      </c>
      <c r="I5" s="71">
        <f>'Overzicht BTA'!$D$36</f>
        <v>2.3958200000000001</v>
      </c>
      <c r="J5" s="72">
        <f>IF(G2=Bron!$B$11,0.75,1)</f>
        <v>1</v>
      </c>
      <c r="K5" s="73">
        <f>ROUND(G5*H5*I5*J5,2)</f>
        <v>0</v>
      </c>
      <c r="M5" s="368">
        <f>IFERROR(IF('Overzicht BTA'!P15=0,0,IF(M2=Bron!$B$11,IF(MATCH(Bron!$B$11,'Overzicht BTA'!N$7:N$10,0)=1,'Overzicht BTA'!P7,IF(MATCH(Bron!$B$11,'Overzicht BTA'!N$7:N$10,0)=2,'Overzicht BTA'!P8,IF(MATCH(Bron!$B$11,'Overzicht BTA'!N$7:N$10,0)=3,'Overzicht BTA'!P9,IF(MATCH(Bron!$B$11,'Overzicht BTA'!N$7:N$10,0)=4,'Overzicht BTA'!P10,0)))),IF(MATCH(Bron!$B$12,'Overzicht BTA'!N$7:N$10,0)=1,'Overzicht BTA'!P7,IF(MATCH(Bron!$B$12,'Overzicht BTA'!N$7:N$10,0)=2,'Overzicht BTA'!P8,IF(MATCH(Bron!$B$12,'Overzicht BTA'!N$7:N$10,0)=3,'Overzicht BTA'!P9,IF(MATCH(Bron!$B$12,'Overzicht BTA'!N$7:N$10,0)=4,'Overzicht BTA'!P10,0)))))),0)</f>
        <v>0</v>
      </c>
      <c r="N5" s="909">
        <f>VLOOKUP(N1,'Capaciteiten &amp; forfaits'!$B$3:$H$76,6,FALSE)</f>
        <v>0</v>
      </c>
      <c r="O5" s="71">
        <f>'Overzicht BTA'!$D$36</f>
        <v>2.3958200000000001</v>
      </c>
      <c r="P5" s="72">
        <f>IF(M2=Bron!$B$11,0.75,1)</f>
        <v>1</v>
      </c>
      <c r="Q5" s="73">
        <f>ROUND(M5*N5*O5*P5,2)</f>
        <v>0</v>
      </c>
    </row>
    <row r="6" spans="1:17" x14ac:dyDescent="0.3">
      <c r="A6" s="62" t="s">
        <v>312</v>
      </c>
      <c r="B6" s="63">
        <f>IFERROR(IF('Overzicht BTA'!D15=0,0,IF(A$2=Bron!$B$11,IF(MATCH(Bron!$B$11,'uitgebreide raming'!$B$2:$I$2,0)=1,'uitgebreide raming'!$B9,IF(MATCH(Bron!$B$11,'uitgebreide raming'!$B$2:$I$2,0)=3,'uitgebreide raming'!$D9,IF(MATCH(Bron!$B$11,'uitgebreide raming'!$B$2:$I$2,0)=5,'uitgebreide raming'!$F9,IF(MATCH(Bron!$B$11,'uitgebreide raming'!$B$2:$I$2,0)=7,'uitgebreide raming'!$H9,0)))),IF(MATCH(Bron!$B$12,'uitgebreide raming'!$B$2:$I$2,0)=1,'uitgebreide raming'!$B9,IF(MATCH(Bron!$B$12,'uitgebreide raming'!$B$2:$I$2,0)=3,'uitgebreide raming'!$D9,IF(MATCH(Bron!$B$12,'uitgebreide raming'!$B$2:$I$2,0)=5,'uitgebreide raming'!$F9,IF(MATCH(Bron!$B$12,'uitgebreide raming'!$B$2:$I$2,0)=7,'uitgebreide raming'!$H9,0)))))),0)</f>
        <v>0</v>
      </c>
      <c r="C6" s="64">
        <v>0.6</v>
      </c>
      <c r="D6" s="62"/>
      <c r="E6" s="63">
        <f>ROUND(B6*C6,2)</f>
        <v>0</v>
      </c>
      <c r="G6" s="62" t="s">
        <v>312</v>
      </c>
      <c r="H6" s="63">
        <f>IFERROR(IF('Overzicht BTA'!J15=0,0,IF(G$2=Bron!$B$11,IF(MATCH(Bron!$B$11,'uitgebreide raming'!$B$29:$I$29,0)=1,'uitgebreide raming'!$B36,IF(MATCH(Bron!$B$11,'uitgebreide raming'!$B$29:$I$29,0)=3,'uitgebreide raming'!$D36,IF(MATCH(Bron!$B$11,'uitgebreide raming'!$B$29:$I$29,0)=5,'uitgebreide raming'!$F36,IF(MATCH(Bron!$B$11,'uitgebreide raming'!$B$29:$I$29,0)=7,'uitgebreide raming'!$H36,0)))),IF(MATCH(Bron!$B$12,'uitgebreide raming'!$B$29:$I$29,0)=1,'uitgebreide raming'!$B36,IF(MATCH(Bron!$B$12,'uitgebreide raming'!$B$29:$I$29,0)=3,'uitgebreide raming'!$D36,IF(MATCH(Bron!$B$12,'uitgebreide raming'!$B$29:$I$29,0)=5,'uitgebreide raming'!$F36,IF(MATCH(Bron!$B$12,'uitgebreide raming'!$B$29:$I$29,0)=7,'uitgebreide raming'!$H36,0)))))),0)</f>
        <v>0</v>
      </c>
      <c r="I6" s="64">
        <v>0.6</v>
      </c>
      <c r="J6" s="62"/>
      <c r="K6" s="63">
        <f>ROUND(H6*I6,2)</f>
        <v>0</v>
      </c>
      <c r="M6" s="62" t="s">
        <v>312</v>
      </c>
      <c r="N6" s="63">
        <f>IFERROR(IF('Overzicht BTA'!P15=0,0,IF($M$2=Bron!$B$11,IF(MATCH(Bron!$B$11,'uitgebreide raming'!$B$56:$I$56,0)=1,'uitgebreide raming'!B63,IF(MATCH(Bron!$B$11,'uitgebreide raming'!$B$56:$I$56,0)=3,'uitgebreide raming'!D63,IF(MATCH(Bron!$B$11,'uitgebreide raming'!$B$56:$I$56,0)=5,'uitgebreide raming'!F63,IF(MATCH(Bron!$B$11,'uitgebreide raming'!$B$56:$I$56,0)=7,'uitgebreide raming'!H63,0)))),IF(MATCH(Bron!$B$12,'uitgebreide raming'!$B$56:$I$56,0)=1,'uitgebreide raming'!B63,IF(MATCH(Bron!$B$12,'uitgebreide raming'!$B$56:$I$56,0)=3,'uitgebreide raming'!D63,IF(MATCH(Bron!$B$12,'uitgebreide raming'!$B$56:$I$56,0)=5,'uitgebreide raming'!F63,IF(MATCH(Bron!$B$12,'uitgebreide raming'!$B$56:$I$56,0)=7,'uitgebreide raming'!H63,0)))))),0)</f>
        <v>0</v>
      </c>
      <c r="O6" s="64">
        <v>0.6</v>
      </c>
      <c r="P6" s="62"/>
      <c r="Q6" s="63">
        <f>ROUND(N6*O6,2)</f>
        <v>0</v>
      </c>
    </row>
    <row r="7" spans="1:17" x14ac:dyDescent="0.3">
      <c r="A7" s="538" t="s">
        <v>313</v>
      </c>
      <c r="B7" s="539">
        <f>IF('Overzicht BTA'!$D$15=0,0,'uitgebreide raming'!$J12)</f>
        <v>0</v>
      </c>
      <c r="C7" s="64">
        <v>0.6</v>
      </c>
      <c r="D7" s="62"/>
      <c r="E7" s="63">
        <f>ROUND(B7*C7,2)</f>
        <v>0</v>
      </c>
      <c r="G7" s="538" t="s">
        <v>313</v>
      </c>
      <c r="H7" s="539">
        <f>IF('Overzicht BTA'!$J$15=0,0,'uitgebreide raming'!$J39)</f>
        <v>0</v>
      </c>
      <c r="I7" s="64">
        <v>0.6</v>
      </c>
      <c r="J7" s="62"/>
      <c r="K7" s="63">
        <f>ROUND(H7*I7,2)</f>
        <v>0</v>
      </c>
      <c r="M7" s="538" t="s">
        <v>313</v>
      </c>
      <c r="N7" s="537">
        <f>IF('Overzicht BTA'!$P$15=0,0,'uitgebreide raming'!$J66)</f>
        <v>0</v>
      </c>
      <c r="O7" s="64">
        <v>0.6</v>
      </c>
      <c r="P7" s="62"/>
      <c r="Q7" s="63">
        <f>ROUND(N7*O7,2)</f>
        <v>0</v>
      </c>
    </row>
    <row r="8" spans="1:17" x14ac:dyDescent="0.3">
      <c r="A8" s="1238" t="s">
        <v>287</v>
      </c>
      <c r="B8" s="1240"/>
      <c r="C8" s="9"/>
      <c r="D8" s="132" t="s">
        <v>19</v>
      </c>
      <c r="E8" s="24">
        <f>MIN(E5,E6+E7)</f>
        <v>0</v>
      </c>
      <c r="G8" s="1238" t="s">
        <v>287</v>
      </c>
      <c r="H8" s="1239"/>
      <c r="I8" s="9"/>
      <c r="J8" s="132" t="s">
        <v>19</v>
      </c>
      <c r="K8" s="24">
        <f>MIN(K5,K6+K7)</f>
        <v>0</v>
      </c>
      <c r="M8" s="1238" t="s">
        <v>287</v>
      </c>
      <c r="N8" s="1239"/>
      <c r="O8" s="9"/>
      <c r="P8" s="132" t="s">
        <v>19</v>
      </c>
      <c r="Q8" s="24">
        <f>MIN(Q5,Q6+Q7)</f>
        <v>0</v>
      </c>
    </row>
    <row r="9" spans="1:17" x14ac:dyDescent="0.3">
      <c r="A9" s="8" t="s">
        <v>279</v>
      </c>
      <c r="B9" s="8"/>
      <c r="C9" s="9">
        <v>0.1</v>
      </c>
      <c r="D9" s="9"/>
      <c r="E9" s="24">
        <f>ROUND(E8*C9,2)</f>
        <v>0</v>
      </c>
      <c r="G9" s="8" t="s">
        <v>279</v>
      </c>
      <c r="H9" s="8"/>
      <c r="I9" s="9">
        <v>0.1</v>
      </c>
      <c r="J9" s="9"/>
      <c r="K9" s="24">
        <f>ROUND(K8*I9,2)</f>
        <v>0</v>
      </c>
      <c r="M9" s="8" t="s">
        <v>279</v>
      </c>
      <c r="N9" s="8"/>
      <c r="O9" s="9">
        <v>0.1</v>
      </c>
      <c r="P9" s="9"/>
      <c r="Q9" s="24">
        <f>ROUND(Q8*O9,2)</f>
        <v>0</v>
      </c>
    </row>
    <row r="10" spans="1:17" x14ac:dyDescent="0.3">
      <c r="A10" s="8" t="s">
        <v>64</v>
      </c>
      <c r="B10" s="8" t="s">
        <v>293</v>
      </c>
      <c r="C10" s="97">
        <f>IF(A2=Bron!$B$11,'Overzicht BTA'!C17,IF(A2=Bron!$B$12,'Overzicht BTA'!C16,0))</f>
        <v>0</v>
      </c>
      <c r="D10" s="9"/>
      <c r="E10" s="24">
        <f>ROUND(E8*C10,2)</f>
        <v>0</v>
      </c>
      <c r="G10" s="8" t="s">
        <v>64</v>
      </c>
      <c r="H10" s="8" t="s">
        <v>293</v>
      </c>
      <c r="I10" s="97">
        <f>IF(G2=Bron!$B$11,'Overzicht BTA'!I17,IF(G2=Bron!$B$12,'Overzicht BTA'!I16,0))</f>
        <v>0</v>
      </c>
      <c r="J10" s="9"/>
      <c r="K10" s="24">
        <f>ROUND(K8*I10,2)</f>
        <v>0</v>
      </c>
      <c r="M10" s="8" t="s">
        <v>64</v>
      </c>
      <c r="N10" s="8" t="s">
        <v>293</v>
      </c>
      <c r="O10" s="97">
        <f>IF(M2=Bron!$B$11,'Overzicht BTA'!O17,IF(M2=Bron!$B$12,'Overzicht BTA'!O16,0))</f>
        <v>0</v>
      </c>
      <c r="P10" s="9"/>
      <c r="Q10" s="24">
        <f>ROUND(Q8*O10,2)</f>
        <v>0</v>
      </c>
    </row>
    <row r="11" spans="1:17" ht="15" thickBot="1" x14ac:dyDescent="0.35">
      <c r="A11" s="8" t="s">
        <v>64</v>
      </c>
      <c r="B11" s="50" t="s">
        <v>281</v>
      </c>
      <c r="C11" s="9">
        <v>0.21</v>
      </c>
      <c r="D11" s="26"/>
      <c r="E11" s="27">
        <f>ROUND(E9*C11,2)</f>
        <v>0</v>
      </c>
      <c r="G11" s="8" t="s">
        <v>64</v>
      </c>
      <c r="H11" s="50" t="s">
        <v>281</v>
      </c>
      <c r="I11" s="9">
        <v>0.21</v>
      </c>
      <c r="J11" s="26"/>
      <c r="K11" s="27">
        <f>ROUND(K9*I11,2)</f>
        <v>0</v>
      </c>
      <c r="M11" s="8" t="s">
        <v>64</v>
      </c>
      <c r="N11" s="50" t="s">
        <v>281</v>
      </c>
      <c r="O11" s="9">
        <v>0.21</v>
      </c>
      <c r="P11" s="26"/>
      <c r="Q11" s="27">
        <f>ROUND(Q9*O11,2)</f>
        <v>0</v>
      </c>
    </row>
    <row r="12" spans="1:17" ht="15" thickTop="1" x14ac:dyDescent="0.3">
      <c r="A12" s="28" t="s">
        <v>282</v>
      </c>
      <c r="B12" s="29"/>
      <c r="C12" s="30"/>
      <c r="D12" s="31"/>
      <c r="E12" s="80">
        <f>SUM(E8:E11)</f>
        <v>0</v>
      </c>
      <c r="G12" s="28" t="s">
        <v>282</v>
      </c>
      <c r="H12" s="29"/>
      <c r="I12" s="30"/>
      <c r="J12" s="31"/>
      <c r="K12" s="80">
        <f>SUM(K8:K11)</f>
        <v>0</v>
      </c>
      <c r="M12" s="28" t="s">
        <v>282</v>
      </c>
      <c r="N12" s="29"/>
      <c r="O12" s="30"/>
      <c r="P12" s="31"/>
      <c r="Q12" s="80">
        <f>SUM(Q8:Q11)</f>
        <v>0</v>
      </c>
    </row>
    <row r="14" spans="1:17" x14ac:dyDescent="0.3">
      <c r="A14" s="134" t="s">
        <v>72</v>
      </c>
      <c r="B14" s="135"/>
      <c r="C14" s="135"/>
      <c r="D14" s="135"/>
      <c r="E14" s="136"/>
      <c r="G14" s="134" t="s">
        <v>72</v>
      </c>
      <c r="H14" s="135"/>
      <c r="I14" s="135"/>
      <c r="J14" s="135"/>
      <c r="K14" s="136"/>
      <c r="M14" s="134" t="s">
        <v>72</v>
      </c>
      <c r="N14" s="135"/>
      <c r="O14" s="135"/>
      <c r="P14" s="135"/>
      <c r="Q14" s="136"/>
    </row>
    <row r="15" spans="1:17" x14ac:dyDescent="0.3">
      <c r="A15" s="1235" t="s">
        <v>300</v>
      </c>
      <c r="B15" s="1236"/>
      <c r="C15" s="111"/>
      <c r="D15" s="111"/>
      <c r="E15" s="111"/>
      <c r="G15" s="1235" t="s">
        <v>300</v>
      </c>
      <c r="H15" s="1236"/>
      <c r="I15" s="111"/>
      <c r="J15" s="111"/>
      <c r="K15" s="111"/>
      <c r="M15" s="1235" t="s">
        <v>300</v>
      </c>
      <c r="N15" s="1236"/>
      <c r="O15" s="111"/>
      <c r="P15" s="111"/>
      <c r="Q15" s="111"/>
    </row>
    <row r="16" spans="1:17" x14ac:dyDescent="0.3">
      <c r="A16" s="369" t="s">
        <v>301</v>
      </c>
      <c r="B16" s="369" t="s">
        <v>275</v>
      </c>
      <c r="C16" s="369" t="s">
        <v>276</v>
      </c>
      <c r="D16" s="369"/>
      <c r="E16" s="369" t="s">
        <v>277</v>
      </c>
      <c r="G16" s="369" t="s">
        <v>301</v>
      </c>
      <c r="H16" s="369" t="s">
        <v>275</v>
      </c>
      <c r="I16" s="369" t="s">
        <v>276</v>
      </c>
      <c r="J16" s="369"/>
      <c r="K16" s="369" t="s">
        <v>277</v>
      </c>
      <c r="M16" s="369" t="s">
        <v>301</v>
      </c>
      <c r="N16" s="369" t="s">
        <v>275</v>
      </c>
      <c r="O16" s="369" t="s">
        <v>276</v>
      </c>
      <c r="P16" s="369"/>
      <c r="Q16" s="369" t="s">
        <v>277</v>
      </c>
    </row>
    <row r="17" spans="1:17" ht="15" thickBot="1" x14ac:dyDescent="0.35">
      <c r="A17" s="368">
        <f>IFERROR(IF(AND('Overzicht BTA'!D17=0,'Overzicht BTA'!D16=0),0,IF(A14=Bron!$B$10,IF(MATCH(Bron!$B$10,'Overzicht BTA'!B$7:B$10,0)=1,'Overzicht BTA'!D7,IF(MATCH(Bron!$B$10,'Overzicht BTA'!B$7:B$10,0)=2,'Overzicht BTA'!D8,IF(MATCH(Bron!$B$10,'Overzicht BTA'!B$7:B$10,0)=3,'Overzicht BTA'!D9,IF(MATCH(Bron!$B$10,'Overzicht BTA'!B$7:B$10,0)=4,'Overzicht BTA'!D10,0)))))),0)</f>
        <v>0</v>
      </c>
      <c r="B17" s="909">
        <f>VLOOKUP('Overzicht BTA'!$C$3,'Capaciteiten &amp; forfaits'!$B$3:$H$76,6,FALSE)</f>
        <v>0</v>
      </c>
      <c r="C17" s="71">
        <f>'Overzicht BTA'!$D$36</f>
        <v>2.3958200000000001</v>
      </c>
      <c r="D17" s="219" t="s">
        <v>29</v>
      </c>
      <c r="E17" s="220">
        <f>ROUND(A17*B17*C17,2)</f>
        <v>0</v>
      </c>
      <c r="G17" s="368">
        <f>IFERROR(IF(AND('Overzicht BTA'!J17=0,'Overzicht BTA'!J16=0),0,IF(G14=Bron!$B$10,IF(MATCH(Bron!$B$10,'Overzicht BTA'!H$7:H$10,0)=1,'Overzicht BTA'!J7,IF(MATCH(Bron!$B$10,'Overzicht BTA'!H$7:H$10,0)=2,'Overzicht BTA'!J8,IF(MATCH(Bron!$B$10,'Overzicht BTA'!H$7:H$10,0)=3,'Overzicht BTA'!J9,IF(MATCH(Bron!$B$10,'Overzicht BTA'!H$7:H$10,0)=4,'Overzicht BTA'!J10,0)))))),0)</f>
        <v>0</v>
      </c>
      <c r="H17" s="909">
        <f>VLOOKUP(H1,'Capaciteiten &amp; forfaits'!$B$3:$H$76,6,FALSE)</f>
        <v>0</v>
      </c>
      <c r="I17" s="71">
        <f>'Overzicht BTA'!$D$36</f>
        <v>2.3958200000000001</v>
      </c>
      <c r="J17" s="219" t="s">
        <v>29</v>
      </c>
      <c r="K17" s="220">
        <f>ROUND(G17*H17*I17,2)</f>
        <v>0</v>
      </c>
      <c r="M17" s="368">
        <f>IFERROR(IF(AND('Overzicht BTA'!P17=0,'Overzicht BTA'!P16=0),0,IF(M14=Bron!$B$10,IF(MATCH(Bron!$B$10,'Overzicht BTA'!N$7:N$10,0)=1,'Overzicht BTA'!P7,IF(MATCH(Bron!$B$10,'Overzicht BTA'!N$7:N$10,0)=2,'Overzicht BTA'!P8,IF(MATCH(Bron!$B$10,'Overzicht BTA'!N$7:N$10,0)=3,'Overzicht BTA'!P9,IF(MATCH(Bron!$B$10,'Overzicht BTA'!N$7:N$10,0)=4,'Overzicht BTA'!P10,0)))))),0)</f>
        <v>0</v>
      </c>
      <c r="N17" s="909">
        <f>VLOOKUP(N1,'Capaciteiten &amp; forfaits'!$B$3:$H$76,6,FALSE)</f>
        <v>0</v>
      </c>
      <c r="O17" s="71">
        <f>'Overzicht BTA'!$D$36</f>
        <v>2.3958200000000001</v>
      </c>
      <c r="P17" s="219" t="s">
        <v>29</v>
      </c>
      <c r="Q17" s="220">
        <f>ROUND(M17*N17*O17,2)</f>
        <v>0</v>
      </c>
    </row>
    <row r="18" spans="1:17" ht="15" thickBot="1" x14ac:dyDescent="0.35">
      <c r="A18" s="5" t="s">
        <v>302</v>
      </c>
      <c r="B18" s="8"/>
      <c r="C18" s="9">
        <v>0.1</v>
      </c>
      <c r="D18" s="9"/>
      <c r="E18" s="24">
        <f>ROUND(E17*C18,2)</f>
        <v>0</v>
      </c>
      <c r="G18" s="5" t="s">
        <v>302</v>
      </c>
      <c r="H18" s="8"/>
      <c r="I18" s="9">
        <v>0.1</v>
      </c>
      <c r="J18" s="9"/>
      <c r="K18" s="24">
        <f>ROUND(K17*I18,2)</f>
        <v>0</v>
      </c>
      <c r="M18" s="5" t="s">
        <v>302</v>
      </c>
      <c r="N18" s="8"/>
      <c r="O18" s="9">
        <v>0.1</v>
      </c>
      <c r="P18" s="9"/>
      <c r="Q18" s="24">
        <f>ROUND(Q17*O18,2)</f>
        <v>0</v>
      </c>
    </row>
    <row r="19" spans="1:17" x14ac:dyDescent="0.3">
      <c r="A19" s="8" t="s">
        <v>64</v>
      </c>
      <c r="B19" s="8" t="s">
        <v>293</v>
      </c>
      <c r="C19" s="97">
        <f>'Overzicht BTA'!C15</f>
        <v>0</v>
      </c>
      <c r="D19" s="9"/>
      <c r="E19" s="24">
        <f>ROUND(E17*C19,2)</f>
        <v>0</v>
      </c>
      <c r="G19" s="8" t="s">
        <v>64</v>
      </c>
      <c r="H19" s="8" t="s">
        <v>293</v>
      </c>
      <c r="I19" s="97">
        <f>'Overzicht BTA'!I15</f>
        <v>0</v>
      </c>
      <c r="J19" s="9"/>
      <c r="K19" s="24">
        <f>ROUND(K17*I19,2)</f>
        <v>0</v>
      </c>
      <c r="M19" s="8" t="s">
        <v>64</v>
      </c>
      <c r="N19" s="8" t="s">
        <v>293</v>
      </c>
      <c r="O19" s="97">
        <f>'Overzicht BTA'!O15</f>
        <v>0</v>
      </c>
      <c r="P19" s="9"/>
      <c r="Q19" s="24">
        <f>ROUND(Q17*O19,2)</f>
        <v>0</v>
      </c>
    </row>
    <row r="20" spans="1:17" ht="15" thickBot="1" x14ac:dyDescent="0.35">
      <c r="A20" s="8" t="s">
        <v>64</v>
      </c>
      <c r="B20" s="50" t="s">
        <v>281</v>
      </c>
      <c r="C20" s="9">
        <v>0.21</v>
      </c>
      <c r="D20" s="26"/>
      <c r="E20" s="27">
        <f>ROUND(E18*C20,2)</f>
        <v>0</v>
      </c>
      <c r="G20" s="8" t="s">
        <v>64</v>
      </c>
      <c r="H20" s="50" t="s">
        <v>281</v>
      </c>
      <c r="I20" s="9">
        <v>0.21</v>
      </c>
      <c r="J20" s="26"/>
      <c r="K20" s="27">
        <f>ROUND(K18*I20,2)</f>
        <v>0</v>
      </c>
      <c r="M20" s="8" t="s">
        <v>64</v>
      </c>
      <c r="N20" s="50" t="s">
        <v>281</v>
      </c>
      <c r="O20" s="9">
        <v>0.21</v>
      </c>
      <c r="P20" s="26"/>
      <c r="Q20" s="27">
        <f>ROUND(Q18*O20,2)</f>
        <v>0</v>
      </c>
    </row>
    <row r="21" spans="1:17" ht="15" thickTop="1" x14ac:dyDescent="0.3">
      <c r="A21" s="28" t="s">
        <v>282</v>
      </c>
      <c r="B21" s="29"/>
      <c r="C21" s="30"/>
      <c r="D21" s="31"/>
      <c r="E21" s="95">
        <f>SUM(E17:E20)</f>
        <v>0</v>
      </c>
      <c r="G21" s="28" t="s">
        <v>282</v>
      </c>
      <c r="H21" s="29"/>
      <c r="I21" s="30"/>
      <c r="J21" s="31"/>
      <c r="K21" s="95">
        <f>SUM(K17:K20)</f>
        <v>0</v>
      </c>
      <c r="M21" s="28" t="s">
        <v>282</v>
      </c>
      <c r="N21" s="29"/>
      <c r="O21" s="30"/>
      <c r="P21" s="31"/>
      <c r="Q21" s="95">
        <f>SUM(Q17:Q20)</f>
        <v>0</v>
      </c>
    </row>
    <row r="23" spans="1:17" x14ac:dyDescent="0.3">
      <c r="A23" s="1232" t="s">
        <v>303</v>
      </c>
      <c r="B23" s="1233"/>
      <c r="C23" s="153"/>
      <c r="D23" s="154"/>
      <c r="E23" s="153"/>
      <c r="G23" s="1232" t="s">
        <v>303</v>
      </c>
      <c r="H23" s="1233"/>
      <c r="I23" s="153"/>
      <c r="J23" s="154"/>
      <c r="K23" s="153"/>
      <c r="M23" s="1232" t="s">
        <v>303</v>
      </c>
      <c r="N23" s="1233"/>
      <c r="O23" s="153"/>
      <c r="P23" s="154"/>
      <c r="Q23" s="153"/>
    </row>
    <row r="24" spans="1:17" x14ac:dyDescent="0.3">
      <c r="A24" s="70" t="s">
        <v>304</v>
      </c>
      <c r="B24" s="32" t="s">
        <v>275</v>
      </c>
      <c r="C24" s="32" t="s">
        <v>276</v>
      </c>
      <c r="D24" s="33"/>
      <c r="E24" s="32" t="s">
        <v>277</v>
      </c>
      <c r="G24" s="70" t="s">
        <v>304</v>
      </c>
      <c r="H24" s="32" t="s">
        <v>275</v>
      </c>
      <c r="I24" s="32" t="s">
        <v>276</v>
      </c>
      <c r="J24" s="33"/>
      <c r="K24" s="32" t="s">
        <v>277</v>
      </c>
      <c r="M24" s="70" t="s">
        <v>304</v>
      </c>
      <c r="N24" s="32" t="s">
        <v>275</v>
      </c>
      <c r="O24" s="32" t="s">
        <v>276</v>
      </c>
      <c r="P24" s="33"/>
      <c r="Q24" s="32" t="s">
        <v>277</v>
      </c>
    </row>
    <row r="25" spans="1:17" x14ac:dyDescent="0.3">
      <c r="A25" s="367">
        <f>A17+A5</f>
        <v>0</v>
      </c>
      <c r="B25" s="909">
        <f>VLOOKUP('Overzicht BTA'!$C$3,'Capaciteiten &amp; forfaits'!$B$3:$H$76,7,FALSE)</f>
        <v>0</v>
      </c>
      <c r="C25" s="71">
        <f>'Overzicht BTA'!$D$36</f>
        <v>2.3958200000000001</v>
      </c>
      <c r="D25" s="72"/>
      <c r="E25" s="73">
        <f>ROUND(A25*B25*C25,2)</f>
        <v>0</v>
      </c>
      <c r="G25" s="126">
        <f>G17+G5</f>
        <v>0</v>
      </c>
      <c r="H25" s="909">
        <f>VLOOKUP('Overzicht BTA'!$C$3,'Capaciteiten &amp; forfaits'!$B$3:$H$76,7,FALSE)</f>
        <v>0</v>
      </c>
      <c r="I25" s="71">
        <f>'Overzicht BTA'!$D$36</f>
        <v>2.3958200000000001</v>
      </c>
      <c r="J25" s="72"/>
      <c r="K25" s="73">
        <f>ROUND(G25*H25*I25,2)</f>
        <v>0</v>
      </c>
      <c r="M25" s="126">
        <f>M17+M5</f>
        <v>0</v>
      </c>
      <c r="N25" s="909">
        <f>VLOOKUP('Overzicht BTA'!$C$3,'Capaciteiten &amp; forfaits'!$B$3:$H$76,7,FALSE)</f>
        <v>0</v>
      </c>
      <c r="O25" s="71">
        <f>'Overzicht BTA'!$D$36</f>
        <v>2.3958200000000001</v>
      </c>
      <c r="P25" s="72"/>
      <c r="Q25" s="73">
        <f>ROUND(M25*N25*O25,2)</f>
        <v>0</v>
      </c>
    </row>
    <row r="26" spans="1:17" x14ac:dyDescent="0.3">
      <c r="A26" s="65" t="s">
        <v>305</v>
      </c>
      <c r="B26" s="63">
        <f>IFERROR(IF('Overzicht BTA'!D15=0,0,IF(MATCH(Bron!$B$10,'uitgebreide raming'!$B$2:$I$2,0)=1,'uitgebreide raming'!B10,IF(MATCH(Bron!$B$10,'uitgebreide raming'!$B$2:$I$2,0)=3,'uitgebreide raming'!D10,IF(MATCH(Bron!$B$10,'uitgebreide raming'!$B$2:$I$2,0)=5,'uitgebreide raming'!F10,IF(MATCH(Bron!$B$10,'uitgebreide raming'!$B$2:$I$2,0)=7,'uitgebreide raming'!H10,0)))))+IF('Overzicht BTA'!D17=0,0,IF(MATCH(Bron!$B$11,'uitgebreide raming'!$B$2:$I$2,0)=1,'uitgebreide raming'!B10,IF(MATCH(Bron!$B$11,'uitgebreide raming'!$B$2:$I$2,0)=3,'uitgebreide raming'!D10,IF(MATCH(Bron!$B$11,'uitgebreide raming'!$B$2:$I$2,0)=5,'uitgebreide raming'!F10,IF(MATCH(Bron!$B$11,'uitgebreide raming'!$B$2:$I$2,0)=7,'uitgebreide raming'!H10)))))+IF('Overzicht BTA'!D16=0,0,IF(MATCH(Bron!$B$12,'uitgebreide raming'!$B$2:$I$2,0)=1,'uitgebreide raming'!B10,IF(MATCH(Bron!$B$12,'uitgebreide raming'!$B$2:$I$2,0)=3,'uitgebreide raming'!D10,IF(MATCH(Bron!$B$12,'uitgebreide raming'!$B$2:$I$2,0)=5,'uitgebreide raming'!F10,IF(MATCH(Bron!$B$12,'uitgebreide raming'!$B$2:$I$2,0)=7,'uitgebreide raming'!H10,0))))),0)</f>
        <v>0</v>
      </c>
      <c r="C26" s="66">
        <v>0.6</v>
      </c>
      <c r="D26" s="67"/>
      <c r="E26" s="68">
        <f>ROUND(B26*C26,2)</f>
        <v>0</v>
      </c>
      <c r="G26" s="65" t="s">
        <v>305</v>
      </c>
      <c r="H26" s="63">
        <f>IF('Overzicht BTA'!D15=0,0,IF(MATCH(Bron!$B$10,'uitgebreide raming'!$B$2:$I$2,0)=1,'uitgebreide raming'!B37,IF(MATCH(Bron!$B$10,'uitgebreide raming'!$B$2:$I$2,0)=3,'uitgebreide raming'!D37,IF(MATCH(Bron!$B$10,'uitgebreide raming'!$B$2:$I$2,0)=5,'uitgebreide raming'!F37,IF(MATCH(Bron!$B$10,'uitgebreide raming'!$B$2:$I$2,0)=7,'uitgebreide raming'!H37,0)))))+IF('Overzicht BTA'!D17=0,0,IF(MATCH(Bron!$B$11,'uitgebreide raming'!$B$2:$I$2,0)=1,'uitgebreide raming'!B37,IF(MATCH(Bron!$B$11,'uitgebreide raming'!$B$2:$I$2,0)=3,'uitgebreide raming'!D37,IF(MATCH(Bron!$B$11,'uitgebreide raming'!$B$2:$I$2,0)=5,'uitgebreide raming'!F37,IF(MATCH(Bron!$B$11,'uitgebreide raming'!$B$2:$I$2,0)=7,'uitgebreide raming'!H37,IF(MATCH(Bron!$B$12,'uitgebreide raming'!$B$2:$I$2,0)=1,'uitgebreide raming'!B37,IF(MATCH(Bron!$B$12,'uitgebreide raming'!$B$2:$I$2,0)=3,'uitgebreide raming'!D37,IF(MATCH(Bron!$B$12,'uitgebreide raming'!$B$2:$I$2,0)=5,'uitgebreide raming'!F37,IF(MATCH(Bron!$B$12,'uitgebreide raming'!$B$2:$I$2,0)=7,'uitgebreide raming'!H37,0)))))))))</f>
        <v>0</v>
      </c>
      <c r="I26" s="66">
        <v>0.6</v>
      </c>
      <c r="J26" s="67"/>
      <c r="K26" s="68">
        <f>ROUND(H26*I26,2)</f>
        <v>0</v>
      </c>
      <c r="M26" s="65" t="s">
        <v>305</v>
      </c>
      <c r="N26" s="63">
        <f>IF('Overzicht BTA'!D15=0,0,IF(MATCH(Bron!$B$10,'uitgebreide raming'!$B$2:$I$2,0)=1,'uitgebreide raming'!B64,IF(MATCH(Bron!$B$10,'uitgebreide raming'!$B$2:$I$2,0)=3,'uitgebreide raming'!D64,IF(MATCH(Bron!$B$10,'uitgebreide raming'!$B$2:$I$2,0)=5,'uitgebreide raming'!F64,IF(MATCH(Bron!$B$10,'uitgebreide raming'!$B$2:$I$2,0)=7,'uitgebreide raming'!H64,0)))))+IF('Overzicht BTA'!D17=0,0,IF(MATCH(Bron!$B$11,'uitgebreide raming'!$B$2:$I$2,0)=1,'uitgebreide raming'!B64,IF(MATCH(Bron!$B$11,'uitgebreide raming'!$B$2:$I$2,0)=3,'uitgebreide raming'!D64,IF(MATCH(Bron!$B$11,'uitgebreide raming'!$B$2:$I$2,0)=5,'uitgebreide raming'!F64,IF(MATCH(Bron!$B$11,'uitgebreide raming'!$B$2:$I$2,0)=7,'uitgebreide raming'!H64,IF(MATCH(Bron!$B$12,'uitgebreide raming'!$B$2:$I$2,0)=1,'uitgebreide raming'!B64,IF(MATCH(Bron!$B$12,'uitgebreide raming'!$B$2:$I$2,0)=3,'uitgebreide raming'!D64,IF(MATCH(Bron!$B$12,'uitgebreide raming'!$B$2:$I$2,0)=5,'uitgebreide raming'!F64,IF(MATCH(Bron!$B$12,'uitgebreide raming'!$B$2:$I$2,0)=7,'uitgebreide raming'!H64,0)))))))))</f>
        <v>0</v>
      </c>
      <c r="O26" s="66">
        <v>0.6</v>
      </c>
      <c r="P26" s="67"/>
      <c r="Q26" s="68">
        <f>ROUND(N26*O26,2)</f>
        <v>0</v>
      </c>
    </row>
    <row r="27" spans="1:17" x14ac:dyDescent="0.3">
      <c r="A27" s="1220" t="s">
        <v>287</v>
      </c>
      <c r="B27" s="1221"/>
      <c r="C27" s="20"/>
      <c r="D27" s="133" t="s">
        <v>32</v>
      </c>
      <c r="E27" s="34">
        <f>MIN(E25,E26)</f>
        <v>0</v>
      </c>
      <c r="G27" s="1220" t="s">
        <v>287</v>
      </c>
      <c r="H27" s="1221"/>
      <c r="I27" s="20"/>
      <c r="J27" s="133" t="s">
        <v>32</v>
      </c>
      <c r="K27" s="34">
        <f>MIN(K25,K26)</f>
        <v>0</v>
      </c>
      <c r="M27" s="1220" t="s">
        <v>287</v>
      </c>
      <c r="N27" s="1221"/>
      <c r="O27" s="20"/>
      <c r="P27" s="133" t="s">
        <v>32</v>
      </c>
      <c r="Q27" s="34">
        <f>MIN(Q25,Q26)</f>
        <v>0</v>
      </c>
    </row>
    <row r="28" spans="1:17" x14ac:dyDescent="0.3">
      <c r="A28" s="22" t="s">
        <v>306</v>
      </c>
      <c r="B28" s="22"/>
      <c r="C28" s="35">
        <v>0.1</v>
      </c>
      <c r="D28" s="22"/>
      <c r="E28" s="34">
        <f>ROUND(E27*C28,2)</f>
        <v>0</v>
      </c>
      <c r="G28" s="22" t="s">
        <v>306</v>
      </c>
      <c r="H28" s="22"/>
      <c r="I28" s="35">
        <v>0.1</v>
      </c>
      <c r="J28" s="22"/>
      <c r="K28" s="34">
        <f>ROUND(K27*I28,2)</f>
        <v>0</v>
      </c>
      <c r="M28" s="22" t="s">
        <v>306</v>
      </c>
      <c r="N28" s="22"/>
      <c r="O28" s="35">
        <v>0.1</v>
      </c>
      <c r="P28" s="22"/>
      <c r="Q28" s="34">
        <f>ROUND(Q27*O28,2)</f>
        <v>0</v>
      </c>
    </row>
    <row r="29" spans="1:17" x14ac:dyDescent="0.3">
      <c r="A29" s="22" t="s">
        <v>64</v>
      </c>
      <c r="B29" s="22" t="s">
        <v>307</v>
      </c>
      <c r="C29" s="35">
        <v>0.21</v>
      </c>
      <c r="D29" s="22"/>
      <c r="E29" s="34">
        <f>ROUND(E27*C29,2)</f>
        <v>0</v>
      </c>
      <c r="G29" s="22" t="s">
        <v>64</v>
      </c>
      <c r="H29" s="22" t="s">
        <v>307</v>
      </c>
      <c r="I29" s="35">
        <v>0.21</v>
      </c>
      <c r="J29" s="22"/>
      <c r="K29" s="34">
        <f>ROUND(K27*I29,2)</f>
        <v>0</v>
      </c>
      <c r="M29" s="22" t="s">
        <v>64</v>
      </c>
      <c r="N29" s="22" t="s">
        <v>307</v>
      </c>
      <c r="O29" s="35">
        <v>0.21</v>
      </c>
      <c r="P29" s="22"/>
      <c r="Q29" s="34">
        <f>ROUND(Q27*O29,2)</f>
        <v>0</v>
      </c>
    </row>
    <row r="30" spans="1:17" ht="15" thickBot="1" x14ac:dyDescent="0.35">
      <c r="A30" s="36" t="s">
        <v>294</v>
      </c>
      <c r="B30" s="36" t="s">
        <v>308</v>
      </c>
      <c r="C30" s="37">
        <v>0.21</v>
      </c>
      <c r="D30" s="36"/>
      <c r="E30" s="38">
        <f>ROUND(E28*C30,2)</f>
        <v>0</v>
      </c>
      <c r="G30" s="36" t="s">
        <v>294</v>
      </c>
      <c r="H30" s="36" t="s">
        <v>308</v>
      </c>
      <c r="I30" s="37">
        <v>0.21</v>
      </c>
      <c r="J30" s="36"/>
      <c r="K30" s="38">
        <f>ROUND(K28*I30,2)</f>
        <v>0</v>
      </c>
      <c r="M30" s="36" t="s">
        <v>294</v>
      </c>
      <c r="N30" s="36" t="s">
        <v>308</v>
      </c>
      <c r="O30" s="37">
        <v>0.21</v>
      </c>
      <c r="P30" s="36"/>
      <c r="Q30" s="38">
        <f>ROUND(Q28*O30,2)</f>
        <v>0</v>
      </c>
    </row>
    <row r="31" spans="1:17" ht="15" thickTop="1" x14ac:dyDescent="0.3">
      <c r="A31" s="22" t="s">
        <v>282</v>
      </c>
      <c r="B31" s="22"/>
      <c r="C31" s="35"/>
      <c r="D31" s="22"/>
      <c r="E31" s="96">
        <f>SUM(E28:E30)+E27</f>
        <v>0</v>
      </c>
      <c r="G31" s="22" t="s">
        <v>282</v>
      </c>
      <c r="H31" s="22"/>
      <c r="I31" s="35"/>
      <c r="J31" s="22"/>
      <c r="K31" s="96">
        <f>SUM(K28:K30)+K27</f>
        <v>0</v>
      </c>
      <c r="M31" s="22" t="s">
        <v>282</v>
      </c>
      <c r="N31" s="22"/>
      <c r="O31" s="35"/>
      <c r="P31" s="22"/>
      <c r="Q31" s="96">
        <f>SUM(Q28:Q30)+Q27</f>
        <v>0</v>
      </c>
    </row>
    <row r="32" spans="1:17" ht="15" outlineLevel="1" thickBot="1" x14ac:dyDescent="0.35">
      <c r="A32" s="18"/>
      <c r="B32" s="18"/>
      <c r="C32" s="39"/>
      <c r="D32" s="18"/>
      <c r="G32" s="18"/>
      <c r="H32" s="18"/>
      <c r="I32" s="39"/>
      <c r="J32" s="18"/>
      <c r="M32" s="18"/>
      <c r="N32" s="18"/>
      <c r="O32" s="39"/>
      <c r="P32" s="18"/>
    </row>
    <row r="33" spans="1:23" outlineLevel="1" x14ac:dyDescent="0.3">
      <c r="A33" s="1014" t="s">
        <v>283</v>
      </c>
      <c r="B33" s="1015"/>
      <c r="C33" s="1015"/>
      <c r="D33" s="1016"/>
      <c r="E33" s="1016"/>
      <c r="G33" s="1014" t="s">
        <v>283</v>
      </c>
      <c r="H33" s="1015"/>
      <c r="I33" s="1015"/>
      <c r="J33" s="1016"/>
      <c r="K33" s="1016"/>
      <c r="M33" s="1014" t="s">
        <v>283</v>
      </c>
      <c r="N33" s="1015"/>
      <c r="O33" s="1015"/>
      <c r="P33" s="1016"/>
      <c r="Q33" s="1016"/>
      <c r="S33" s="23"/>
      <c r="T33" s="23"/>
      <c r="U33" s="23"/>
      <c r="V33" s="496"/>
      <c r="W33" s="149"/>
    </row>
    <row r="34" spans="1:23" outlineLevel="1" x14ac:dyDescent="0.3">
      <c r="A34" s="1025" t="s">
        <v>274</v>
      </c>
      <c r="B34" s="1025" t="s">
        <v>275</v>
      </c>
      <c r="C34" s="1025" t="s">
        <v>276</v>
      </c>
      <c r="D34" s="1025"/>
      <c r="E34" s="1025" t="s">
        <v>277</v>
      </c>
      <c r="G34" s="1025" t="s">
        <v>274</v>
      </c>
      <c r="H34" s="1025" t="s">
        <v>275</v>
      </c>
      <c r="I34" s="1025" t="s">
        <v>276</v>
      </c>
      <c r="J34" s="1025"/>
      <c r="K34" s="1025" t="s">
        <v>277</v>
      </c>
      <c r="M34" s="1025" t="s">
        <v>274</v>
      </c>
      <c r="N34" s="1025" t="s">
        <v>275</v>
      </c>
      <c r="O34" s="1025" t="s">
        <v>276</v>
      </c>
      <c r="P34" s="1025"/>
      <c r="Q34" s="1025" t="s">
        <v>277</v>
      </c>
      <c r="S34" s="23"/>
      <c r="T34" s="23"/>
      <c r="U34" s="23"/>
      <c r="V34" s="496"/>
      <c r="W34" s="149"/>
    </row>
    <row r="35" spans="1:23" outlineLevel="1" x14ac:dyDescent="0.3">
      <c r="A35" s="1026">
        <f>A5+A17</f>
        <v>0</v>
      </c>
      <c r="B35" s="1027">
        <f>IF(B1=Bron!$E$40,55,0)</f>
        <v>0</v>
      </c>
      <c r="C35" s="1025">
        <f>C5</f>
        <v>2.3958200000000001</v>
      </c>
      <c r="D35" s="1025"/>
      <c r="E35" s="1028">
        <f>ROUND(A35*B35*C35,2)</f>
        <v>0</v>
      </c>
      <c r="G35" s="1026">
        <f>G5+G17</f>
        <v>0</v>
      </c>
      <c r="H35" s="1027">
        <f>IF(H1=Bron!$E$40,55,0)</f>
        <v>0</v>
      </c>
      <c r="I35" s="1025">
        <f>I5</f>
        <v>2.3958200000000001</v>
      </c>
      <c r="J35" s="1025"/>
      <c r="K35" s="1028">
        <f>ROUND(G35*H35*I35,2)</f>
        <v>0</v>
      </c>
      <c r="M35" s="1026">
        <f>M5+M17</f>
        <v>0</v>
      </c>
      <c r="N35" s="1027">
        <f>IF(N1=Bron!$E$40,55,0)</f>
        <v>0</v>
      </c>
      <c r="O35" s="1025">
        <f>O5</f>
        <v>2.3958200000000001</v>
      </c>
      <c r="P35" s="1025"/>
      <c r="Q35" s="1028">
        <f>ROUND(M35*N35*O35,2)</f>
        <v>0</v>
      </c>
      <c r="S35" s="23"/>
      <c r="T35" s="23"/>
      <c r="U35" s="23"/>
      <c r="V35" s="496"/>
      <c r="W35" s="149"/>
    </row>
    <row r="36" spans="1:23" ht="15" outlineLevel="1" thickBot="1" x14ac:dyDescent="0.35">
      <c r="A36" s="32" t="s">
        <v>285</v>
      </c>
      <c r="B36" s="1028">
        <f>'Bouwkost VERB'!$C$52+'Bouwkost UITB'!$C$51</f>
        <v>0</v>
      </c>
      <c r="C36" s="1029">
        <v>0.6</v>
      </c>
      <c r="D36" s="1025"/>
      <c r="E36" s="1028">
        <f>B36*C36</f>
        <v>0</v>
      </c>
      <c r="G36" s="32" t="s">
        <v>285</v>
      </c>
      <c r="H36" s="1028">
        <f>'Bouwkost VERB'!$N$52+'Bouwkost UITB'!$N$51</f>
        <v>0</v>
      </c>
      <c r="I36" s="1029">
        <v>0.6</v>
      </c>
      <c r="J36" s="1025"/>
      <c r="K36" s="1028">
        <f>H36*I36</f>
        <v>0</v>
      </c>
      <c r="M36" s="32" t="s">
        <v>285</v>
      </c>
      <c r="N36" s="1028">
        <f>'Bouwkost VERB'!$Y$52+'Bouwkost UITB'!$Y$51</f>
        <v>0</v>
      </c>
      <c r="O36" s="1029">
        <v>0.6</v>
      </c>
      <c r="P36" s="1025"/>
      <c r="Q36" s="1028">
        <f>N36*O36</f>
        <v>0</v>
      </c>
      <c r="S36" s="23"/>
      <c r="T36" s="23"/>
      <c r="U36" s="23"/>
      <c r="V36" s="496"/>
      <c r="W36" s="149"/>
    </row>
    <row r="37" spans="1:23" ht="15" outlineLevel="1" thickBot="1" x14ac:dyDescent="0.35">
      <c r="A37" s="1011" t="s">
        <v>286</v>
      </c>
      <c r="B37" s="1028">
        <f>'Bouwkost VERB'!$C$58+'Bouwkost UITB'!$C$57</f>
        <v>0</v>
      </c>
      <c r="C37" s="1029">
        <v>0.6</v>
      </c>
      <c r="D37" s="1025"/>
      <c r="E37" s="1028">
        <f>B37*C37</f>
        <v>0</v>
      </c>
      <c r="G37" s="32" t="s">
        <v>291</v>
      </c>
      <c r="H37" s="1028">
        <f>'Bouwkost VERB'!$N$58+'Bouwkost UITB'!$N$57</f>
        <v>0</v>
      </c>
      <c r="I37" s="1029">
        <v>0.6</v>
      </c>
      <c r="J37" s="1025"/>
      <c r="K37" s="1028">
        <f>H37*I37</f>
        <v>0</v>
      </c>
      <c r="M37" s="32" t="s">
        <v>291</v>
      </c>
      <c r="N37" s="1028">
        <f>'Bouwkost VERB'!$Y$58+'Bouwkost UITB'!$Y$57</f>
        <v>0</v>
      </c>
      <c r="O37" s="1029">
        <v>0.6</v>
      </c>
      <c r="P37" s="1025"/>
      <c r="Q37" s="1028">
        <f>N37*O37</f>
        <v>0</v>
      </c>
      <c r="S37" s="23"/>
      <c r="T37" s="23"/>
      <c r="U37" s="23"/>
      <c r="V37" s="496"/>
      <c r="W37" s="149"/>
    </row>
    <row r="38" spans="1:23" outlineLevel="1" x14ac:dyDescent="0.3">
      <c r="A38" s="1234" t="s">
        <v>287</v>
      </c>
      <c r="B38" s="1234"/>
      <c r="C38" s="133"/>
      <c r="D38" s="1030" t="s">
        <v>40</v>
      </c>
      <c r="E38" s="24">
        <f>MIN(E35,E36+E37)</f>
        <v>0</v>
      </c>
      <c r="G38" s="1234" t="s">
        <v>287</v>
      </c>
      <c r="H38" s="1234"/>
      <c r="I38" s="133"/>
      <c r="J38" s="1030" t="s">
        <v>40</v>
      </c>
      <c r="K38" s="24">
        <f>MIN(K35,K36+K37)</f>
        <v>0</v>
      </c>
      <c r="M38" s="1234" t="s">
        <v>287</v>
      </c>
      <c r="N38" s="1234"/>
      <c r="O38" s="133"/>
      <c r="P38" s="1030" t="s">
        <v>40</v>
      </c>
      <c r="Q38" s="24">
        <f>MIN(Q35,Q36+Q37)</f>
        <v>0</v>
      </c>
    </row>
    <row r="39" spans="1:23" outlineLevel="1" x14ac:dyDescent="0.3">
      <c r="A39" s="8" t="s">
        <v>279</v>
      </c>
      <c r="B39" s="8"/>
      <c r="C39" s="9">
        <v>0.1</v>
      </c>
      <c r="D39" s="9"/>
      <c r="E39" s="24">
        <f>ROUND(E38*C39,2)</f>
        <v>0</v>
      </c>
      <c r="G39" s="8" t="s">
        <v>279</v>
      </c>
      <c r="H39" s="8"/>
      <c r="I39" s="9">
        <v>0.1</v>
      </c>
      <c r="J39" s="9"/>
      <c r="K39" s="24">
        <f>ROUND(K38*I39,2)</f>
        <v>0</v>
      </c>
      <c r="M39" s="8" t="s">
        <v>279</v>
      </c>
      <c r="N39" s="8"/>
      <c r="O39" s="9">
        <v>0.1</v>
      </c>
      <c r="P39" s="9"/>
      <c r="Q39" s="24">
        <f>ROUND(Q38*O39,2)</f>
        <v>0</v>
      </c>
    </row>
    <row r="40" spans="1:23" outlineLevel="1" x14ac:dyDescent="0.3">
      <c r="A40" s="8" t="s">
        <v>64</v>
      </c>
      <c r="B40" s="8" t="s">
        <v>293</v>
      </c>
      <c r="C40" s="97">
        <f>IF(A32=Bron!$B$11,'Overzicht BTA'!C47,IF(A32=Bron!$B$12,'Overzicht BTA'!C46,0))</f>
        <v>0</v>
      </c>
      <c r="D40" s="9"/>
      <c r="E40" s="24">
        <f>ROUND(E38*C40,2)</f>
        <v>0</v>
      </c>
      <c r="G40" s="8" t="s">
        <v>64</v>
      </c>
      <c r="H40" s="8" t="s">
        <v>293</v>
      </c>
      <c r="I40" s="97">
        <f>IF(G32=Bron!$B$11,'Overzicht BTA'!I47,IF(G32=Bron!$B$12,'Overzicht BTA'!I46,0))</f>
        <v>0</v>
      </c>
      <c r="J40" s="9"/>
      <c r="K40" s="24">
        <f>ROUND(K38*I40,2)</f>
        <v>0</v>
      </c>
      <c r="M40" s="8" t="s">
        <v>64</v>
      </c>
      <c r="N40" s="8" t="s">
        <v>293</v>
      </c>
      <c r="O40" s="97">
        <f>IF(M32=Bron!$B$11,'Overzicht BTA'!O47,IF(M32=Bron!$B$12,'Overzicht BTA'!O46,0))</f>
        <v>0</v>
      </c>
      <c r="P40" s="9"/>
      <c r="Q40" s="24">
        <f>ROUND(Q38*O40,2)</f>
        <v>0</v>
      </c>
    </row>
    <row r="41" spans="1:23" ht="15" outlineLevel="1" thickBot="1" x14ac:dyDescent="0.35">
      <c r="A41" s="8" t="s">
        <v>64</v>
      </c>
      <c r="B41" s="50" t="s">
        <v>281</v>
      </c>
      <c r="C41" s="9">
        <v>0.21</v>
      </c>
      <c r="D41" s="26"/>
      <c r="E41" s="27">
        <f>ROUND(E39*C41,2)</f>
        <v>0</v>
      </c>
      <c r="G41" s="8" t="s">
        <v>64</v>
      </c>
      <c r="H41" s="50" t="s">
        <v>281</v>
      </c>
      <c r="I41" s="9">
        <v>0.21</v>
      </c>
      <c r="J41" s="26"/>
      <c r="K41" s="27">
        <f>ROUND(K39*I41,2)</f>
        <v>0</v>
      </c>
      <c r="M41" s="8" t="s">
        <v>64</v>
      </c>
      <c r="N41" s="50" t="s">
        <v>281</v>
      </c>
      <c r="O41" s="9">
        <v>0.21</v>
      </c>
      <c r="P41" s="26"/>
      <c r="Q41" s="27">
        <f>ROUND(Q39*O41,2)</f>
        <v>0</v>
      </c>
    </row>
    <row r="42" spans="1:23" ht="15" outlineLevel="1" thickTop="1" x14ac:dyDescent="0.3">
      <c r="A42" s="28" t="s">
        <v>282</v>
      </c>
      <c r="B42" s="29"/>
      <c r="C42" s="30"/>
      <c r="D42" s="31"/>
      <c r="E42" s="80">
        <f>SUM(E38:E41)</f>
        <v>0</v>
      </c>
      <c r="G42" s="28" t="s">
        <v>282</v>
      </c>
      <c r="H42" s="29"/>
      <c r="I42" s="30"/>
      <c r="J42" s="31"/>
      <c r="K42" s="80">
        <f>SUM(K38:K41)</f>
        <v>0</v>
      </c>
      <c r="M42" s="28" t="s">
        <v>282</v>
      </c>
      <c r="N42" s="29"/>
      <c r="O42" s="30"/>
      <c r="P42" s="31"/>
      <c r="Q42" s="80">
        <f>SUM(Q38:Q41)</f>
        <v>0</v>
      </c>
    </row>
    <row r="43" spans="1:23" x14ac:dyDescent="0.3">
      <c r="A43" s="18"/>
      <c r="B43" s="18"/>
      <c r="C43" s="39"/>
      <c r="D43" s="18"/>
      <c r="G43" s="18"/>
      <c r="H43" s="18"/>
      <c r="I43" s="39"/>
      <c r="J43" s="18"/>
      <c r="M43" s="18"/>
      <c r="N43" s="18"/>
      <c r="O43" s="39"/>
      <c r="P43" s="18"/>
    </row>
    <row r="44" spans="1:23" x14ac:dyDescent="0.3">
      <c r="A44" s="22" t="s">
        <v>309</v>
      </c>
      <c r="B44" s="22"/>
      <c r="C44" s="35"/>
      <c r="D44" s="22"/>
      <c r="E44" s="495">
        <f>E12+E21+E31+E42</f>
        <v>0</v>
      </c>
      <c r="G44" s="22" t="s">
        <v>309</v>
      </c>
      <c r="H44" s="22"/>
      <c r="I44" s="35"/>
      <c r="J44" s="22"/>
      <c r="K44" s="495">
        <f>K12+K21+K31+K42</f>
        <v>0</v>
      </c>
      <c r="M44" s="22" t="s">
        <v>309</v>
      </c>
      <c r="N44" s="22"/>
      <c r="O44" s="35"/>
      <c r="P44" s="22"/>
      <c r="Q44" s="495">
        <f>Q12+Q21+Q31+Q42</f>
        <v>0</v>
      </c>
    </row>
    <row r="45" spans="1:23" ht="15" thickBot="1" x14ac:dyDescent="0.35">
      <c r="A45" s="18"/>
      <c r="B45" s="18"/>
      <c r="C45" s="39"/>
      <c r="D45" s="18"/>
      <c r="G45" s="18"/>
      <c r="H45" s="18"/>
      <c r="I45" s="39"/>
      <c r="J45" s="18"/>
      <c r="M45" s="18"/>
      <c r="N45" s="18"/>
      <c r="O45" s="39"/>
      <c r="P45" s="18"/>
    </row>
    <row r="46" spans="1:23" ht="15" customHeight="1" thickBot="1" x14ac:dyDescent="0.35">
      <c r="A46" s="1224" t="s">
        <v>314</v>
      </c>
      <c r="B46" s="1225"/>
      <c r="C46" s="127">
        <f>E8+E17+E27+E38</f>
        <v>0</v>
      </c>
      <c r="D46" s="131" t="s">
        <v>289</v>
      </c>
      <c r="E46" s="492">
        <f>C46*10/6</f>
        <v>0</v>
      </c>
      <c r="G46" s="1224" t="s">
        <v>314</v>
      </c>
      <c r="H46" s="1225"/>
      <c r="I46" s="127">
        <f>K8+K17+K27+K38</f>
        <v>0</v>
      </c>
      <c r="J46" s="131" t="s">
        <v>289</v>
      </c>
      <c r="K46" s="492">
        <f>I46*10/6</f>
        <v>0</v>
      </c>
      <c r="M46" s="1224" t="s">
        <v>314</v>
      </c>
      <c r="N46" s="1225"/>
      <c r="O46" s="127">
        <f>Q8+Q17+Q27+Q38</f>
        <v>0</v>
      </c>
      <c r="P46" s="131" t="s">
        <v>289</v>
      </c>
      <c r="Q46" s="492">
        <f>O46*10/6</f>
        <v>0</v>
      </c>
    </row>
    <row r="49" spans="1:17" ht="18" x14ac:dyDescent="0.3">
      <c r="A49" s="1223" t="s">
        <v>91</v>
      </c>
      <c r="B49" s="1223"/>
      <c r="C49" s="1223"/>
      <c r="D49" s="1223"/>
      <c r="E49" s="1223"/>
      <c r="F49" s="1223"/>
      <c r="G49" s="1223"/>
      <c r="H49" s="1223"/>
      <c r="I49" s="1223"/>
      <c r="J49" s="1223"/>
      <c r="K49" s="1223"/>
      <c r="L49" s="1223"/>
      <c r="M49" s="1223"/>
      <c r="N49" s="1223"/>
      <c r="O49" s="1223"/>
      <c r="P49" s="1223"/>
      <c r="Q49" s="1223"/>
    </row>
    <row r="50" spans="1:17" outlineLevel="1" x14ac:dyDescent="0.3">
      <c r="A50" s="106" t="s">
        <v>23</v>
      </c>
      <c r="B50" s="106" t="str">
        <f>'Overzicht BTA'!C3</f>
        <v>Kies de zorgvorm</v>
      </c>
      <c r="C50" s="106"/>
      <c r="D50" s="106"/>
      <c r="E50" s="106"/>
      <c r="F50" s="106"/>
      <c r="G50" s="106" t="s">
        <v>23</v>
      </c>
      <c r="H50" s="106" t="str">
        <f>'Overzicht BTA'!H3</f>
        <v>Kies de zorgvorm</v>
      </c>
      <c r="I50" s="106"/>
      <c r="J50" s="106"/>
      <c r="K50" s="106"/>
      <c r="L50" s="106"/>
      <c r="M50" s="106" t="s">
        <v>23</v>
      </c>
      <c r="N50" s="106" t="str">
        <f>'Overzicht BTA'!N3</f>
        <v>Kies de zorgvorm</v>
      </c>
      <c r="O50" s="106"/>
      <c r="P50" s="106"/>
      <c r="Q50" s="106"/>
    </row>
    <row r="51" spans="1:17" outlineLevel="1" x14ac:dyDescent="0.3">
      <c r="A51" s="134" t="str">
        <f>IF(ISNUMBER(MATCH(Bron!$B$11,'Overzicht BTA'!B$7:B$10,0)),Bron!$B$11,IF(ISNUMBER(MATCH(Bron!$B$12,'Overzicht BTA'!B$7:B$10,0)),Bron!$B$12,"/"))</f>
        <v>/</v>
      </c>
      <c r="B51" s="135"/>
      <c r="C51" s="135"/>
      <c r="D51" s="135"/>
      <c r="E51" s="136"/>
      <c r="G51" s="134" t="str">
        <f>IF(ISNUMBER(MATCH(Bron!$B$11,'Overzicht BTA'!H$7:H$10,0)),Bron!$B$11,IF(ISNUMBER(MATCH(Bron!$B$12,'Overzicht BTA'!H$7:H$10,0)),Bron!$B$12,"/"))</f>
        <v>/</v>
      </c>
      <c r="H51" s="135"/>
      <c r="I51" s="135"/>
      <c r="J51" s="135"/>
      <c r="K51" s="136"/>
      <c r="M51" s="134" t="str">
        <f>IF(ISNUMBER(MATCH(Bron!$B$11,'Overzicht BTA'!$N$7:$N$9,0)),Bron!$B$11,IF(ISNUMBER(MATCH(Bron!$B$12,'Overzicht BTA'!N$7:N$10,0)),Bron!$B$12,"/"))</f>
        <v>/</v>
      </c>
      <c r="N51" s="135"/>
      <c r="O51" s="135"/>
      <c r="P51" s="135"/>
      <c r="Q51" s="136"/>
    </row>
    <row r="52" spans="1:17" outlineLevel="1" x14ac:dyDescent="0.3">
      <c r="A52" s="109" t="s">
        <v>311</v>
      </c>
      <c r="B52" s="110"/>
      <c r="C52" s="111"/>
      <c r="D52" s="111"/>
      <c r="E52" s="111"/>
      <c r="G52" s="109" t="s">
        <v>311</v>
      </c>
      <c r="H52" s="110"/>
      <c r="I52" s="111"/>
      <c r="J52" s="111"/>
      <c r="K52" s="111"/>
      <c r="M52" s="109" t="s">
        <v>311</v>
      </c>
      <c r="N52" s="110"/>
      <c r="O52" s="111"/>
      <c r="P52" s="111"/>
      <c r="Q52" s="111"/>
    </row>
    <row r="53" spans="1:17" outlineLevel="1" x14ac:dyDescent="0.3">
      <c r="A53" s="70" t="s">
        <v>304</v>
      </c>
      <c r="B53" s="32" t="s">
        <v>275</v>
      </c>
      <c r="C53" s="32" t="s">
        <v>276</v>
      </c>
      <c r="D53" s="33"/>
      <c r="E53" s="32" t="s">
        <v>277</v>
      </c>
      <c r="G53" s="70" t="s">
        <v>304</v>
      </c>
      <c r="H53" s="32" t="s">
        <v>275</v>
      </c>
      <c r="I53" s="32" t="s">
        <v>276</v>
      </c>
      <c r="J53" s="33"/>
      <c r="K53" s="32" t="s">
        <v>277</v>
      </c>
      <c r="M53" s="70" t="s">
        <v>304</v>
      </c>
      <c r="N53" s="32" t="s">
        <v>275</v>
      </c>
      <c r="O53" s="32" t="s">
        <v>276</v>
      </c>
      <c r="P53" s="33"/>
      <c r="Q53" s="32" t="s">
        <v>277</v>
      </c>
    </row>
    <row r="54" spans="1:17" outlineLevel="1" x14ac:dyDescent="0.3">
      <c r="A54" s="368">
        <f>IFERROR(IF('Overzicht BTA'!D59=0,0,IF(A2=Bron!$B$11,IF(MATCH(Bron!$B$11,'Overzicht BTA'!B$51:B$54,0)=1,'Overzicht BTA'!D51,IF(MATCH(Bron!$B$11,'Overzicht BTA'!B$51:B$54,0)=2,'Overzicht BTA'!D52,IF(MATCH(Bron!$B$11,'Overzicht BTA'!B$51:B$54,0)=3,'Overzicht BTA'!D53,IF(MATCH(Bron!$B$11,'Overzicht BTA'!B$51:B$54,0)=4,'Overzicht BTA'!D54,0)))),IF(MATCH(Bron!$B$12,'Overzicht BTA'!B$51:B$54,0)=1,'Overzicht BTA'!D51,IF(MATCH(Bron!$B$12,'Overzicht BTA'!B$51:B$54,0)=2,'Overzicht BTA'!D52,IF(MATCH(Bron!$B$12,'Overzicht BTA'!B$51:B$54,0)=3,'Overzicht BTA'!D53,IF(MATCH(Bron!$B$12,'Overzicht BTA'!B$51:B$54,0)=4,'Overzicht BTA'!D54)))))),0)</f>
        <v>0</v>
      </c>
      <c r="B54" s="909">
        <f>B5</f>
        <v>0</v>
      </c>
      <c r="C54" s="71">
        <f>'Overzicht BTA'!$D$37</f>
        <v>2.3958200000000001</v>
      </c>
      <c r="D54" s="72">
        <f>IF(A51=Bron!$B$11,0.75,1)</f>
        <v>1</v>
      </c>
      <c r="E54" s="73">
        <f>ROUND(A54*B54*C54*D54,2)</f>
        <v>0</v>
      </c>
      <c r="G54" s="368">
        <f>IFERROR(IF('Overzicht BTA'!J59=0,0,IF(G2=Bron!$B$11,IF(MATCH(Bron!$B$11,'Overzicht BTA'!H$51:H$54,0)=1,'Overzicht BTA'!J51,IF(MATCH(Bron!$B$11,'Overzicht BTA'!H$51:H$54,0)=2,'Overzicht BTA'!J52,IF(MATCH(Bron!$B$11,'Overzicht BTA'!H$51:H$54,0)=3,'Overzicht BTA'!J53,IF(MATCH(Bron!$B$11,'Overzicht BTA'!H$51:H$54,0)=4,'Overzicht BTA'!J54,0)))),IF(MATCH(Bron!$B$12,'Overzicht BTA'!H$51:H$54,0)=1,'Overzicht BTA'!J51,IF(MATCH(Bron!$B$12,'Overzicht BTA'!H$51:H$54,0)=2,'Overzicht BTA'!J52,IF(MATCH(Bron!$B$12,'Overzicht BTA'!H$51:H$54,0)=3,'Overzicht BTA'!J53,IF(MATCH(Bron!$B$12,'Overzicht BTA'!H$51:H$54,0)=4,'Overzicht BTA'!J54)))))),0)</f>
        <v>0</v>
      </c>
      <c r="H54" s="909">
        <f>VLOOKUP(H50,'Capaciteiten &amp; forfaits'!$B$3:$H$76,6,FALSE)</f>
        <v>0</v>
      </c>
      <c r="I54" s="71">
        <f>'Overzicht BTA'!$D$36</f>
        <v>2.3958200000000001</v>
      </c>
      <c r="J54" s="72">
        <f>IF(G51=Bron!$B$11,0.75,1)</f>
        <v>1</v>
      </c>
      <c r="K54" s="73">
        <f>ROUND(G54*H54*I54*J54,2)</f>
        <v>0</v>
      </c>
      <c r="M54" s="368">
        <f>IFERROR(IF('Overzicht BTA'!P59=0,0,IF(M2=Bron!$B$11,IF(MATCH(Bron!$B$11,'Overzicht BTA'!N$51:N$54,0)=1,'Overzicht BTA'!P51,IF(MATCH(Bron!$B$11,'Overzicht BTA'!N$51:N$54,0)=2,'Overzicht BTA'!P52,IF(MATCH(Bron!$B$11,'Overzicht BTA'!N$51:N$54,0)=3,'Overzicht BTA'!P53,IF(MATCH(Bron!$B$11,'Overzicht BTA'!N$51:N$54,0)=4,'Overzicht BTA'!P54,0)))),IF(MATCH(Bron!$B$12,'Overzicht BTA'!N$51:N$54,0)=1,'Overzicht BTA'!P51,IF(MATCH(Bron!$B$12,'Overzicht BTA'!N$51:N$54,0)=2,'Overzicht BTA'!P52,IF(MATCH(Bron!$B$12,'Overzicht BTA'!N$51:N$54,0)=3,'Overzicht BTA'!P53,IF(MATCH(Bron!$B$12,'Overzicht BTA'!N$51:N$54,0)=4,'Overzicht BTA'!P54)))))),0)</f>
        <v>0</v>
      </c>
      <c r="N54" s="909">
        <f>VLOOKUP(N50,'Capaciteiten &amp; forfaits'!$B$3:$H$76,6,FALSE)</f>
        <v>0</v>
      </c>
      <c r="O54" s="71">
        <f>'Overzicht BTA'!$D$36</f>
        <v>2.3958200000000001</v>
      </c>
      <c r="P54" s="72">
        <f>IF(M51=Bron!$B$11,0.75,1)</f>
        <v>1</v>
      </c>
      <c r="Q54" s="73">
        <f>ROUND(M54*N54*O54*P54,2)</f>
        <v>0</v>
      </c>
    </row>
    <row r="55" spans="1:17" outlineLevel="1" x14ac:dyDescent="0.3">
      <c r="A55" s="62" t="s">
        <v>312</v>
      </c>
      <c r="B55" s="63">
        <f>IFERROR(IF('Overzicht BTA'!D59=0,0,IF(A$2=Bron!$B$11,IF(MATCH(Bron!$B$11,'uitgebreide raming_gewijzigd'!$B$2:$I$2,0)=1,'uitgebreide raming_gewijzigd'!$B9,IF(MATCH(Bron!$B$11,'uitgebreide raming_gewijzigd'!$B$2:$I$2,0)=3,'uitgebreide raming_gewijzigd'!$D9,IF(MATCH(Bron!$B$11,'uitgebreide raming_gewijzigd'!$B$2:$I$2,0)=5,'uitgebreide raming_gewijzigd'!$F9,IF(MATCH(Bron!$B$11,'uitgebreide raming_gewijzigd'!$B$2:$I$2,0)=7,'uitgebreide raming_gewijzigd'!$H9,0)))),IF(MATCH(Bron!$B$12,'uitgebreide raming_gewijzigd'!$B$2:$I$2,0)=1,'uitgebreide raming_gewijzigd'!$B9,IF(MATCH(Bron!$B$12,'uitgebreide raming_gewijzigd'!$B$2:$I$2,0)=3,'uitgebreide raming_gewijzigd'!$D9,IF(MATCH(Bron!$B$12,'uitgebreide raming_gewijzigd'!$B$2:$I$2,0)=5,'uitgebreide raming_gewijzigd'!$F9,IF(MATCH(Bron!$B$12,'uitgebreide raming_gewijzigd'!$B$2:$I$2,0)=7,'uitgebreide raming_gewijzigd'!$H9,0)))))),0)</f>
        <v>0</v>
      </c>
      <c r="C55" s="64">
        <v>0.6</v>
      </c>
      <c r="D55" s="62"/>
      <c r="E55" s="63">
        <f>ROUND(B55*C55,2)</f>
        <v>0</v>
      </c>
      <c r="G55" s="62" t="s">
        <v>312</v>
      </c>
      <c r="H55" s="63">
        <f>IFERROR(IF('Overzicht BTA'!J59=0,0,IF(G$2=Bron!$B$11,IF(MATCH(Bron!$B$11,'uitgebreide raming_gewijzigd'!$B$29:$I$29,0)=1,'uitgebreide raming_gewijzigd'!$B36,IF(MATCH(Bron!$B$11,'uitgebreide raming_gewijzigd'!$B$29:$I$29,0)=3,'uitgebreide raming_gewijzigd'!$D36,IF(MATCH(Bron!$B$11,'uitgebreide raming_gewijzigd'!$B$29:$I$29,0)=5,'uitgebreide raming_gewijzigd'!$F36,IF(MATCH(Bron!$B$11,'uitgebreide raming_gewijzigd'!$B$29:$I$29,0)=7,'uitgebreide raming_gewijzigd'!$H36,0)))),IF(MATCH(Bron!$B$12,'uitgebreide raming_gewijzigd'!$B$29:$I$29,0)=1,'uitgebreide raming_gewijzigd'!$B36,IF(MATCH(Bron!$B$12,'uitgebreide raming_gewijzigd'!$B$29:$I$29,0)=3,'uitgebreide raming_gewijzigd'!$D36,IF(MATCH(Bron!$B$12,'uitgebreide raming_gewijzigd'!$B$29:$I$29,0)=5,'uitgebreide raming_gewijzigd'!$F36,IF(MATCH(Bron!$B$12,'uitgebreide raming_gewijzigd'!$B$29:$I$29,0)=7,'uitgebreide raming_gewijzigd'!$H36,0)))))),0)</f>
        <v>0</v>
      </c>
      <c r="I55" s="64">
        <v>0.6</v>
      </c>
      <c r="J55" s="62"/>
      <c r="K55" s="63">
        <f>ROUND(H55*I55,2)</f>
        <v>0</v>
      </c>
      <c r="M55" s="62" t="s">
        <v>312</v>
      </c>
      <c r="N55" s="63">
        <f>IFERROR(IF('Overzicht BTA'!P59=0,0,IF($M$2=Bron!$B$11,IF(MATCH(Bron!$B$11,'uitgebreide raming_gewijzigd'!$B$56:$I$56,0)=1,'uitgebreide raming_gewijzigd'!B63,IF(MATCH(Bron!$B$11,'uitgebreide raming_gewijzigd'!$B$56:$I$56,0)=3,'uitgebreide raming_gewijzigd'!D63,IF(MATCH(Bron!$B$11,'uitgebreide raming_gewijzigd'!$B$56:$I$56,0)=5,'uitgebreide raming_gewijzigd'!F63,IF(MATCH(Bron!$B$11,'uitgebreide raming_gewijzigd'!$B$56:$I$56,0)=7,'uitgebreide raming_gewijzigd'!H63,0)))),IF(MATCH(Bron!$B$12,'uitgebreide raming_gewijzigd'!$B$56:$I$56,0)=1,'uitgebreide raming_gewijzigd'!B63,IF(MATCH(Bron!$B$12,'uitgebreide raming_gewijzigd'!$B$56:$I$56,0)=3,'uitgebreide raming_gewijzigd'!D63,IF(MATCH(Bron!$B$12,'uitgebreide raming_gewijzigd'!$B$56:$I$56,0)=5,'uitgebreide raming_gewijzigd'!F63,IF(MATCH(Bron!$B$12,'uitgebreide raming_gewijzigd'!$B$56:$I$56,0)=7,'uitgebreide raming_gewijzigd'!H63,0)))))),0)</f>
        <v>0</v>
      </c>
      <c r="O55" s="64">
        <v>0.6</v>
      </c>
      <c r="P55" s="62"/>
      <c r="Q55" s="63">
        <f>ROUND(N55*O55,2)</f>
        <v>0</v>
      </c>
    </row>
    <row r="56" spans="1:17" outlineLevel="1" x14ac:dyDescent="0.3">
      <c r="A56" s="538" t="s">
        <v>313</v>
      </c>
      <c r="B56" s="539">
        <f>IF('Overzicht BTA'!$D$15=0,0,'uitgebreide raming_gewijzigd'!$J12)</f>
        <v>0</v>
      </c>
      <c r="C56" s="64">
        <v>0.6</v>
      </c>
      <c r="D56" s="62"/>
      <c r="E56" s="63">
        <f>ROUND(B56*C56,2)</f>
        <v>0</v>
      </c>
      <c r="G56" s="538" t="s">
        <v>313</v>
      </c>
      <c r="H56" s="539">
        <f>IF('Overzicht BTA'!$D$15=0,0,'uitgebreide raming_gewijzigd'!$J39)</f>
        <v>0</v>
      </c>
      <c r="I56" s="64">
        <v>0.6</v>
      </c>
      <c r="J56" s="62"/>
      <c r="K56" s="63">
        <f>ROUND(H56*I56,2)</f>
        <v>0</v>
      </c>
      <c r="M56" s="538" t="s">
        <v>313</v>
      </c>
      <c r="N56" s="539">
        <f>IF('Overzicht BTA'!$D$15=0,0,'uitgebreide raming_gewijzigd'!$J35)</f>
        <v>0</v>
      </c>
      <c r="O56" s="64">
        <v>0.6</v>
      </c>
      <c r="P56" s="62"/>
      <c r="Q56" s="63">
        <f>ROUND(N56*O56,2)</f>
        <v>0</v>
      </c>
    </row>
    <row r="57" spans="1:17" outlineLevel="1" x14ac:dyDescent="0.3">
      <c r="A57" s="1238" t="s">
        <v>287</v>
      </c>
      <c r="B57" s="1239"/>
      <c r="C57" s="9"/>
      <c r="D57" s="132" t="s">
        <v>19</v>
      </c>
      <c r="E57" s="24">
        <f>MIN(E54,E55+E56)</f>
        <v>0</v>
      </c>
      <c r="G57" s="1238" t="s">
        <v>287</v>
      </c>
      <c r="H57" s="1239"/>
      <c r="I57" s="9"/>
      <c r="J57" s="132" t="s">
        <v>19</v>
      </c>
      <c r="K57" s="24">
        <f>MIN(K54,K55+K56)</f>
        <v>0</v>
      </c>
      <c r="M57" s="1238" t="s">
        <v>287</v>
      </c>
      <c r="N57" s="1239"/>
      <c r="O57" s="9"/>
      <c r="P57" s="132" t="s">
        <v>19</v>
      </c>
      <c r="Q57" s="24">
        <f>MIN(Q54,Q55+Q56)</f>
        <v>0</v>
      </c>
    </row>
    <row r="58" spans="1:17" outlineLevel="1" x14ac:dyDescent="0.3">
      <c r="A58" s="8" t="s">
        <v>279</v>
      </c>
      <c r="B58" s="8"/>
      <c r="C58" s="9">
        <v>0.1</v>
      </c>
      <c r="D58" s="9"/>
      <c r="E58" s="24">
        <f>ROUND(E57*C58,2)</f>
        <v>0</v>
      </c>
      <c r="G58" s="8" t="s">
        <v>279</v>
      </c>
      <c r="H58" s="8"/>
      <c r="I58" s="9">
        <v>0.1</v>
      </c>
      <c r="J58" s="9"/>
      <c r="K58" s="24">
        <f>ROUND(K57*I58,2)</f>
        <v>0</v>
      </c>
      <c r="M58" s="8" t="s">
        <v>279</v>
      </c>
      <c r="N58" s="8"/>
      <c r="O58" s="9">
        <v>0.1</v>
      </c>
      <c r="P58" s="9"/>
      <c r="Q58" s="24">
        <f>ROUND(Q57*O58,2)</f>
        <v>0</v>
      </c>
    </row>
    <row r="59" spans="1:17" outlineLevel="1" x14ac:dyDescent="0.3">
      <c r="A59" s="8" t="s">
        <v>64</v>
      </c>
      <c r="B59" s="8" t="s">
        <v>293</v>
      </c>
      <c r="C59" s="97">
        <f>IF(A2=Bron!$B$11,'Overzicht BTA'!C61,IF(A2=Bron!$B$12,'Overzicht BTA'!C60,0))</f>
        <v>0</v>
      </c>
      <c r="D59" s="9"/>
      <c r="E59" s="24">
        <f>ROUND(E57*C59,2)</f>
        <v>0</v>
      </c>
      <c r="G59" s="8" t="s">
        <v>64</v>
      </c>
      <c r="H59" s="8" t="s">
        <v>293</v>
      </c>
      <c r="I59" s="97">
        <f>IF(G2=Bron!$B$11,'Overzicht BTA'!I61,IF(G2=Bron!$B$12,'Overzicht BTA'!I60,0))</f>
        <v>0</v>
      </c>
      <c r="J59" s="9"/>
      <c r="K59" s="24">
        <f>ROUND(K57*I59,2)</f>
        <v>0</v>
      </c>
      <c r="M59" s="8" t="s">
        <v>64</v>
      </c>
      <c r="N59" s="8" t="s">
        <v>293</v>
      </c>
      <c r="O59" s="97">
        <f>IF(M2=Bron!$B$11,'Overzicht BTA'!O61,IF(M2=Bron!$B$12,'Overzicht BTA'!O60,0))</f>
        <v>0</v>
      </c>
      <c r="P59" s="9"/>
      <c r="Q59" s="24">
        <f>ROUND(Q57*O59,2)</f>
        <v>0</v>
      </c>
    </row>
    <row r="60" spans="1:17" ht="15" outlineLevel="1" thickBot="1" x14ac:dyDescent="0.35">
      <c r="A60" s="8" t="s">
        <v>64</v>
      </c>
      <c r="B60" s="50" t="s">
        <v>281</v>
      </c>
      <c r="C60" s="9">
        <v>0.21</v>
      </c>
      <c r="D60" s="26"/>
      <c r="E60" s="27">
        <f>ROUND(E58*C60,2)</f>
        <v>0</v>
      </c>
      <c r="G60" s="8" t="s">
        <v>64</v>
      </c>
      <c r="H60" s="50" t="s">
        <v>281</v>
      </c>
      <c r="I60" s="9">
        <v>0.21</v>
      </c>
      <c r="J60" s="26"/>
      <c r="K60" s="27">
        <f>ROUND(K58*I60,2)</f>
        <v>0</v>
      </c>
      <c r="M60" s="8" t="s">
        <v>64</v>
      </c>
      <c r="N60" s="50" t="s">
        <v>281</v>
      </c>
      <c r="O60" s="9">
        <v>0.21</v>
      </c>
      <c r="P60" s="26"/>
      <c r="Q60" s="27">
        <f>ROUND(Q58*O60,2)</f>
        <v>0</v>
      </c>
    </row>
    <row r="61" spans="1:17" ht="15" outlineLevel="1" thickTop="1" x14ac:dyDescent="0.3">
      <c r="A61" s="28" t="s">
        <v>282</v>
      </c>
      <c r="B61" s="29"/>
      <c r="C61" s="30"/>
      <c r="D61" s="31"/>
      <c r="E61" s="80">
        <f>SUM(E57:E60)</f>
        <v>0</v>
      </c>
      <c r="G61" s="28" t="s">
        <v>282</v>
      </c>
      <c r="H61" s="29"/>
      <c r="I61" s="30"/>
      <c r="J61" s="31"/>
      <c r="K61" s="80">
        <f>SUM(K57:K60)</f>
        <v>0</v>
      </c>
      <c r="M61" s="28" t="s">
        <v>282</v>
      </c>
      <c r="N61" s="29"/>
      <c r="O61" s="30"/>
      <c r="P61" s="31"/>
      <c r="Q61" s="80">
        <f>SUM(Q57:Q60)</f>
        <v>0</v>
      </c>
    </row>
    <row r="62" spans="1:17" outlineLevel="1" x14ac:dyDescent="0.3"/>
    <row r="63" spans="1:17" outlineLevel="1" x14ac:dyDescent="0.3">
      <c r="A63" s="134" t="s">
        <v>72</v>
      </c>
      <c r="B63" s="135"/>
      <c r="C63" s="135"/>
      <c r="D63" s="135"/>
      <c r="E63" s="136"/>
      <c r="G63" s="134" t="s">
        <v>72</v>
      </c>
      <c r="H63" s="135"/>
      <c r="I63" s="135"/>
      <c r="J63" s="135"/>
      <c r="K63" s="136"/>
      <c r="M63" s="134" t="s">
        <v>72</v>
      </c>
      <c r="N63" s="135"/>
      <c r="O63" s="135"/>
      <c r="P63" s="135"/>
      <c r="Q63" s="136"/>
    </row>
    <row r="64" spans="1:17" outlineLevel="1" x14ac:dyDescent="0.3">
      <c r="A64" s="1235" t="s">
        <v>300</v>
      </c>
      <c r="B64" s="1236"/>
      <c r="C64" s="111"/>
      <c r="D64" s="111"/>
      <c r="E64" s="111"/>
      <c r="G64" s="1235" t="s">
        <v>300</v>
      </c>
      <c r="H64" s="1236"/>
      <c r="I64" s="111"/>
      <c r="J64" s="111"/>
      <c r="K64" s="111"/>
      <c r="M64" s="1235" t="s">
        <v>300</v>
      </c>
      <c r="N64" s="1236"/>
      <c r="O64" s="111"/>
      <c r="P64" s="111"/>
      <c r="Q64" s="111"/>
    </row>
    <row r="65" spans="1:19" outlineLevel="1" x14ac:dyDescent="0.3">
      <c r="A65" s="369" t="s">
        <v>301</v>
      </c>
      <c r="B65" s="369" t="s">
        <v>275</v>
      </c>
      <c r="C65" s="369" t="s">
        <v>276</v>
      </c>
      <c r="D65" s="369"/>
      <c r="E65" s="369" t="s">
        <v>277</v>
      </c>
      <c r="G65" s="369" t="s">
        <v>301</v>
      </c>
      <c r="H65" s="369" t="s">
        <v>275</v>
      </c>
      <c r="I65" s="369" t="s">
        <v>276</v>
      </c>
      <c r="J65" s="369"/>
      <c r="K65" s="369" t="s">
        <v>277</v>
      </c>
      <c r="M65" s="369" t="s">
        <v>301</v>
      </c>
      <c r="N65" s="369" t="s">
        <v>275</v>
      </c>
      <c r="O65" s="369" t="s">
        <v>276</v>
      </c>
      <c r="P65" s="369"/>
      <c r="Q65" s="369" t="s">
        <v>277</v>
      </c>
    </row>
    <row r="66" spans="1:19" ht="15" outlineLevel="1" thickBot="1" x14ac:dyDescent="0.35">
      <c r="A66" s="368">
        <f>IFERROR(IF(AND('Overzicht BTA'!D61=0,'Overzicht BTA'!D60=0),0,IF(MATCH(Bron!$B$10,'Overzicht BTA'!B51:B54,0)=1,'Overzicht BTA'!D51,IF(MATCH(Bron!$B$10,'Overzicht BTA'!B51:B54,0)=2,'Overzicht BTA'!D52,IF(MATCH(Bron!$B$10,'Overzicht BTA'!B51:B54,0)=3,'Overzicht BTA'!D53,IF(MATCH(Bron!$B$10,'Overzicht BTA'!B51:B54,0)=4,'Overzicht BTA'!D54,0))))),0)</f>
        <v>0</v>
      </c>
      <c r="B66" s="909">
        <f>B17</f>
        <v>0</v>
      </c>
      <c r="C66" s="71">
        <f>'Overzicht BTA'!$D$37</f>
        <v>2.3958200000000001</v>
      </c>
      <c r="D66" s="219" t="s">
        <v>29</v>
      </c>
      <c r="E66" s="220">
        <f>ROUND(A66*B66*C66,2)</f>
        <v>0</v>
      </c>
      <c r="G66" s="368">
        <f>IFERROR(IF(AND('Overzicht BTA'!J61=0,'Overzicht BTA'!J60=0),0,IF(MATCH(Bron!$B$10,'Overzicht BTA'!H51:H54,0)=1,'Overzicht BTA'!J51,IF(MATCH(Bron!$B$10,'Overzicht BTA'!H51:H54,0)=2,'Overzicht BTA'!J52,IF(MATCH(Bron!$B$10,'Overzicht BTA'!H51:H54,0)=3,'Overzicht BTA'!J53,IF(MATCH(Bron!$B$10,'Overzicht BTA'!H51:H54,0)=4,'Overzicht BTA'!J54,0))))),0)</f>
        <v>0</v>
      </c>
      <c r="H66" s="909">
        <f>VLOOKUP(H50,'Capaciteiten &amp; forfaits'!$B$3:$H$76,6,FALSE)</f>
        <v>0</v>
      </c>
      <c r="I66" s="71">
        <f>'Overzicht BTA'!$D$36</f>
        <v>2.3958200000000001</v>
      </c>
      <c r="J66" s="219" t="s">
        <v>29</v>
      </c>
      <c r="K66" s="220">
        <f>ROUND(G66*H66*I66,2)</f>
        <v>0</v>
      </c>
      <c r="M66" s="368">
        <f>IFERROR(IF(AND('Overzicht BTA'!P61=0,'Overzicht BTA'!P60=0),0,IF(MATCH(Bron!$B$10,'Overzicht BTA'!N51:N54,0)=1,'Overzicht BTA'!P51,IF(MATCH(Bron!$B$10,'Overzicht BTA'!N51:N54,0)=2,'Overzicht BTA'!P52,IF(MATCH(Bron!$B$10,'Overzicht BTA'!N51:N54,0)=3,'Overzicht BTA'!P53,IF(MATCH(Bron!$B$10,'Overzicht BTA'!N51:N54,0)=4,'Overzicht BTA'!P54,0))))),0)</f>
        <v>0</v>
      </c>
      <c r="N66" s="909">
        <f>VLOOKUP(N50,'Capaciteiten &amp; forfaits'!$B$3:$H$76,6,FALSE)</f>
        <v>0</v>
      </c>
      <c r="O66" s="71">
        <f>'Overzicht BTA'!$D$36</f>
        <v>2.3958200000000001</v>
      </c>
      <c r="P66" s="219" t="s">
        <v>29</v>
      </c>
      <c r="Q66" s="220">
        <f>ROUND(M66*N66*O66,2)</f>
        <v>0</v>
      </c>
      <c r="S66">
        <f>IF(AND('Overzicht BTA'!D61=0,'Overzicht BTA'!D60=0),0,1)</f>
        <v>0</v>
      </c>
    </row>
    <row r="67" spans="1:19" ht="15" outlineLevel="1" thickBot="1" x14ac:dyDescent="0.35">
      <c r="A67" s="5" t="s">
        <v>302</v>
      </c>
      <c r="B67" s="8"/>
      <c r="C67" s="9">
        <v>0.1</v>
      </c>
      <c r="D67" s="9"/>
      <c r="E67" s="24">
        <f>ROUND(E66*C67,2)</f>
        <v>0</v>
      </c>
      <c r="G67" s="5" t="s">
        <v>302</v>
      </c>
      <c r="H67" s="8"/>
      <c r="I67" s="9">
        <v>0.1</v>
      </c>
      <c r="J67" s="9"/>
      <c r="K67" s="24">
        <f>ROUND(K66*I67,2)</f>
        <v>0</v>
      </c>
      <c r="M67" s="5" t="s">
        <v>302</v>
      </c>
      <c r="N67" s="8"/>
      <c r="O67" s="9">
        <v>0.1</v>
      </c>
      <c r="P67" s="9"/>
      <c r="Q67" s="24">
        <f>ROUND(Q66*O67,2)</f>
        <v>0</v>
      </c>
    </row>
    <row r="68" spans="1:19" outlineLevel="1" x14ac:dyDescent="0.3">
      <c r="A68" s="8" t="s">
        <v>64</v>
      </c>
      <c r="B68" s="8" t="s">
        <v>293</v>
      </c>
      <c r="C68" s="97">
        <f>'Overzicht BTA'!C59</f>
        <v>0</v>
      </c>
      <c r="D68" s="9"/>
      <c r="E68" s="24">
        <f>ROUND(E66*C68,2)</f>
        <v>0</v>
      </c>
      <c r="G68" s="8" t="s">
        <v>64</v>
      </c>
      <c r="H68" s="8" t="s">
        <v>293</v>
      </c>
      <c r="I68" s="97">
        <f>'Overzicht BTA'!I59</f>
        <v>0</v>
      </c>
      <c r="J68" s="9"/>
      <c r="K68" s="24">
        <f>ROUND(K66*I68,2)</f>
        <v>0</v>
      </c>
      <c r="M68" s="8" t="s">
        <v>64</v>
      </c>
      <c r="N68" s="8" t="s">
        <v>293</v>
      </c>
      <c r="O68" s="97">
        <f>'Overzicht BTA'!O59</f>
        <v>0</v>
      </c>
      <c r="P68" s="9"/>
      <c r="Q68" s="24">
        <f>ROUND(Q66*O68,2)</f>
        <v>0</v>
      </c>
    </row>
    <row r="69" spans="1:19" ht="15" outlineLevel="1" thickBot="1" x14ac:dyDescent="0.35">
      <c r="A69" s="8" t="s">
        <v>64</v>
      </c>
      <c r="B69" s="50" t="s">
        <v>281</v>
      </c>
      <c r="C69" s="9">
        <v>0.21</v>
      </c>
      <c r="D69" s="26"/>
      <c r="E69" s="27">
        <f>ROUND(E67*C69,2)</f>
        <v>0</v>
      </c>
      <c r="G69" s="8" t="s">
        <v>64</v>
      </c>
      <c r="H69" s="50" t="s">
        <v>281</v>
      </c>
      <c r="I69" s="9">
        <v>0.21</v>
      </c>
      <c r="J69" s="26"/>
      <c r="K69" s="27">
        <f>ROUND(K67*I69,2)</f>
        <v>0</v>
      </c>
      <c r="M69" s="8" t="s">
        <v>64</v>
      </c>
      <c r="N69" s="50" t="s">
        <v>281</v>
      </c>
      <c r="O69" s="9">
        <v>0.21</v>
      </c>
      <c r="P69" s="26"/>
      <c r="Q69" s="27">
        <f>ROUND(Q67*O69,2)</f>
        <v>0</v>
      </c>
    </row>
    <row r="70" spans="1:19" ht="15" outlineLevel="1" thickTop="1" x14ac:dyDescent="0.3">
      <c r="A70" s="28" t="s">
        <v>282</v>
      </c>
      <c r="B70" s="29"/>
      <c r="C70" s="30"/>
      <c r="D70" s="31"/>
      <c r="E70" s="95">
        <f>SUM(E66:E69)</f>
        <v>0</v>
      </c>
      <c r="G70" s="28" t="s">
        <v>282</v>
      </c>
      <c r="H70" s="29"/>
      <c r="I70" s="30"/>
      <c r="J70" s="31"/>
      <c r="K70" s="95">
        <f>SUM(K66:K69)</f>
        <v>0</v>
      </c>
      <c r="M70" s="28" t="s">
        <v>282</v>
      </c>
      <c r="N70" s="29"/>
      <c r="O70" s="30"/>
      <c r="P70" s="31"/>
      <c r="Q70" s="95">
        <f>SUM(Q66:Q69)</f>
        <v>0</v>
      </c>
    </row>
    <row r="71" spans="1:19" outlineLevel="1" x14ac:dyDescent="0.3"/>
    <row r="72" spans="1:19" outlineLevel="1" x14ac:dyDescent="0.3">
      <c r="A72" s="1232" t="s">
        <v>303</v>
      </c>
      <c r="B72" s="1233"/>
      <c r="C72" s="153"/>
      <c r="D72" s="154"/>
      <c r="E72" s="153"/>
      <c r="G72" s="1232" t="s">
        <v>303</v>
      </c>
      <c r="H72" s="1233"/>
      <c r="I72" s="153"/>
      <c r="J72" s="154"/>
      <c r="K72" s="153"/>
      <c r="M72" s="1232" t="s">
        <v>303</v>
      </c>
      <c r="N72" s="1233"/>
      <c r="O72" s="153"/>
      <c r="P72" s="154"/>
      <c r="Q72" s="153"/>
    </row>
    <row r="73" spans="1:19" outlineLevel="1" x14ac:dyDescent="0.3">
      <c r="A73" s="70" t="s">
        <v>304</v>
      </c>
      <c r="B73" s="32" t="s">
        <v>275</v>
      </c>
      <c r="C73" s="32" t="s">
        <v>276</v>
      </c>
      <c r="D73" s="33"/>
      <c r="E73" s="32" t="s">
        <v>277</v>
      </c>
      <c r="G73" s="70" t="s">
        <v>304</v>
      </c>
      <c r="H73" s="32" t="s">
        <v>275</v>
      </c>
      <c r="I73" s="32" t="s">
        <v>276</v>
      </c>
      <c r="J73" s="33"/>
      <c r="K73" s="32" t="s">
        <v>277</v>
      </c>
      <c r="M73" s="70" t="s">
        <v>304</v>
      </c>
      <c r="N73" s="32" t="s">
        <v>275</v>
      </c>
      <c r="O73" s="32" t="s">
        <v>276</v>
      </c>
      <c r="P73" s="33"/>
      <c r="Q73" s="32" t="s">
        <v>277</v>
      </c>
    </row>
    <row r="74" spans="1:19" outlineLevel="1" x14ac:dyDescent="0.3">
      <c r="A74" s="367">
        <f>A66+A54</f>
        <v>0</v>
      </c>
      <c r="B74" s="909">
        <f>B25</f>
        <v>0</v>
      </c>
      <c r="C74" s="71">
        <f>'Overzicht BTA'!$D$37</f>
        <v>2.3958200000000001</v>
      </c>
      <c r="D74" s="72"/>
      <c r="E74" s="73">
        <f>ROUND(A74*B74*C74,2)</f>
        <v>0</v>
      </c>
      <c r="G74" s="367">
        <f>G66+G54</f>
        <v>0</v>
      </c>
      <c r="H74" s="909">
        <f>H25</f>
        <v>0</v>
      </c>
      <c r="I74" s="71">
        <f>'Overzicht BTA'!$D$36</f>
        <v>2.3958200000000001</v>
      </c>
      <c r="J74" s="72"/>
      <c r="K74" s="73">
        <f>ROUND(G74*H74*I74,2)</f>
        <v>0</v>
      </c>
      <c r="M74" s="367">
        <f>M66+M54</f>
        <v>0</v>
      </c>
      <c r="N74" s="909">
        <f>N25</f>
        <v>0</v>
      </c>
      <c r="O74" s="71">
        <f>'Overzicht BTA'!$D$36</f>
        <v>2.3958200000000001</v>
      </c>
      <c r="P74" s="72"/>
      <c r="Q74" s="73">
        <f>ROUND(M74*N74*O74,2)</f>
        <v>0</v>
      </c>
    </row>
    <row r="75" spans="1:19" outlineLevel="1" x14ac:dyDescent="0.3">
      <c r="A75" s="65" t="s">
        <v>305</v>
      </c>
      <c r="B75" s="63">
        <f>IFERROR(IF('Overzicht BTA'!D59=0,0,IF(MATCH(Bron!$B$10,'uitgebreide raming_gewijzigd'!$B$2:$I$2,0)=1,'uitgebreide raming_gewijzigd'!B10,IF(MATCH(Bron!$B$10,'uitgebreide raming_gewijzigd'!$B$2:$I$2,0)=3,'uitgebreide raming_gewijzigd'!D10,IF(MATCH(Bron!$B$10,'uitgebreide raming_gewijzigd'!$B$2:$I$2,0)=5,'uitgebreide raming_gewijzigd'!F10,IF(MATCH(Bron!$B$10,'uitgebreide raming_gewijzigd'!$B$2:$I$2,0)=7,'uitgebreide raming_gewijzigd'!H10,0)))))+IF('Overzicht BTA'!D17=0,0,IF(MATCH(Bron!$B$11,'uitgebreide raming_gewijzigd'!$B$2:$I$2,0)=1,'uitgebreide raming_gewijzigd'!B10,IF(MATCH(Bron!$B$11,'uitgebreide raming_gewijzigd'!$B$2:$I$2,0)=3,'uitgebreide raming_gewijzigd'!D10,IF(MATCH(Bron!$B$11,'uitgebreide raming_gewijzigd'!$B$2:$I$2,0)=5,'uitgebreide raming_gewijzigd'!F10,IF(MATCH(Bron!$B$11,'uitgebreide raming_gewijzigd'!$B$2:$I$2,0)=7,'uitgebreide raming_gewijzigd'!H10)))))+IF('Overzicht BTA'!D60=0,0,IF(MATCH(Bron!$B$12,'uitgebreide raming_gewijzigd'!$B$2:$I$2,0)=1,'uitgebreide raming_gewijzigd'!B10,IF(MATCH(Bron!$B$12,'uitgebreide raming_gewijzigd'!$B$2:$I$2,0)=3,'uitgebreide raming_gewijzigd'!D10,IF(MATCH(Bron!$B$12,'uitgebreide raming_gewijzigd'!$B$2:$I$2,0)=5,'uitgebreide raming_gewijzigd'!F10,IF(MATCH(Bron!$B$12,'uitgebreide raming_gewijzigd'!$B$2:$I$2,0)=7,'uitgebreide raming_gewijzigd'!H10,0))))),0)</f>
        <v>0</v>
      </c>
      <c r="C75" s="66">
        <v>0.6</v>
      </c>
      <c r="D75" s="67"/>
      <c r="E75" s="68">
        <f>ROUND(B75*C75,2)</f>
        <v>0</v>
      </c>
      <c r="G75" s="65" t="s">
        <v>305</v>
      </c>
      <c r="H75" s="63">
        <f>IF('Overzicht BTA'!D59=0,0,IF(MATCH(Bron!$B$10,'uitgebreide raming_gewijzigd'!$B$2:$I$2,0)=1,'uitgebreide raming_gewijzigd'!B37,IF(MATCH(Bron!$B$10,'uitgebreide raming_gewijzigd'!$B$2:$I$2,0)=3,'uitgebreide raming_gewijzigd'!D37,IF(MATCH(Bron!$B$10,'uitgebreide raming_gewijzigd'!$B$2:$I$2,0)=5,'uitgebreide raming_gewijzigd'!F37,IF(MATCH(Bron!$B$10,'uitgebreide raming_gewijzigd'!$B$2:$I$2,0)=7,'uitgebreide raming_gewijzigd'!H37,0)))))+IF('Overzicht BTA'!D17=0,0,IF(MATCH(Bron!$B$11,'uitgebreide raming_gewijzigd'!$B$2:$I$2,0)=1,'uitgebreide raming_gewijzigd'!B37,IF(MATCH(Bron!$B$11,'uitgebreide raming_gewijzigd'!$B$2:$I$2,0)=3,'uitgebreide raming_gewijzigd'!D37,IF(MATCH(Bron!$B$11,'uitgebreide raming_gewijzigd'!$B$2:$I$2,0)=5,'uitgebreide raming_gewijzigd'!F37,IF(MATCH(Bron!$B$11,'uitgebreide raming_gewijzigd'!$B$2:$I$2,0)=7,'uitgebreide raming_gewijzigd'!H37,IF(MATCH(Bron!$B$12,'uitgebreide raming_gewijzigd'!$B$2:$I$2,0)=1,'uitgebreide raming_gewijzigd'!B37,IF(MATCH(Bron!$B$12,'uitgebreide raming_gewijzigd'!$B$2:$I$2,0)=3,'uitgebreide raming_gewijzigd'!D37,IF(MATCH(Bron!$B$12,'uitgebreide raming_gewijzigd'!$B$2:$I$2,0)=5,'uitgebreide raming_gewijzigd'!F37,IF(MATCH(Bron!$B$12,'uitgebreide raming_gewijzigd'!$B$2:$I$2,0)=7,'uitgebreide raming_gewijzigd'!H37,0)))))))))</f>
        <v>0</v>
      </c>
      <c r="I75" s="66">
        <v>0.6</v>
      </c>
      <c r="J75" s="67"/>
      <c r="K75" s="68">
        <f>ROUND(H75*I75,2)</f>
        <v>0</v>
      </c>
      <c r="M75" s="65" t="s">
        <v>305</v>
      </c>
      <c r="N75" s="63">
        <f>IF('Overzicht BTA'!D15=0,0,IF(MATCH(Bron!$B$10,'uitgebreide raming_gewijzigd'!$B$2:$I$2,0)=1,'uitgebreide raming_gewijzigd'!B64,IF(MATCH(Bron!$B$10,'uitgebreide raming_gewijzigd'!$B$2:$I$2,0)=3,'uitgebreide raming_gewijzigd'!D64,IF(MATCH(Bron!$B$10,'uitgebreide raming_gewijzigd'!$B$2:$I$2,0)=5,'uitgebreide raming_gewijzigd'!F64,IF(MATCH(Bron!$B$10,'uitgebreide raming_gewijzigd'!$B$2:$I$2,0)=7,'uitgebreide raming_gewijzigd'!H64,0)))))+IF('Overzicht BTA'!D17=0,0,IF(MATCH(Bron!$B$11,'uitgebreide raming_gewijzigd'!$B$2:$I$2,0)=1,'uitgebreide raming_gewijzigd'!B64,IF(MATCH(Bron!$B$11,'uitgebreide raming_gewijzigd'!$B$2:$I$2,0)=3,'uitgebreide raming_gewijzigd'!D64,IF(MATCH(Bron!$B$11,'uitgebreide raming_gewijzigd'!$B$2:$I$2,0)=5,'uitgebreide raming_gewijzigd'!F64,IF(MATCH(Bron!$B$11,'uitgebreide raming_gewijzigd'!$B$2:$I$2,0)=7,'uitgebreide raming_gewijzigd'!H64,IF(MATCH(Bron!$B$12,'uitgebreide raming_gewijzigd'!$B$2:$I$2,0)=1,'uitgebreide raming_gewijzigd'!B64,IF(MATCH(Bron!$B$12,'uitgebreide raming_gewijzigd'!$B$2:$I$2,0)=3,'uitgebreide raming_gewijzigd'!D64,IF(MATCH(Bron!$B$12,'uitgebreide raming_gewijzigd'!$B$2:$I$2,0)=5,'uitgebreide raming_gewijzigd'!F64,IF(MATCH(Bron!$B$12,'uitgebreide raming_gewijzigd'!$B$2:$I$2,0)=7,'uitgebreide raming_gewijzigd'!H64,0)))))))))</f>
        <v>0</v>
      </c>
      <c r="O75" s="66">
        <v>0.6</v>
      </c>
      <c r="P75" s="67"/>
      <c r="Q75" s="68">
        <f>ROUND(N75*O75,2)</f>
        <v>0</v>
      </c>
    </row>
    <row r="76" spans="1:19" outlineLevel="1" x14ac:dyDescent="0.3">
      <c r="A76" s="1220" t="s">
        <v>287</v>
      </c>
      <c r="B76" s="1221"/>
      <c r="C76" s="20"/>
      <c r="D76" s="133" t="s">
        <v>32</v>
      </c>
      <c r="E76" s="34">
        <f>MIN(E74,E75)</f>
        <v>0</v>
      </c>
      <c r="G76" s="1220" t="s">
        <v>287</v>
      </c>
      <c r="H76" s="1221"/>
      <c r="I76" s="20"/>
      <c r="J76" s="133" t="s">
        <v>32</v>
      </c>
      <c r="K76" s="34">
        <f>MIN(K74,K75)</f>
        <v>0</v>
      </c>
      <c r="M76" s="1220" t="s">
        <v>287</v>
      </c>
      <c r="N76" s="1221"/>
      <c r="O76" s="20"/>
      <c r="P76" s="133" t="s">
        <v>32</v>
      </c>
      <c r="Q76" s="34">
        <f>MIN(Q74,Q75)</f>
        <v>0</v>
      </c>
    </row>
    <row r="77" spans="1:19" outlineLevel="1" x14ac:dyDescent="0.3">
      <c r="A77" s="22" t="s">
        <v>306</v>
      </c>
      <c r="B77" s="22"/>
      <c r="C77" s="35">
        <v>0.1</v>
      </c>
      <c r="D77" s="22"/>
      <c r="E77" s="34">
        <f>ROUND(E76*C77,2)</f>
        <v>0</v>
      </c>
      <c r="G77" s="22" t="s">
        <v>306</v>
      </c>
      <c r="H77" s="22"/>
      <c r="I77" s="35">
        <v>0.1</v>
      </c>
      <c r="J77" s="22"/>
      <c r="K77" s="34">
        <f>ROUND(K76*I77,2)</f>
        <v>0</v>
      </c>
      <c r="M77" s="22" t="s">
        <v>306</v>
      </c>
      <c r="N77" s="22"/>
      <c r="O77" s="35">
        <v>0.1</v>
      </c>
      <c r="P77" s="22"/>
      <c r="Q77" s="34">
        <f>ROUND(Q76*O77,2)</f>
        <v>0</v>
      </c>
    </row>
    <row r="78" spans="1:19" outlineLevel="1" x14ac:dyDescent="0.3">
      <c r="A78" s="22" t="s">
        <v>64</v>
      </c>
      <c r="B78" s="22" t="s">
        <v>307</v>
      </c>
      <c r="C78" s="35">
        <v>0.21</v>
      </c>
      <c r="D78" s="22"/>
      <c r="E78" s="34">
        <f>ROUND(E76*C78,2)</f>
        <v>0</v>
      </c>
      <c r="G78" s="22" t="s">
        <v>64</v>
      </c>
      <c r="H78" s="22" t="s">
        <v>307</v>
      </c>
      <c r="I78" s="35">
        <v>0.21</v>
      </c>
      <c r="J78" s="22"/>
      <c r="K78" s="34">
        <f>ROUND(K76*I78,2)</f>
        <v>0</v>
      </c>
      <c r="M78" s="22" t="s">
        <v>64</v>
      </c>
      <c r="N78" s="22" t="s">
        <v>307</v>
      </c>
      <c r="O78" s="35">
        <v>0.21</v>
      </c>
      <c r="P78" s="22"/>
      <c r="Q78" s="34">
        <f>ROUND(Q76*O78,2)</f>
        <v>0</v>
      </c>
    </row>
    <row r="79" spans="1:19" ht="15" outlineLevel="1" thickBot="1" x14ac:dyDescent="0.35">
      <c r="A79" s="36" t="s">
        <v>294</v>
      </c>
      <c r="B79" s="36" t="s">
        <v>308</v>
      </c>
      <c r="C79" s="37">
        <v>0.21</v>
      </c>
      <c r="D79" s="36"/>
      <c r="E79" s="38">
        <f>ROUND(E77*C79,2)</f>
        <v>0</v>
      </c>
      <c r="G79" s="36" t="s">
        <v>294</v>
      </c>
      <c r="H79" s="36" t="s">
        <v>308</v>
      </c>
      <c r="I79" s="37">
        <v>0.21</v>
      </c>
      <c r="J79" s="36"/>
      <c r="K79" s="38">
        <f>ROUND(K77*I79,2)</f>
        <v>0</v>
      </c>
      <c r="M79" s="36" t="s">
        <v>294</v>
      </c>
      <c r="N79" s="36" t="s">
        <v>308</v>
      </c>
      <c r="O79" s="37">
        <v>0.21</v>
      </c>
      <c r="P79" s="36"/>
      <c r="Q79" s="38">
        <f>ROUND(Q77*O79,2)</f>
        <v>0</v>
      </c>
    </row>
    <row r="80" spans="1:19" ht="15" outlineLevel="1" thickTop="1" x14ac:dyDescent="0.3">
      <c r="A80" s="22" t="s">
        <v>282</v>
      </c>
      <c r="B80" s="22"/>
      <c r="C80" s="35"/>
      <c r="D80" s="22"/>
      <c r="E80" s="96">
        <f>SUM(E77:E79)+E76</f>
        <v>0</v>
      </c>
      <c r="G80" s="22" t="s">
        <v>282</v>
      </c>
      <c r="H80" s="22"/>
      <c r="I80" s="35"/>
      <c r="J80" s="22"/>
      <c r="K80" s="96">
        <f>SUM(K77:K79)+K76</f>
        <v>0</v>
      </c>
      <c r="M80" s="22" t="s">
        <v>282</v>
      </c>
      <c r="N80" s="22"/>
      <c r="O80" s="35"/>
      <c r="P80" s="22"/>
      <c r="Q80" s="96">
        <f>SUM(Q77:Q79)+Q76</f>
        <v>0</v>
      </c>
    </row>
    <row r="81" spans="1:17" ht="15" outlineLevel="1" thickBot="1" x14ac:dyDescent="0.35">
      <c r="A81" s="18"/>
      <c r="B81" s="18"/>
      <c r="C81" s="39"/>
      <c r="D81" s="18"/>
      <c r="G81" s="18"/>
      <c r="H81" s="18"/>
      <c r="I81" s="39"/>
      <c r="J81" s="18"/>
      <c r="M81" s="18"/>
      <c r="N81" s="18"/>
      <c r="O81" s="39"/>
      <c r="P81" s="18"/>
    </row>
    <row r="82" spans="1:17" outlineLevel="2" x14ac:dyDescent="0.3">
      <c r="A82" s="1014" t="s">
        <v>283</v>
      </c>
      <c r="B82" s="1015"/>
      <c r="C82" s="1015"/>
      <c r="D82" s="1016"/>
      <c r="E82" s="1016"/>
      <c r="G82" s="1014" t="s">
        <v>283</v>
      </c>
      <c r="H82" s="1015"/>
      <c r="I82" s="1015"/>
      <c r="J82" s="1016"/>
      <c r="K82" s="1016"/>
      <c r="M82" s="1014" t="s">
        <v>283</v>
      </c>
      <c r="N82" s="1015"/>
      <c r="O82" s="1015"/>
      <c r="P82" s="1016"/>
      <c r="Q82" s="1016"/>
    </row>
    <row r="83" spans="1:17" outlineLevel="2" x14ac:dyDescent="0.3">
      <c r="A83" s="1025" t="s">
        <v>274</v>
      </c>
      <c r="B83" s="1025" t="s">
        <v>275</v>
      </c>
      <c r="C83" s="1025" t="s">
        <v>276</v>
      </c>
      <c r="D83" s="1025"/>
      <c r="E83" s="1025" t="s">
        <v>277</v>
      </c>
      <c r="G83" s="1025" t="s">
        <v>274</v>
      </c>
      <c r="H83" s="1025" t="s">
        <v>275</v>
      </c>
      <c r="I83" s="1025" t="s">
        <v>276</v>
      </c>
      <c r="J83" s="1025"/>
      <c r="K83" s="1025" t="s">
        <v>277</v>
      </c>
      <c r="M83" s="1025" t="s">
        <v>274</v>
      </c>
      <c r="N83" s="1025" t="s">
        <v>275</v>
      </c>
      <c r="O83" s="1025" t="s">
        <v>276</v>
      </c>
      <c r="P83" s="1025"/>
      <c r="Q83" s="1025" t="s">
        <v>277</v>
      </c>
    </row>
    <row r="84" spans="1:17" outlineLevel="2" x14ac:dyDescent="0.3">
      <c r="A84" s="1026">
        <f>A54+A66</f>
        <v>0</v>
      </c>
      <c r="B84" s="1027">
        <f>IF(B50=Bron!$E$40,55,0)</f>
        <v>0</v>
      </c>
      <c r="C84" s="1025">
        <f>C54</f>
        <v>2.3958200000000001</v>
      </c>
      <c r="D84" s="1025"/>
      <c r="E84" s="1028">
        <f>ROUND(A84*B84*C84,2)</f>
        <v>0</v>
      </c>
      <c r="G84" s="1026">
        <f>G54+G66</f>
        <v>0</v>
      </c>
      <c r="H84" s="1027">
        <f>IF(H50=Bron!$E$40,55,0)</f>
        <v>0</v>
      </c>
      <c r="I84" s="1025">
        <f>I54</f>
        <v>2.3958200000000001</v>
      </c>
      <c r="J84" s="1025"/>
      <c r="K84" s="1028">
        <f>ROUND(G84*H84*I84,2)</f>
        <v>0</v>
      </c>
      <c r="M84" s="1026">
        <f>M54+M66</f>
        <v>0</v>
      </c>
      <c r="N84" s="1027">
        <f>IF(N50=Bron!$E$40,55,0)</f>
        <v>0</v>
      </c>
      <c r="O84" s="1025">
        <f>O54</f>
        <v>2.3958200000000001</v>
      </c>
      <c r="P84" s="1025"/>
      <c r="Q84" s="1028">
        <f>ROUND(M84*N84*O84,2)</f>
        <v>0</v>
      </c>
    </row>
    <row r="85" spans="1:17" ht="15" outlineLevel="2" thickBot="1" x14ac:dyDescent="0.35">
      <c r="A85" s="32" t="s">
        <v>285</v>
      </c>
      <c r="B85" s="1028">
        <f>'Bouwkost VERB'!$E$52+'Bouwkost UITB'!$E$51</f>
        <v>0</v>
      </c>
      <c r="C85" s="1029">
        <v>0.6</v>
      </c>
      <c r="D85" s="1025"/>
      <c r="E85" s="1028">
        <f>B85*C85</f>
        <v>0</v>
      </c>
      <c r="G85" s="32" t="s">
        <v>285</v>
      </c>
      <c r="H85" s="1028">
        <f>'Bouwkost VERB'!$P$52+'Bouwkost UITB'!$P$51</f>
        <v>0</v>
      </c>
      <c r="I85" s="1029">
        <v>0.6</v>
      </c>
      <c r="J85" s="1025"/>
      <c r="K85" s="1028">
        <f>H85*I85</f>
        <v>0</v>
      </c>
      <c r="M85" s="32" t="s">
        <v>285</v>
      </c>
      <c r="N85" s="1028">
        <f>'Bouwkost VERB'!$AA$52+'Bouwkost UITB'!$AA$51</f>
        <v>0</v>
      </c>
      <c r="O85" s="1029">
        <v>0.6</v>
      </c>
      <c r="P85" s="1025"/>
      <c r="Q85" s="1028">
        <f>N85*O85</f>
        <v>0</v>
      </c>
    </row>
    <row r="86" spans="1:17" ht="15" outlineLevel="2" thickBot="1" x14ac:dyDescent="0.35">
      <c r="A86" s="1011" t="s">
        <v>286</v>
      </c>
      <c r="B86" s="1028">
        <f>'Bouwkost VERB'!$E$58+'Bouwkost UITB'!$E$57</f>
        <v>0</v>
      </c>
      <c r="C86" s="1029">
        <v>0.6</v>
      </c>
      <c r="D86" s="1025"/>
      <c r="E86" s="1028">
        <f>B86*C86</f>
        <v>0</v>
      </c>
      <c r="G86" s="32" t="s">
        <v>291</v>
      </c>
      <c r="H86" s="1028">
        <f>'Bouwkost VERB'!$P$58+'Bouwkost UITB'!$P$57</f>
        <v>0</v>
      </c>
      <c r="I86" s="1029">
        <v>0.6</v>
      </c>
      <c r="J86" s="1025"/>
      <c r="K86" s="1028">
        <f>H86*I86</f>
        <v>0</v>
      </c>
      <c r="M86" s="32" t="s">
        <v>291</v>
      </c>
      <c r="N86" s="1028">
        <f>'Bouwkost VERB'!$AA$58+'Bouwkost UITB'!$AA$57</f>
        <v>0</v>
      </c>
      <c r="O86" s="1029">
        <v>0.6</v>
      </c>
      <c r="P86" s="1025"/>
      <c r="Q86" s="1028">
        <f>N86*O86</f>
        <v>0</v>
      </c>
    </row>
    <row r="87" spans="1:17" outlineLevel="2" x14ac:dyDescent="0.3">
      <c r="A87" s="1234" t="s">
        <v>287</v>
      </c>
      <c r="B87" s="1234"/>
      <c r="C87" s="133"/>
      <c r="D87" s="1030" t="s">
        <v>40</v>
      </c>
      <c r="E87" s="24">
        <f>MIN(E84,E85+E86)</f>
        <v>0</v>
      </c>
      <c r="G87" s="1234" t="s">
        <v>287</v>
      </c>
      <c r="H87" s="1234"/>
      <c r="I87" s="133"/>
      <c r="J87" s="1030" t="s">
        <v>40</v>
      </c>
      <c r="K87" s="24">
        <f>MIN(K84,K85+K86)</f>
        <v>0</v>
      </c>
      <c r="M87" s="1234" t="s">
        <v>287</v>
      </c>
      <c r="N87" s="1234"/>
      <c r="O87" s="133"/>
      <c r="P87" s="1030" t="s">
        <v>40</v>
      </c>
      <c r="Q87" s="24">
        <f>MIN(Q84,Q85+Q86)</f>
        <v>0</v>
      </c>
    </row>
    <row r="88" spans="1:17" outlineLevel="2" x14ac:dyDescent="0.3">
      <c r="A88" s="8" t="s">
        <v>279</v>
      </c>
      <c r="B88" s="8"/>
      <c r="C88" s="9">
        <v>0.1</v>
      </c>
      <c r="D88" s="9"/>
      <c r="E88" s="24">
        <f>ROUND(E87*C88,2)</f>
        <v>0</v>
      </c>
      <c r="G88" s="8" t="s">
        <v>279</v>
      </c>
      <c r="H88" s="8"/>
      <c r="I88" s="9">
        <v>0.1</v>
      </c>
      <c r="J88" s="9"/>
      <c r="K88" s="24">
        <f>ROUND(K87*I88,2)</f>
        <v>0</v>
      </c>
      <c r="M88" s="8" t="s">
        <v>279</v>
      </c>
      <c r="N88" s="8"/>
      <c r="O88" s="9">
        <v>0.1</v>
      </c>
      <c r="P88" s="9"/>
      <c r="Q88" s="24">
        <f>ROUND(Q87*O88,2)</f>
        <v>0</v>
      </c>
    </row>
    <row r="89" spans="1:17" outlineLevel="2" x14ac:dyDescent="0.3">
      <c r="A89" s="8" t="s">
        <v>64</v>
      </c>
      <c r="B89" s="8" t="s">
        <v>293</v>
      </c>
      <c r="C89" s="97">
        <f>IF(A81=Bron!$B$11,'Overzicht BTA'!C96,IF(A81=Bron!$B$12,'Overzicht BTA'!C95,0))</f>
        <v>0</v>
      </c>
      <c r="D89" s="9"/>
      <c r="E89" s="24">
        <f>ROUND(E87*C89,2)</f>
        <v>0</v>
      </c>
      <c r="G89" s="8" t="s">
        <v>64</v>
      </c>
      <c r="H89" s="8" t="s">
        <v>293</v>
      </c>
      <c r="I89" s="97">
        <f>IF(G81=Bron!$B$11,'Overzicht BTA'!I96,IF(G81=Bron!$B$12,'Overzicht BTA'!I95,0))</f>
        <v>0</v>
      </c>
      <c r="J89" s="9"/>
      <c r="K89" s="24">
        <f>ROUND(K87*I89,2)</f>
        <v>0</v>
      </c>
      <c r="M89" s="8" t="s">
        <v>64</v>
      </c>
      <c r="N89" s="8" t="s">
        <v>293</v>
      </c>
      <c r="O89" s="97">
        <f>IF(M81=Bron!$B$11,'Overzicht BTA'!O96,IF(M81=Bron!$B$12,'Overzicht BTA'!O95,0))</f>
        <v>0</v>
      </c>
      <c r="P89" s="9"/>
      <c r="Q89" s="24">
        <f>ROUND(Q87*O89,2)</f>
        <v>0</v>
      </c>
    </row>
    <row r="90" spans="1:17" ht="15" outlineLevel="2" thickBot="1" x14ac:dyDescent="0.35">
      <c r="A90" s="8" t="s">
        <v>64</v>
      </c>
      <c r="B90" s="50" t="s">
        <v>281</v>
      </c>
      <c r="C90" s="9">
        <v>0.21</v>
      </c>
      <c r="D90" s="26"/>
      <c r="E90" s="27">
        <f>ROUND(E88*C90,2)</f>
        <v>0</v>
      </c>
      <c r="G90" s="8" t="s">
        <v>64</v>
      </c>
      <c r="H90" s="50" t="s">
        <v>281</v>
      </c>
      <c r="I90" s="9">
        <v>0.21</v>
      </c>
      <c r="J90" s="26"/>
      <c r="K90" s="27">
        <f>ROUND(K88*I90,2)</f>
        <v>0</v>
      </c>
      <c r="M90" s="8" t="s">
        <v>64</v>
      </c>
      <c r="N90" s="50" t="s">
        <v>281</v>
      </c>
      <c r="O90" s="9">
        <v>0.21</v>
      </c>
      <c r="P90" s="26"/>
      <c r="Q90" s="27">
        <f>ROUND(Q88*O90,2)</f>
        <v>0</v>
      </c>
    </row>
    <row r="91" spans="1:17" ht="15" outlineLevel="2" thickTop="1" x14ac:dyDescent="0.3">
      <c r="A91" s="28" t="s">
        <v>282</v>
      </c>
      <c r="B91" s="29"/>
      <c r="C91" s="30"/>
      <c r="D91" s="31"/>
      <c r="E91" s="80">
        <f>SUM(E87:E90)</f>
        <v>0</v>
      </c>
      <c r="G91" s="28" t="s">
        <v>282</v>
      </c>
      <c r="H91" s="29"/>
      <c r="I91" s="30"/>
      <c r="J91" s="31"/>
      <c r="K91" s="80">
        <f>SUM(K87:K90)</f>
        <v>0</v>
      </c>
      <c r="M91" s="28" t="s">
        <v>282</v>
      </c>
      <c r="N91" s="29"/>
      <c r="O91" s="30"/>
      <c r="P91" s="31"/>
      <c r="Q91" s="80">
        <f>SUM(Q87:Q90)</f>
        <v>0</v>
      </c>
    </row>
    <row r="92" spans="1:17" outlineLevel="1" x14ac:dyDescent="0.3">
      <c r="A92" s="18"/>
      <c r="B92" s="18"/>
      <c r="C92" s="39"/>
      <c r="D92" s="18"/>
      <c r="G92" s="18"/>
      <c r="H92" s="18"/>
      <c r="I92" s="39"/>
      <c r="J92" s="18"/>
      <c r="M92" s="18"/>
      <c r="N92" s="18"/>
      <c r="O92" s="39"/>
      <c r="P92" s="18"/>
    </row>
    <row r="93" spans="1:17" outlineLevel="1" x14ac:dyDescent="0.3">
      <c r="A93" s="22" t="s">
        <v>309</v>
      </c>
      <c r="B93" s="22"/>
      <c r="C93" s="35"/>
      <c r="D93" s="22"/>
      <c r="E93" s="495">
        <f>E61+E70+E80+E91</f>
        <v>0</v>
      </c>
      <c r="G93" s="22" t="s">
        <v>309</v>
      </c>
      <c r="H93" s="22"/>
      <c r="I93" s="35"/>
      <c r="J93" s="22"/>
      <c r="K93" s="495">
        <f>K61+K70+K80+K91</f>
        <v>0</v>
      </c>
      <c r="M93" s="22" t="s">
        <v>309</v>
      </c>
      <c r="N93" s="22"/>
      <c r="O93" s="35"/>
      <c r="P93" s="22"/>
      <c r="Q93" s="495">
        <f>Q61+Q70+Q80+Q91</f>
        <v>0</v>
      </c>
    </row>
    <row r="94" spans="1:17" ht="15" outlineLevel="1" thickBot="1" x14ac:dyDescent="0.35">
      <c r="A94" s="18"/>
      <c r="B94" s="18"/>
      <c r="C94" s="39"/>
      <c r="D94" s="18"/>
      <c r="G94" s="18"/>
      <c r="H94" s="18"/>
      <c r="I94" s="39"/>
      <c r="J94" s="18"/>
      <c r="M94" s="18"/>
      <c r="N94" s="18"/>
      <c r="O94" s="39"/>
      <c r="P94" s="18"/>
    </row>
    <row r="95" spans="1:17" ht="15" customHeight="1" outlineLevel="1" thickBot="1" x14ac:dyDescent="0.35">
      <c r="A95" s="1224" t="s">
        <v>314</v>
      </c>
      <c r="B95" s="1225"/>
      <c r="C95" s="127">
        <f>E57+E66+E76+E87</f>
        <v>0</v>
      </c>
      <c r="D95" s="131" t="s">
        <v>289</v>
      </c>
      <c r="E95" s="492">
        <f>C95*10/6</f>
        <v>0</v>
      </c>
      <c r="G95" s="1224" t="s">
        <v>314</v>
      </c>
      <c r="H95" s="1225"/>
      <c r="I95" s="127">
        <f>K57+K66+K76+K87</f>
        <v>0</v>
      </c>
      <c r="J95" s="131" t="s">
        <v>289</v>
      </c>
      <c r="K95" s="492">
        <f>I95*10/6</f>
        <v>0</v>
      </c>
      <c r="M95" s="1224" t="s">
        <v>314</v>
      </c>
      <c r="N95" s="1225"/>
      <c r="O95" s="127">
        <f>Q57+Q66+Q76+Q87</f>
        <v>0</v>
      </c>
      <c r="P95" s="131" t="s">
        <v>289</v>
      </c>
      <c r="Q95" s="492">
        <f>O95*10/6</f>
        <v>0</v>
      </c>
    </row>
    <row r="97" spans="1:17" ht="18" x14ac:dyDescent="0.3">
      <c r="A97" s="1223" t="s">
        <v>92</v>
      </c>
      <c r="B97" s="1223"/>
      <c r="C97" s="1223"/>
      <c r="D97" s="1223"/>
      <c r="E97" s="1223"/>
      <c r="F97" s="1223"/>
      <c r="G97" s="1223"/>
      <c r="H97" s="1223"/>
      <c r="I97" s="1223"/>
      <c r="J97" s="1223"/>
      <c r="K97" s="1223"/>
      <c r="L97" s="1223"/>
      <c r="M97" s="1223"/>
      <c r="N97" s="1223"/>
      <c r="O97" s="1223"/>
      <c r="P97" s="1223"/>
      <c r="Q97" s="1223"/>
    </row>
    <row r="98" spans="1:17" outlineLevel="1" x14ac:dyDescent="0.3">
      <c r="A98" s="106" t="s">
        <v>23</v>
      </c>
      <c r="B98" s="106" t="str">
        <f>'Overzicht BTA'!C3</f>
        <v>Kies de zorgvorm</v>
      </c>
      <c r="C98" s="106"/>
      <c r="D98" s="106"/>
      <c r="E98" s="106"/>
      <c r="F98" s="106"/>
      <c r="G98" s="106" t="s">
        <v>23</v>
      </c>
      <c r="H98" s="106" t="str">
        <f>'Overzicht BTA'!H3</f>
        <v>Kies de zorgvorm</v>
      </c>
      <c r="I98" s="106"/>
      <c r="J98" s="106"/>
      <c r="K98" s="106"/>
      <c r="L98" s="106"/>
      <c r="M98" s="106" t="s">
        <v>23</v>
      </c>
      <c r="N98" s="106" t="str">
        <f>'Overzicht BTA'!N3</f>
        <v>Kies de zorgvorm</v>
      </c>
      <c r="O98" s="106"/>
      <c r="P98" s="106"/>
      <c r="Q98" s="106"/>
    </row>
    <row r="99" spans="1:17" outlineLevel="1" x14ac:dyDescent="0.3">
      <c r="A99" s="134" t="str">
        <f>IF(ISNUMBER(MATCH(Bron!$B$11,'Overzicht BTA'!B$7:B$10,0)),Bron!$B$11,IF(ISNUMBER(MATCH(Bron!$B$12,'Overzicht BTA'!B$7:B$10,0)),Bron!$B$12,"/"))</f>
        <v>/</v>
      </c>
      <c r="B99" s="135"/>
      <c r="C99" s="135"/>
      <c r="D99" s="135"/>
      <c r="E99" s="136"/>
      <c r="G99" s="134" t="str">
        <f>IF(ISNUMBER(MATCH(Bron!$B$11,'Overzicht BTA'!H$7:H$10,0)),Bron!$B$11,IF(ISNUMBER(MATCH(Bron!$B$12,'Overzicht BTA'!H$7:H$10,0)),Bron!$B$12,"/"))</f>
        <v>/</v>
      </c>
      <c r="H99" s="135"/>
      <c r="I99" s="135"/>
      <c r="J99" s="135"/>
      <c r="K99" s="136"/>
      <c r="M99" s="134" t="str">
        <f>IF(ISNUMBER(MATCH(Bron!$B$11,'Overzicht BTA'!$N$7:$N$9,0)),Bron!$B$11,IF(ISNUMBER(MATCH(Bron!$B$12,'Overzicht BTA'!N$7:N$10,0)),Bron!$B$12,"/"))</f>
        <v>/</v>
      </c>
      <c r="N99" s="135"/>
      <c r="O99" s="135"/>
      <c r="P99" s="135"/>
      <c r="Q99" s="136"/>
    </row>
    <row r="100" spans="1:17" outlineLevel="1" x14ac:dyDescent="0.3">
      <c r="A100" s="109" t="s">
        <v>311</v>
      </c>
      <c r="B100" s="110"/>
      <c r="C100" s="111"/>
      <c r="D100" s="111"/>
      <c r="E100" s="111"/>
      <c r="G100" s="109" t="s">
        <v>311</v>
      </c>
      <c r="H100" s="110"/>
      <c r="I100" s="111"/>
      <c r="J100" s="111"/>
      <c r="K100" s="111"/>
      <c r="M100" s="109" t="s">
        <v>311</v>
      </c>
      <c r="N100" s="110"/>
      <c r="O100" s="111"/>
      <c r="P100" s="111"/>
      <c r="Q100" s="111"/>
    </row>
    <row r="101" spans="1:17" outlineLevel="1" x14ac:dyDescent="0.3">
      <c r="A101" s="70" t="s">
        <v>304</v>
      </c>
      <c r="B101" s="32" t="s">
        <v>275</v>
      </c>
      <c r="C101" s="32" t="s">
        <v>276</v>
      </c>
      <c r="D101" s="33"/>
      <c r="E101" s="32" t="s">
        <v>277</v>
      </c>
      <c r="G101" s="70" t="s">
        <v>304</v>
      </c>
      <c r="H101" s="32" t="s">
        <v>275</v>
      </c>
      <c r="I101" s="32" t="s">
        <v>276</v>
      </c>
      <c r="J101" s="33"/>
      <c r="K101" s="32" t="s">
        <v>277</v>
      </c>
      <c r="M101" s="70" t="s">
        <v>304</v>
      </c>
      <c r="N101" s="32" t="s">
        <v>275</v>
      </c>
      <c r="O101" s="32" t="s">
        <v>276</v>
      </c>
      <c r="P101" s="33"/>
      <c r="Q101" s="32" t="s">
        <v>277</v>
      </c>
    </row>
    <row r="102" spans="1:17" outlineLevel="1" x14ac:dyDescent="0.3">
      <c r="A102" s="368">
        <f>A54</f>
        <v>0</v>
      </c>
      <c r="B102" s="909">
        <f>B54</f>
        <v>0</v>
      </c>
      <c r="C102" s="71">
        <f>'Overzicht BTA'!$D$38</f>
        <v>2.3958200000000001</v>
      </c>
      <c r="D102" s="72">
        <f>IF(A99=Bron!$B$11,0.75,1)</f>
        <v>1</v>
      </c>
      <c r="E102" s="73">
        <f>ROUND(A102*B102*C102*D102,2)</f>
        <v>0</v>
      </c>
      <c r="G102" s="368">
        <f>G54</f>
        <v>0</v>
      </c>
      <c r="H102" s="909">
        <f>H54</f>
        <v>0</v>
      </c>
      <c r="I102" s="71">
        <f>'Overzicht BTA'!$D$38</f>
        <v>2.3958200000000001</v>
      </c>
      <c r="J102" s="72">
        <f>IF(G99=Bron!$B$11,0.75,1)</f>
        <v>1</v>
      </c>
      <c r="K102" s="73">
        <f>ROUND(G102*H102*I102*J102,2)</f>
        <v>0</v>
      </c>
      <c r="M102" s="368">
        <f>M54</f>
        <v>0</v>
      </c>
      <c r="N102" s="909">
        <f>N54</f>
        <v>0</v>
      </c>
      <c r="O102" s="71">
        <f>'Overzicht BTA'!$D$38</f>
        <v>2.3958200000000001</v>
      </c>
      <c r="P102" s="72">
        <f>IF(M99=Bron!$B$11,0.75,1)</f>
        <v>1</v>
      </c>
      <c r="Q102" s="73">
        <f>ROUND(M102*N102*O102*P102,2)</f>
        <v>0</v>
      </c>
    </row>
    <row r="103" spans="1:17" outlineLevel="1" x14ac:dyDescent="0.3">
      <c r="A103" s="62" t="s">
        <v>312</v>
      </c>
      <c r="B103" s="63">
        <f>B55*$C$102/$C$54</f>
        <v>0</v>
      </c>
      <c r="C103" s="64">
        <v>0.6</v>
      </c>
      <c r="D103" s="62"/>
      <c r="E103" s="63">
        <f>ROUND(B103*C103,2)</f>
        <v>0</v>
      </c>
      <c r="G103" s="62" t="s">
        <v>312</v>
      </c>
      <c r="H103" s="63">
        <f>H55*$C$102/$C$54</f>
        <v>0</v>
      </c>
      <c r="I103" s="64">
        <v>0.6</v>
      </c>
      <c r="J103" s="62"/>
      <c r="K103" s="63">
        <f>ROUND(H103*I103,2)</f>
        <v>0</v>
      </c>
      <c r="M103" s="62" t="s">
        <v>312</v>
      </c>
      <c r="N103" s="63">
        <f>N55*$C$102/$C$54</f>
        <v>0</v>
      </c>
      <c r="O103" s="64">
        <v>0.6</v>
      </c>
      <c r="P103" s="62"/>
      <c r="Q103" s="63">
        <f>ROUND(N103*O103,2)</f>
        <v>0</v>
      </c>
    </row>
    <row r="104" spans="1:17" outlineLevel="1" x14ac:dyDescent="0.3">
      <c r="A104" s="538" t="s">
        <v>313</v>
      </c>
      <c r="B104" s="63">
        <f>B56*$C$102/$C$54</f>
        <v>0</v>
      </c>
      <c r="C104" s="64">
        <v>0.6</v>
      </c>
      <c r="D104" s="62"/>
      <c r="E104" s="63">
        <f>ROUND(B104*C104,2)</f>
        <v>0</v>
      </c>
      <c r="G104" s="538" t="s">
        <v>313</v>
      </c>
      <c r="H104" s="63">
        <f>H56*$C$102/$C$54</f>
        <v>0</v>
      </c>
      <c r="I104" s="64">
        <v>0.6</v>
      </c>
      <c r="J104" s="62"/>
      <c r="K104" s="63">
        <f>ROUND(H104*I104,2)</f>
        <v>0</v>
      </c>
      <c r="M104" s="538" t="s">
        <v>313</v>
      </c>
      <c r="N104" s="63">
        <f>N56*$C$102/$C$54</f>
        <v>0</v>
      </c>
      <c r="O104" s="64">
        <v>0.6</v>
      </c>
      <c r="P104" s="62"/>
      <c r="Q104" s="63">
        <f>ROUND(N104*O104,2)</f>
        <v>0</v>
      </c>
    </row>
    <row r="105" spans="1:17" outlineLevel="1" x14ac:dyDescent="0.3">
      <c r="A105" s="1238" t="s">
        <v>287</v>
      </c>
      <c r="B105" s="1239"/>
      <c r="C105" s="9"/>
      <c r="D105" s="132" t="s">
        <v>19</v>
      </c>
      <c r="E105" s="24">
        <f>MIN(E102,E103+E104)</f>
        <v>0</v>
      </c>
      <c r="G105" s="1238" t="s">
        <v>287</v>
      </c>
      <c r="H105" s="1239"/>
      <c r="I105" s="9"/>
      <c r="J105" s="132" t="s">
        <v>19</v>
      </c>
      <c r="K105" s="24">
        <f>MIN(K102,K103+K104)</f>
        <v>0</v>
      </c>
      <c r="M105" s="1238" t="s">
        <v>287</v>
      </c>
      <c r="N105" s="1239"/>
      <c r="O105" s="9"/>
      <c r="P105" s="132" t="s">
        <v>19</v>
      </c>
      <c r="Q105" s="24">
        <f>MIN(Q102,Q103+Q104)</f>
        <v>0</v>
      </c>
    </row>
    <row r="106" spans="1:17" outlineLevel="1" x14ac:dyDescent="0.3">
      <c r="A106" s="8" t="s">
        <v>279</v>
      </c>
      <c r="B106" s="8"/>
      <c r="C106" s="9">
        <v>0.1</v>
      </c>
      <c r="D106" s="9"/>
      <c r="E106" s="24">
        <f>ROUND(E105*C106,2)</f>
        <v>0</v>
      </c>
      <c r="G106" s="8" t="s">
        <v>279</v>
      </c>
      <c r="H106" s="8"/>
      <c r="I106" s="9">
        <v>0.1</v>
      </c>
      <c r="J106" s="9"/>
      <c r="K106" s="24">
        <f>ROUND(K105*I106,2)</f>
        <v>0</v>
      </c>
      <c r="M106" s="8" t="s">
        <v>279</v>
      </c>
      <c r="N106" s="8"/>
      <c r="O106" s="9">
        <v>0.1</v>
      </c>
      <c r="P106" s="9"/>
      <c r="Q106" s="24">
        <f>ROUND(Q105*O106,2)</f>
        <v>0</v>
      </c>
    </row>
    <row r="107" spans="1:17" outlineLevel="1" x14ac:dyDescent="0.3">
      <c r="A107" s="8" t="s">
        <v>64</v>
      </c>
      <c r="B107" s="8" t="s">
        <v>293</v>
      </c>
      <c r="C107" s="97">
        <f>C59</f>
        <v>0</v>
      </c>
      <c r="D107" s="9"/>
      <c r="E107" s="24">
        <f>ROUND(E105*C107,2)</f>
        <v>0</v>
      </c>
      <c r="G107" s="8" t="s">
        <v>64</v>
      </c>
      <c r="H107" s="8" t="s">
        <v>293</v>
      </c>
      <c r="I107" s="97">
        <f>I59</f>
        <v>0</v>
      </c>
      <c r="J107" s="9"/>
      <c r="K107" s="24">
        <f>ROUND(K105*I107,2)</f>
        <v>0</v>
      </c>
      <c r="M107" s="8" t="s">
        <v>64</v>
      </c>
      <c r="N107" s="8" t="s">
        <v>293</v>
      </c>
      <c r="O107" s="97">
        <f>O59</f>
        <v>0</v>
      </c>
      <c r="P107" s="9"/>
      <c r="Q107" s="24">
        <f>ROUND(Q105*O107,2)</f>
        <v>0</v>
      </c>
    </row>
    <row r="108" spans="1:17" ht="15" outlineLevel="1" thickBot="1" x14ac:dyDescent="0.35">
      <c r="A108" s="8" t="s">
        <v>64</v>
      </c>
      <c r="B108" s="50" t="s">
        <v>281</v>
      </c>
      <c r="C108" s="9">
        <v>0.21</v>
      </c>
      <c r="D108" s="26"/>
      <c r="E108" s="27">
        <f>ROUND(E106*C108,2)</f>
        <v>0</v>
      </c>
      <c r="G108" s="8" t="s">
        <v>64</v>
      </c>
      <c r="H108" s="50" t="s">
        <v>281</v>
      </c>
      <c r="I108" s="9">
        <v>0.21</v>
      </c>
      <c r="J108" s="26"/>
      <c r="K108" s="27">
        <f>ROUND(K106*I108,2)</f>
        <v>0</v>
      </c>
      <c r="M108" s="8" t="s">
        <v>64</v>
      </c>
      <c r="N108" s="50" t="s">
        <v>281</v>
      </c>
      <c r="O108" s="9">
        <v>0.21</v>
      </c>
      <c r="P108" s="26"/>
      <c r="Q108" s="27">
        <f>ROUND(Q106*O108,2)</f>
        <v>0</v>
      </c>
    </row>
    <row r="109" spans="1:17" ht="15" outlineLevel="1" thickTop="1" x14ac:dyDescent="0.3">
      <c r="A109" s="28" t="s">
        <v>282</v>
      </c>
      <c r="B109" s="29"/>
      <c r="C109" s="30"/>
      <c r="D109" s="31"/>
      <c r="E109" s="80">
        <f>SUM(E105:E108)</f>
        <v>0</v>
      </c>
      <c r="G109" s="28" t="s">
        <v>282</v>
      </c>
      <c r="H109" s="29"/>
      <c r="I109" s="30"/>
      <c r="J109" s="31"/>
      <c r="K109" s="80">
        <f>SUM(K105:K108)</f>
        <v>0</v>
      </c>
      <c r="M109" s="28" t="s">
        <v>282</v>
      </c>
      <c r="N109" s="29"/>
      <c r="O109" s="30"/>
      <c r="P109" s="31"/>
      <c r="Q109" s="80">
        <f>SUM(Q105:Q108)</f>
        <v>0</v>
      </c>
    </row>
    <row r="110" spans="1:17" outlineLevel="1" x14ac:dyDescent="0.3"/>
    <row r="111" spans="1:17" outlineLevel="1" x14ac:dyDescent="0.3">
      <c r="A111" s="134" t="s">
        <v>72</v>
      </c>
      <c r="B111" s="135"/>
      <c r="C111" s="135"/>
      <c r="D111" s="135"/>
      <c r="E111" s="136"/>
      <c r="G111" s="134" t="s">
        <v>72</v>
      </c>
      <c r="H111" s="135"/>
      <c r="I111" s="135"/>
      <c r="J111" s="135"/>
      <c r="K111" s="136"/>
      <c r="M111" s="134" t="s">
        <v>72</v>
      </c>
      <c r="N111" s="135"/>
      <c r="O111" s="135"/>
      <c r="P111" s="135"/>
      <c r="Q111" s="136"/>
    </row>
    <row r="112" spans="1:17" outlineLevel="1" x14ac:dyDescent="0.3">
      <c r="A112" s="1235" t="s">
        <v>300</v>
      </c>
      <c r="B112" s="1236"/>
      <c r="C112" s="111"/>
      <c r="D112" s="111"/>
      <c r="E112" s="111"/>
      <c r="G112" s="1235" t="s">
        <v>300</v>
      </c>
      <c r="H112" s="1236"/>
      <c r="I112" s="111"/>
      <c r="J112" s="111"/>
      <c r="K112" s="111"/>
      <c r="M112" s="1235" t="s">
        <v>300</v>
      </c>
      <c r="N112" s="1236"/>
      <c r="O112" s="111"/>
      <c r="P112" s="111"/>
      <c r="Q112" s="111"/>
    </row>
    <row r="113" spans="1:17" outlineLevel="1" x14ac:dyDescent="0.3">
      <c r="A113" s="369" t="s">
        <v>301</v>
      </c>
      <c r="B113" s="369" t="s">
        <v>275</v>
      </c>
      <c r="C113" s="369" t="s">
        <v>276</v>
      </c>
      <c r="D113" s="369"/>
      <c r="E113" s="369" t="s">
        <v>277</v>
      </c>
      <c r="G113" s="369" t="s">
        <v>301</v>
      </c>
      <c r="H113" s="369" t="s">
        <v>275</v>
      </c>
      <c r="I113" s="369" t="s">
        <v>276</v>
      </c>
      <c r="J113" s="369"/>
      <c r="K113" s="369" t="s">
        <v>277</v>
      </c>
      <c r="M113" s="369" t="s">
        <v>301</v>
      </c>
      <c r="N113" s="369" t="s">
        <v>275</v>
      </c>
      <c r="O113" s="369" t="s">
        <v>276</v>
      </c>
      <c r="P113" s="369"/>
      <c r="Q113" s="369" t="s">
        <v>277</v>
      </c>
    </row>
    <row r="114" spans="1:17" ht="15" outlineLevel="1" thickBot="1" x14ac:dyDescent="0.35">
      <c r="A114" s="368">
        <f>A66</f>
        <v>0</v>
      </c>
      <c r="B114" s="909">
        <f>B66</f>
        <v>0</v>
      </c>
      <c r="C114" s="71">
        <f>'Overzicht BTA'!$D$38</f>
        <v>2.3958200000000001</v>
      </c>
      <c r="D114" s="219" t="s">
        <v>29</v>
      </c>
      <c r="E114" s="220">
        <f>ROUND(A114*B114*C114,2)</f>
        <v>0</v>
      </c>
      <c r="G114" s="368">
        <f>G66</f>
        <v>0</v>
      </c>
      <c r="H114" s="909">
        <f>H66</f>
        <v>0</v>
      </c>
      <c r="I114" s="71">
        <f>'Overzicht BTA'!$D$38</f>
        <v>2.3958200000000001</v>
      </c>
      <c r="J114" s="219" t="s">
        <v>29</v>
      </c>
      <c r="K114" s="220">
        <f>ROUND(G114*H114*I114,2)</f>
        <v>0</v>
      </c>
      <c r="M114" s="368">
        <f>M66</f>
        <v>0</v>
      </c>
      <c r="N114" s="909">
        <f>N66</f>
        <v>0</v>
      </c>
      <c r="O114" s="71">
        <f>'Overzicht BTA'!$D$38</f>
        <v>2.3958200000000001</v>
      </c>
      <c r="P114" s="219" t="s">
        <v>29</v>
      </c>
      <c r="Q114" s="220">
        <f>ROUND(M114*N114*O114,2)</f>
        <v>0</v>
      </c>
    </row>
    <row r="115" spans="1:17" ht="15" outlineLevel="1" thickBot="1" x14ac:dyDescent="0.35">
      <c r="A115" s="5" t="s">
        <v>302</v>
      </c>
      <c r="B115" s="8"/>
      <c r="C115" s="9">
        <v>0.1</v>
      </c>
      <c r="D115" s="9"/>
      <c r="E115" s="24">
        <f>ROUND(E114*C115,2)</f>
        <v>0</v>
      </c>
      <c r="G115" s="5" t="s">
        <v>302</v>
      </c>
      <c r="H115" s="8"/>
      <c r="I115" s="9">
        <v>0.1</v>
      </c>
      <c r="J115" s="9"/>
      <c r="K115" s="24">
        <f>ROUND(K114*I115,2)</f>
        <v>0</v>
      </c>
      <c r="M115" s="5" t="s">
        <v>302</v>
      </c>
      <c r="N115" s="8"/>
      <c r="O115" s="9">
        <v>0.1</v>
      </c>
      <c r="P115" s="9"/>
      <c r="Q115" s="24">
        <f>ROUND(Q114*O115,2)</f>
        <v>0</v>
      </c>
    </row>
    <row r="116" spans="1:17" outlineLevel="1" x14ac:dyDescent="0.3">
      <c r="A116" s="8" t="s">
        <v>64</v>
      </c>
      <c r="B116" s="8" t="s">
        <v>293</v>
      </c>
      <c r="C116" s="97">
        <f>C68</f>
        <v>0</v>
      </c>
      <c r="D116" s="9"/>
      <c r="E116" s="24">
        <f>ROUND(E114*C116,2)</f>
        <v>0</v>
      </c>
      <c r="G116" s="8" t="s">
        <v>64</v>
      </c>
      <c r="H116" s="8" t="s">
        <v>293</v>
      </c>
      <c r="I116" s="97">
        <f>I68</f>
        <v>0</v>
      </c>
      <c r="J116" s="9"/>
      <c r="K116" s="24">
        <f>ROUND(K114*I116,2)</f>
        <v>0</v>
      </c>
      <c r="M116" s="8" t="s">
        <v>64</v>
      </c>
      <c r="N116" s="8" t="s">
        <v>293</v>
      </c>
      <c r="O116" s="97">
        <f>O68</f>
        <v>0</v>
      </c>
      <c r="P116" s="9"/>
      <c r="Q116" s="24">
        <f>ROUND(Q114*O116,2)</f>
        <v>0</v>
      </c>
    </row>
    <row r="117" spans="1:17" ht="15" outlineLevel="1" thickBot="1" x14ac:dyDescent="0.35">
      <c r="A117" s="8" t="s">
        <v>64</v>
      </c>
      <c r="B117" s="50" t="s">
        <v>281</v>
      </c>
      <c r="C117" s="9">
        <v>0.21</v>
      </c>
      <c r="D117" s="26"/>
      <c r="E117" s="27">
        <f>ROUND(E115*C117,2)</f>
        <v>0</v>
      </c>
      <c r="G117" s="8" t="s">
        <v>64</v>
      </c>
      <c r="H117" s="50" t="s">
        <v>281</v>
      </c>
      <c r="I117" s="9">
        <v>0.21</v>
      </c>
      <c r="J117" s="26"/>
      <c r="K117" s="27">
        <f>ROUND(K115*I117,2)</f>
        <v>0</v>
      </c>
      <c r="M117" s="8" t="s">
        <v>64</v>
      </c>
      <c r="N117" s="50" t="s">
        <v>281</v>
      </c>
      <c r="O117" s="9">
        <v>0.21</v>
      </c>
      <c r="P117" s="26"/>
      <c r="Q117" s="27">
        <f>ROUND(Q115*O117,2)</f>
        <v>0</v>
      </c>
    </row>
    <row r="118" spans="1:17" ht="15" outlineLevel="1" thickTop="1" x14ac:dyDescent="0.3">
      <c r="A118" s="28" t="s">
        <v>282</v>
      </c>
      <c r="B118" s="29"/>
      <c r="C118" s="30"/>
      <c r="D118" s="31"/>
      <c r="E118" s="95">
        <f>SUM(E114:E117)</f>
        <v>0</v>
      </c>
      <c r="G118" s="28" t="s">
        <v>282</v>
      </c>
      <c r="H118" s="29"/>
      <c r="I118" s="30"/>
      <c r="J118" s="31"/>
      <c r="K118" s="95">
        <f>SUM(K114:K117)</f>
        <v>0</v>
      </c>
      <c r="M118" s="28" t="s">
        <v>282</v>
      </c>
      <c r="N118" s="29"/>
      <c r="O118" s="30"/>
      <c r="P118" s="31"/>
      <c r="Q118" s="95">
        <f>SUM(Q114:Q117)</f>
        <v>0</v>
      </c>
    </row>
    <row r="119" spans="1:17" outlineLevel="1" x14ac:dyDescent="0.3"/>
    <row r="120" spans="1:17" outlineLevel="1" x14ac:dyDescent="0.3">
      <c r="A120" s="1232" t="s">
        <v>303</v>
      </c>
      <c r="B120" s="1233"/>
      <c r="C120" s="153"/>
      <c r="D120" s="154"/>
      <c r="E120" s="153"/>
      <c r="G120" s="1232" t="s">
        <v>303</v>
      </c>
      <c r="H120" s="1233"/>
      <c r="I120" s="153"/>
      <c r="J120" s="154"/>
      <c r="K120" s="153"/>
      <c r="M120" s="1232" t="s">
        <v>303</v>
      </c>
      <c r="N120" s="1233"/>
      <c r="O120" s="153"/>
      <c r="P120" s="154"/>
      <c r="Q120" s="153"/>
    </row>
    <row r="121" spans="1:17" outlineLevel="1" x14ac:dyDescent="0.3">
      <c r="A121" s="70" t="s">
        <v>304</v>
      </c>
      <c r="B121" s="32" t="s">
        <v>275</v>
      </c>
      <c r="C121" s="32" t="s">
        <v>276</v>
      </c>
      <c r="D121" s="33"/>
      <c r="E121" s="32" t="s">
        <v>277</v>
      </c>
      <c r="G121" s="70" t="s">
        <v>304</v>
      </c>
      <c r="H121" s="32" t="s">
        <v>275</v>
      </c>
      <c r="I121" s="32" t="s">
        <v>276</v>
      </c>
      <c r="J121" s="33"/>
      <c r="K121" s="32" t="s">
        <v>277</v>
      </c>
      <c r="M121" s="70" t="s">
        <v>304</v>
      </c>
      <c r="N121" s="32" t="s">
        <v>275</v>
      </c>
      <c r="O121" s="32" t="s">
        <v>276</v>
      </c>
      <c r="P121" s="33"/>
      <c r="Q121" s="32" t="s">
        <v>277</v>
      </c>
    </row>
    <row r="122" spans="1:17" outlineLevel="1" x14ac:dyDescent="0.3">
      <c r="A122" s="367">
        <f>A114+A102</f>
        <v>0</v>
      </c>
      <c r="B122" s="909">
        <f>B74</f>
        <v>0</v>
      </c>
      <c r="C122" s="71">
        <f>'Overzicht BTA'!$D$38</f>
        <v>2.3958200000000001</v>
      </c>
      <c r="D122" s="72"/>
      <c r="E122" s="73">
        <f>ROUND(A122*B122*C122,2)</f>
        <v>0</v>
      </c>
      <c r="G122" s="367">
        <f>G114+G102</f>
        <v>0</v>
      </c>
      <c r="H122" s="909">
        <f>H74</f>
        <v>0</v>
      </c>
      <c r="I122" s="71">
        <f>'Overzicht BTA'!$D$38</f>
        <v>2.3958200000000001</v>
      </c>
      <c r="J122" s="72"/>
      <c r="K122" s="73">
        <f>ROUND(G122*H122*I122,2)</f>
        <v>0</v>
      </c>
      <c r="M122" s="367">
        <f>M114+M102</f>
        <v>0</v>
      </c>
      <c r="N122" s="909">
        <f>N74</f>
        <v>0</v>
      </c>
      <c r="O122" s="71">
        <f>'Overzicht BTA'!$D$38</f>
        <v>2.3958200000000001</v>
      </c>
      <c r="P122" s="72"/>
      <c r="Q122" s="73">
        <f>ROUND(M122*N122*O122,2)</f>
        <v>0</v>
      </c>
    </row>
    <row r="123" spans="1:17" outlineLevel="1" x14ac:dyDescent="0.3">
      <c r="A123" s="65" t="s">
        <v>305</v>
      </c>
      <c r="B123" s="63">
        <f>B75*C122/C74</f>
        <v>0</v>
      </c>
      <c r="C123" s="66">
        <v>0.6</v>
      </c>
      <c r="D123" s="67"/>
      <c r="E123" s="68">
        <f>ROUND(B123*C123,2)</f>
        <v>0</v>
      </c>
      <c r="G123" s="65" t="s">
        <v>305</v>
      </c>
      <c r="H123" s="63">
        <f>H75*I122/I74</f>
        <v>0</v>
      </c>
      <c r="I123" s="66">
        <v>0.6</v>
      </c>
      <c r="J123" s="67"/>
      <c r="K123" s="68">
        <f>ROUND(H123*I123,2)</f>
        <v>0</v>
      </c>
      <c r="M123" s="65" t="s">
        <v>305</v>
      </c>
      <c r="N123" s="63">
        <f>N75*O122/O74</f>
        <v>0</v>
      </c>
      <c r="O123" s="66">
        <v>0.6</v>
      </c>
      <c r="P123" s="67"/>
      <c r="Q123" s="68">
        <f>ROUND(N123*O123,2)</f>
        <v>0</v>
      </c>
    </row>
    <row r="124" spans="1:17" outlineLevel="1" x14ac:dyDescent="0.3">
      <c r="A124" s="1220" t="s">
        <v>287</v>
      </c>
      <c r="B124" s="1221"/>
      <c r="C124" s="20"/>
      <c r="D124" s="133" t="s">
        <v>32</v>
      </c>
      <c r="E124" s="34">
        <f>MIN(E122,E123)</f>
        <v>0</v>
      </c>
      <c r="G124" s="1220" t="s">
        <v>287</v>
      </c>
      <c r="H124" s="1221"/>
      <c r="I124" s="20"/>
      <c r="J124" s="133" t="s">
        <v>32</v>
      </c>
      <c r="K124" s="34">
        <f>MIN(K122,K123)</f>
        <v>0</v>
      </c>
      <c r="M124" s="1220" t="s">
        <v>287</v>
      </c>
      <c r="N124" s="1221"/>
      <c r="O124" s="20"/>
      <c r="P124" s="133" t="s">
        <v>32</v>
      </c>
      <c r="Q124" s="34">
        <f>MIN(Q122,Q123)</f>
        <v>0</v>
      </c>
    </row>
    <row r="125" spans="1:17" outlineLevel="1" x14ac:dyDescent="0.3">
      <c r="A125" s="22" t="s">
        <v>306</v>
      </c>
      <c r="B125" s="22"/>
      <c r="C125" s="35">
        <v>0.1</v>
      </c>
      <c r="D125" s="22"/>
      <c r="E125" s="34">
        <f>ROUND(E124*C125,2)</f>
        <v>0</v>
      </c>
      <c r="G125" s="22" t="s">
        <v>306</v>
      </c>
      <c r="H125" s="22"/>
      <c r="I125" s="35">
        <v>0.1</v>
      </c>
      <c r="J125" s="22"/>
      <c r="K125" s="34">
        <f>ROUND(K124*I125,2)</f>
        <v>0</v>
      </c>
      <c r="M125" s="22" t="s">
        <v>306</v>
      </c>
      <c r="N125" s="22"/>
      <c r="O125" s="35">
        <v>0.1</v>
      </c>
      <c r="P125" s="22"/>
      <c r="Q125" s="34">
        <f>ROUND(Q124*O125,2)</f>
        <v>0</v>
      </c>
    </row>
    <row r="126" spans="1:17" outlineLevel="1" x14ac:dyDescent="0.3">
      <c r="A126" s="22" t="s">
        <v>64</v>
      </c>
      <c r="B126" s="22" t="s">
        <v>307</v>
      </c>
      <c r="C126" s="35">
        <v>0.21</v>
      </c>
      <c r="D126" s="22"/>
      <c r="E126" s="34">
        <f>ROUND(E124*C126,2)</f>
        <v>0</v>
      </c>
      <c r="G126" s="22" t="s">
        <v>64</v>
      </c>
      <c r="H126" s="22" t="s">
        <v>307</v>
      </c>
      <c r="I126" s="35">
        <v>0.21</v>
      </c>
      <c r="J126" s="22"/>
      <c r="K126" s="34">
        <f>ROUND(K124*I126,2)</f>
        <v>0</v>
      </c>
      <c r="M126" s="22" t="s">
        <v>64</v>
      </c>
      <c r="N126" s="22" t="s">
        <v>307</v>
      </c>
      <c r="O126" s="35">
        <v>0.21</v>
      </c>
      <c r="P126" s="22"/>
      <c r="Q126" s="34">
        <f>ROUND(Q124*O126,2)</f>
        <v>0</v>
      </c>
    </row>
    <row r="127" spans="1:17" ht="15" outlineLevel="1" thickBot="1" x14ac:dyDescent="0.35">
      <c r="A127" s="36" t="s">
        <v>294</v>
      </c>
      <c r="B127" s="36" t="s">
        <v>308</v>
      </c>
      <c r="C127" s="37">
        <v>0.21</v>
      </c>
      <c r="D127" s="36"/>
      <c r="E127" s="38">
        <f>ROUND(E125*C127,2)</f>
        <v>0</v>
      </c>
      <c r="G127" s="36" t="s">
        <v>294</v>
      </c>
      <c r="H127" s="36" t="s">
        <v>308</v>
      </c>
      <c r="I127" s="37">
        <v>0.21</v>
      </c>
      <c r="J127" s="36"/>
      <c r="K127" s="38">
        <f>ROUND(K125*I127,2)</f>
        <v>0</v>
      </c>
      <c r="M127" s="36" t="s">
        <v>294</v>
      </c>
      <c r="N127" s="36" t="s">
        <v>308</v>
      </c>
      <c r="O127" s="37">
        <v>0.21</v>
      </c>
      <c r="P127" s="36"/>
      <c r="Q127" s="38">
        <f>ROUND(Q125*O127,2)</f>
        <v>0</v>
      </c>
    </row>
    <row r="128" spans="1:17" ht="15" outlineLevel="1" thickTop="1" x14ac:dyDescent="0.3">
      <c r="A128" s="22" t="s">
        <v>282</v>
      </c>
      <c r="B128" s="22"/>
      <c r="C128" s="35"/>
      <c r="D128" s="22"/>
      <c r="E128" s="96">
        <f>SUM(E125:E127)+E124</f>
        <v>0</v>
      </c>
      <c r="G128" s="22" t="s">
        <v>282</v>
      </c>
      <c r="H128" s="22"/>
      <c r="I128" s="35"/>
      <c r="J128" s="22"/>
      <c r="K128" s="96">
        <f>SUM(K125:K127)+K124</f>
        <v>0</v>
      </c>
      <c r="M128" s="22" t="s">
        <v>282</v>
      </c>
      <c r="N128" s="22"/>
      <c r="O128" s="35"/>
      <c r="P128" s="22"/>
      <c r="Q128" s="96">
        <f>SUM(Q125:Q127)+Q124</f>
        <v>0</v>
      </c>
    </row>
    <row r="129" spans="1:17" ht="15" outlineLevel="1" thickBot="1" x14ac:dyDescent="0.35">
      <c r="A129" s="18"/>
      <c r="B129" s="18"/>
      <c r="C129" s="39"/>
      <c r="D129" s="18"/>
      <c r="G129" s="18"/>
      <c r="H129" s="18"/>
      <c r="I129" s="39"/>
      <c r="J129" s="18"/>
      <c r="M129" s="18"/>
      <c r="N129" s="18"/>
      <c r="O129" s="39"/>
      <c r="P129" s="18"/>
    </row>
    <row r="130" spans="1:17" outlineLevel="2" x14ac:dyDescent="0.3">
      <c r="A130" s="1014" t="s">
        <v>283</v>
      </c>
      <c r="B130" s="1015"/>
      <c r="C130" s="1015"/>
      <c r="D130" s="1016"/>
      <c r="E130" s="1016"/>
      <c r="G130" s="1014" t="s">
        <v>283</v>
      </c>
      <c r="H130" s="1015"/>
      <c r="I130" s="1015"/>
      <c r="J130" s="1016"/>
      <c r="K130" s="1016"/>
      <c r="M130" s="1014" t="s">
        <v>283</v>
      </c>
      <c r="N130" s="1015"/>
      <c r="O130" s="1015"/>
      <c r="P130" s="1016"/>
      <c r="Q130" s="1016"/>
    </row>
    <row r="131" spans="1:17" outlineLevel="2" x14ac:dyDescent="0.3">
      <c r="A131" s="1025" t="s">
        <v>274</v>
      </c>
      <c r="B131" s="1025" t="s">
        <v>275</v>
      </c>
      <c r="C131" s="1025" t="s">
        <v>276</v>
      </c>
      <c r="D131" s="1025"/>
      <c r="E131" s="1025" t="s">
        <v>277</v>
      </c>
      <c r="G131" s="1025" t="s">
        <v>274</v>
      </c>
      <c r="H131" s="1025" t="s">
        <v>275</v>
      </c>
      <c r="I131" s="1025" t="s">
        <v>276</v>
      </c>
      <c r="J131" s="1025"/>
      <c r="K131" s="1025" t="s">
        <v>277</v>
      </c>
      <c r="M131" s="1025" t="s">
        <v>274</v>
      </c>
      <c r="N131" s="1025" t="s">
        <v>275</v>
      </c>
      <c r="O131" s="1025" t="s">
        <v>276</v>
      </c>
      <c r="P131" s="1025"/>
      <c r="Q131" s="1025" t="s">
        <v>277</v>
      </c>
    </row>
    <row r="132" spans="1:17" outlineLevel="2" x14ac:dyDescent="0.3">
      <c r="A132" s="1026">
        <f>A102+A114</f>
        <v>0</v>
      </c>
      <c r="B132" s="1027">
        <f>IF(B98=Bron!$E$40,55,0)</f>
        <v>0</v>
      </c>
      <c r="C132" s="1025">
        <f>C102</f>
        <v>2.3958200000000001</v>
      </c>
      <c r="D132" s="1025"/>
      <c r="E132" s="1028">
        <f>ROUND(A132*B132*C132,2)</f>
        <v>0</v>
      </c>
      <c r="G132" s="1026">
        <f>G102+G114</f>
        <v>0</v>
      </c>
      <c r="H132" s="1027">
        <f>IF(H98=Bron!$E$40,55,0)</f>
        <v>0</v>
      </c>
      <c r="I132" s="1025">
        <f>I102</f>
        <v>2.3958200000000001</v>
      </c>
      <c r="J132" s="1025"/>
      <c r="K132" s="1028">
        <f>ROUND(G132*H132*I132,2)</f>
        <v>0</v>
      </c>
      <c r="M132" s="1026">
        <f>M102+M114</f>
        <v>0</v>
      </c>
      <c r="N132" s="1027">
        <f>IF(N98=Bron!$E$40,55,0)</f>
        <v>0</v>
      </c>
      <c r="O132" s="1025">
        <f>O102</f>
        <v>2.3958200000000001</v>
      </c>
      <c r="P132" s="1025"/>
      <c r="Q132" s="1028">
        <f>ROUND(M132*N132*O132,2)</f>
        <v>0</v>
      </c>
    </row>
    <row r="133" spans="1:17" ht="15" outlineLevel="2" thickBot="1" x14ac:dyDescent="0.35">
      <c r="A133" s="32" t="s">
        <v>285</v>
      </c>
      <c r="B133" s="1028">
        <f>'Bouwkost VERB'!$E$52+'Bouwkost UITB'!$E$51</f>
        <v>0</v>
      </c>
      <c r="C133" s="1029">
        <v>0.6</v>
      </c>
      <c r="D133" s="1025"/>
      <c r="E133" s="1028">
        <f>B133*C133</f>
        <v>0</v>
      </c>
      <c r="G133" s="32" t="s">
        <v>285</v>
      </c>
      <c r="H133" s="1028">
        <f>'Bouwkost VERB'!$P$52+'Bouwkost UITB'!$P$51</f>
        <v>0</v>
      </c>
      <c r="I133" s="1029">
        <v>0.6</v>
      </c>
      <c r="J133" s="1025"/>
      <c r="K133" s="1028">
        <f>H133*I133</f>
        <v>0</v>
      </c>
      <c r="M133" s="32" t="s">
        <v>285</v>
      </c>
      <c r="N133" s="1028">
        <f>'Bouwkost VERB'!$AA$52+'Bouwkost UITB'!$AA$51</f>
        <v>0</v>
      </c>
      <c r="O133" s="1029">
        <v>0.6</v>
      </c>
      <c r="P133" s="1025"/>
      <c r="Q133" s="1028">
        <f>N133*O133</f>
        <v>0</v>
      </c>
    </row>
    <row r="134" spans="1:17" ht="15" outlineLevel="2" thickBot="1" x14ac:dyDescent="0.35">
      <c r="A134" s="1011" t="s">
        <v>286</v>
      </c>
      <c r="B134" s="1028">
        <f>'Bouwkost VERB'!$E$58+'Bouwkost UITB'!$E$57</f>
        <v>0</v>
      </c>
      <c r="C134" s="1029">
        <v>0.6</v>
      </c>
      <c r="D134" s="1025"/>
      <c r="E134" s="1028">
        <f>B134*C134</f>
        <v>0</v>
      </c>
      <c r="G134" s="32" t="s">
        <v>291</v>
      </c>
      <c r="H134" s="1028">
        <f>'Bouwkost VERB'!$P$58+'Bouwkost UITB'!$P$57</f>
        <v>0</v>
      </c>
      <c r="I134" s="1029">
        <v>0.6</v>
      </c>
      <c r="J134" s="1025"/>
      <c r="K134" s="1028">
        <f>H134*I134</f>
        <v>0</v>
      </c>
      <c r="M134" s="32" t="s">
        <v>291</v>
      </c>
      <c r="N134" s="1028">
        <f>'Bouwkost VERB'!$AA$58+'Bouwkost UITB'!$AA$57</f>
        <v>0</v>
      </c>
      <c r="O134" s="1029">
        <v>0.6</v>
      </c>
      <c r="P134" s="1025"/>
      <c r="Q134" s="1028">
        <f>N134*O134</f>
        <v>0</v>
      </c>
    </row>
    <row r="135" spans="1:17" outlineLevel="2" x14ac:dyDescent="0.3">
      <c r="A135" s="1234" t="s">
        <v>287</v>
      </c>
      <c r="B135" s="1234"/>
      <c r="C135" s="133"/>
      <c r="D135" s="1030" t="s">
        <v>40</v>
      </c>
      <c r="E135" s="24">
        <f>MIN(E132,E133+E134)</f>
        <v>0</v>
      </c>
      <c r="G135" s="1234" t="s">
        <v>287</v>
      </c>
      <c r="H135" s="1234"/>
      <c r="I135" s="133"/>
      <c r="J135" s="1030" t="s">
        <v>40</v>
      </c>
      <c r="K135" s="24">
        <f>MIN(K132,K133+K134)</f>
        <v>0</v>
      </c>
      <c r="M135" s="1234" t="s">
        <v>287</v>
      </c>
      <c r="N135" s="1234"/>
      <c r="O135" s="133"/>
      <c r="P135" s="1030" t="s">
        <v>40</v>
      </c>
      <c r="Q135" s="24">
        <f>MIN(Q132,Q133+Q134)</f>
        <v>0</v>
      </c>
    </row>
    <row r="136" spans="1:17" outlineLevel="2" x14ac:dyDescent="0.3">
      <c r="A136" s="8" t="s">
        <v>279</v>
      </c>
      <c r="B136" s="8"/>
      <c r="C136" s="9">
        <v>0.1</v>
      </c>
      <c r="D136" s="9"/>
      <c r="E136" s="24">
        <f>ROUND(E135*C136,2)</f>
        <v>0</v>
      </c>
      <c r="G136" s="8" t="s">
        <v>279</v>
      </c>
      <c r="H136" s="8"/>
      <c r="I136" s="9">
        <v>0.1</v>
      </c>
      <c r="J136" s="9"/>
      <c r="K136" s="24">
        <f>ROUND(K135*I136,2)</f>
        <v>0</v>
      </c>
      <c r="M136" s="8" t="s">
        <v>279</v>
      </c>
      <c r="N136" s="8"/>
      <c r="O136" s="9">
        <v>0.1</v>
      </c>
      <c r="P136" s="9"/>
      <c r="Q136" s="24">
        <f>ROUND(Q135*O136,2)</f>
        <v>0</v>
      </c>
    </row>
    <row r="137" spans="1:17" outlineLevel="2" x14ac:dyDescent="0.3">
      <c r="A137" s="8" t="s">
        <v>64</v>
      </c>
      <c r="B137" s="8" t="s">
        <v>293</v>
      </c>
      <c r="C137" s="97">
        <f>IF(A129=Bron!$B$11,'Overzicht BTA'!C144,IF(A129=Bron!$B$12,'Overzicht BTA'!C143,0))</f>
        <v>0</v>
      </c>
      <c r="D137" s="9"/>
      <c r="E137" s="24">
        <f>ROUND(E135*C137,2)</f>
        <v>0</v>
      </c>
      <c r="G137" s="8" t="s">
        <v>64</v>
      </c>
      <c r="H137" s="8" t="s">
        <v>293</v>
      </c>
      <c r="I137" s="97">
        <f>IF(G129=Bron!$B$11,'Overzicht BTA'!I144,IF(G129=Bron!$B$12,'Overzicht BTA'!I143,0))</f>
        <v>0</v>
      </c>
      <c r="J137" s="9"/>
      <c r="K137" s="24">
        <f>ROUND(K135*I137,2)</f>
        <v>0</v>
      </c>
      <c r="M137" s="8" t="s">
        <v>64</v>
      </c>
      <c r="N137" s="8" t="s">
        <v>293</v>
      </c>
      <c r="O137" s="97">
        <f>IF(M129=Bron!$B$11,'Overzicht BTA'!O144,IF(M129=Bron!$B$12,'Overzicht BTA'!O143,0))</f>
        <v>0</v>
      </c>
      <c r="P137" s="9"/>
      <c r="Q137" s="24">
        <f>ROUND(Q135*O137,2)</f>
        <v>0</v>
      </c>
    </row>
    <row r="138" spans="1:17" ht="15" outlineLevel="2" thickBot="1" x14ac:dyDescent="0.35">
      <c r="A138" s="8" t="s">
        <v>64</v>
      </c>
      <c r="B138" s="50" t="s">
        <v>281</v>
      </c>
      <c r="C138" s="9">
        <v>0.21</v>
      </c>
      <c r="D138" s="26"/>
      <c r="E138" s="27">
        <f>ROUND(E136*C138,2)</f>
        <v>0</v>
      </c>
      <c r="G138" s="8" t="s">
        <v>64</v>
      </c>
      <c r="H138" s="50" t="s">
        <v>281</v>
      </c>
      <c r="I138" s="9">
        <v>0.21</v>
      </c>
      <c r="J138" s="26"/>
      <c r="K138" s="27">
        <f>ROUND(K136*I138,2)</f>
        <v>0</v>
      </c>
      <c r="M138" s="8" t="s">
        <v>64</v>
      </c>
      <c r="N138" s="50" t="s">
        <v>281</v>
      </c>
      <c r="O138" s="9">
        <v>0.21</v>
      </c>
      <c r="P138" s="26"/>
      <c r="Q138" s="27">
        <f>ROUND(Q136*O138,2)</f>
        <v>0</v>
      </c>
    </row>
    <row r="139" spans="1:17" ht="15" outlineLevel="2" thickTop="1" x14ac:dyDescent="0.3">
      <c r="A139" s="28" t="s">
        <v>282</v>
      </c>
      <c r="B139" s="29"/>
      <c r="C139" s="30"/>
      <c r="D139" s="31"/>
      <c r="E139" s="80">
        <f>SUM(E135:E138)</f>
        <v>0</v>
      </c>
      <c r="G139" s="28" t="s">
        <v>282</v>
      </c>
      <c r="H139" s="29"/>
      <c r="I139" s="30"/>
      <c r="J139" s="31"/>
      <c r="K139" s="80">
        <f>SUM(K135:K138)</f>
        <v>0</v>
      </c>
      <c r="M139" s="28" t="s">
        <v>282</v>
      </c>
      <c r="N139" s="29"/>
      <c r="O139" s="30"/>
      <c r="P139" s="31"/>
      <c r="Q139" s="80">
        <f>SUM(Q135:Q138)</f>
        <v>0</v>
      </c>
    </row>
    <row r="140" spans="1:17" outlineLevel="2" x14ac:dyDescent="0.3">
      <c r="A140" s="18"/>
      <c r="B140" s="18"/>
      <c r="C140" s="39"/>
      <c r="D140" s="18"/>
      <c r="G140" s="18"/>
      <c r="H140" s="18"/>
      <c r="I140" s="39"/>
      <c r="J140" s="18"/>
      <c r="M140" s="18"/>
      <c r="N140" s="18"/>
      <c r="O140" s="39"/>
      <c r="P140" s="18"/>
    </row>
    <row r="141" spans="1:17" outlineLevel="1" x14ac:dyDescent="0.3">
      <c r="A141" s="22" t="s">
        <v>309</v>
      </c>
      <c r="B141" s="22"/>
      <c r="C141" s="35"/>
      <c r="D141" s="22"/>
      <c r="E141" s="495">
        <f>E109+E118+E128+E139</f>
        <v>0</v>
      </c>
      <c r="G141" s="22" t="s">
        <v>309</v>
      </c>
      <c r="H141" s="22"/>
      <c r="I141" s="35"/>
      <c r="J141" s="22"/>
      <c r="K141" s="495">
        <f>K109+K118+K128+K139</f>
        <v>0</v>
      </c>
      <c r="M141" s="22" t="s">
        <v>309</v>
      </c>
      <c r="N141" s="22"/>
      <c r="O141" s="35"/>
      <c r="P141" s="22"/>
      <c r="Q141" s="495">
        <f>Q109+Q118+Q128+Q139</f>
        <v>0</v>
      </c>
    </row>
    <row r="142" spans="1:17" ht="15" outlineLevel="1" thickBot="1" x14ac:dyDescent="0.35">
      <c r="A142" s="18"/>
      <c r="B142" s="18"/>
      <c r="C142" s="39"/>
      <c r="D142" s="18"/>
      <c r="G142" s="18"/>
      <c r="H142" s="18"/>
      <c r="I142" s="39"/>
      <c r="J142" s="18"/>
      <c r="M142" s="18"/>
      <c r="N142" s="18"/>
      <c r="O142" s="39"/>
      <c r="P142" s="18"/>
    </row>
    <row r="143" spans="1:17" ht="15" customHeight="1" outlineLevel="1" thickBot="1" x14ac:dyDescent="0.35">
      <c r="A143" s="1224" t="s">
        <v>314</v>
      </c>
      <c r="B143" s="1225"/>
      <c r="C143" s="127">
        <f>E105+E114+E124+E135</f>
        <v>0</v>
      </c>
      <c r="D143" s="131" t="s">
        <v>289</v>
      </c>
      <c r="E143" s="492">
        <f>C143*10/6</f>
        <v>0</v>
      </c>
      <c r="G143" s="1224" t="s">
        <v>314</v>
      </c>
      <c r="H143" s="1225"/>
      <c r="I143" s="127">
        <f>K105+K114+K124+K135</f>
        <v>0</v>
      </c>
      <c r="J143" s="131" t="s">
        <v>289</v>
      </c>
      <c r="K143" s="492">
        <f>I143*10/6</f>
        <v>0</v>
      </c>
      <c r="M143" s="1224" t="s">
        <v>314</v>
      </c>
      <c r="N143" s="1225"/>
      <c r="O143" s="127">
        <f>Q105+Q114+Q124+Q135</f>
        <v>0</v>
      </c>
      <c r="P143" s="131" t="s">
        <v>289</v>
      </c>
      <c r="Q143" s="492">
        <f>O143*10/6</f>
        <v>0</v>
      </c>
    </row>
  </sheetData>
  <mergeCells count="56">
    <mergeCell ref="A112:B112"/>
    <mergeCell ref="G112:H112"/>
    <mergeCell ref="M112:N112"/>
    <mergeCell ref="A38:B38"/>
    <mergeCell ref="G38:H38"/>
    <mergeCell ref="M38:N38"/>
    <mergeCell ref="M64:N64"/>
    <mergeCell ref="A95:B95"/>
    <mergeCell ref="G95:H95"/>
    <mergeCell ref="M95:N95"/>
    <mergeCell ref="A49:Q49"/>
    <mergeCell ref="A72:B72"/>
    <mergeCell ref="G72:H72"/>
    <mergeCell ref="M72:N72"/>
    <mergeCell ref="A76:B76"/>
    <mergeCell ref="G76:H76"/>
    <mergeCell ref="A8:B8"/>
    <mergeCell ref="A15:B15"/>
    <mergeCell ref="A23:B23"/>
    <mergeCell ref="A27:B27"/>
    <mergeCell ref="A46:B46"/>
    <mergeCell ref="G8:H8"/>
    <mergeCell ref="G15:H15"/>
    <mergeCell ref="G23:H23"/>
    <mergeCell ref="G27:H27"/>
    <mergeCell ref="G46:H46"/>
    <mergeCell ref="M8:N8"/>
    <mergeCell ref="M15:N15"/>
    <mergeCell ref="M23:N23"/>
    <mergeCell ref="M27:N27"/>
    <mergeCell ref="M46:N46"/>
    <mergeCell ref="M76:N76"/>
    <mergeCell ref="A57:B57"/>
    <mergeCell ref="G57:H57"/>
    <mergeCell ref="M57:N57"/>
    <mergeCell ref="A64:B64"/>
    <mergeCell ref="G64:H64"/>
    <mergeCell ref="A105:B105"/>
    <mergeCell ref="G105:H105"/>
    <mergeCell ref="M105:N105"/>
    <mergeCell ref="A87:B87"/>
    <mergeCell ref="G87:H87"/>
    <mergeCell ref="M87:N87"/>
    <mergeCell ref="A97:Q97"/>
    <mergeCell ref="A143:B143"/>
    <mergeCell ref="G143:H143"/>
    <mergeCell ref="M143:N143"/>
    <mergeCell ref="A120:B120"/>
    <mergeCell ref="G120:H120"/>
    <mergeCell ref="M120:N120"/>
    <mergeCell ref="A124:B124"/>
    <mergeCell ref="G124:H124"/>
    <mergeCell ref="M124:N124"/>
    <mergeCell ref="A135:B135"/>
    <mergeCell ref="G135:H135"/>
    <mergeCell ref="M135:N135"/>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9"/>
  <dimension ref="A1:W166"/>
  <sheetViews>
    <sheetView topLeftCell="A14" zoomScale="90" zoomScaleNormal="90" workbookViewId="0">
      <selection activeCell="A5" sqref="A5"/>
    </sheetView>
  </sheetViews>
  <sheetFormatPr defaultColWidth="9.109375" defaultRowHeight="13.8" outlineLevelRow="2" outlineLevelCol="1" x14ac:dyDescent="0.3"/>
  <cols>
    <col min="1" max="1" width="24.5546875" style="18" customWidth="1" outlineLevel="1"/>
    <col min="2" max="2" width="15.6640625" style="18" customWidth="1" outlineLevel="1"/>
    <col min="3" max="3" width="14.6640625" style="18" bestFit="1" customWidth="1" outlineLevel="1"/>
    <col min="4" max="4" width="6.33203125" style="18" bestFit="1" customWidth="1" outlineLevel="1"/>
    <col min="5" max="5" width="15.6640625" style="18" bestFit="1" customWidth="1" outlineLevel="1"/>
    <col min="6" max="6" width="5" style="18" customWidth="1"/>
    <col min="7" max="7" width="24" style="18" hidden="1" customWidth="1" outlineLevel="1"/>
    <col min="8" max="8" width="15.6640625" style="18" hidden="1" customWidth="1" outlineLevel="1"/>
    <col min="9" max="9" width="8.88671875" style="18" hidden="1" customWidth="1" outlineLevel="1"/>
    <col min="10" max="10" width="5.33203125" style="18" hidden="1" customWidth="1" outlineLevel="1"/>
    <col min="11" max="11" width="15.6640625" style="18" hidden="1" customWidth="1" outlineLevel="1"/>
    <col min="12" max="12" width="4.33203125" style="18" customWidth="1" collapsed="1"/>
    <col min="13" max="13" width="24.5546875" style="18" hidden="1" customWidth="1" outlineLevel="1"/>
    <col min="14" max="14" width="15.6640625" style="18" hidden="1" customWidth="1" outlineLevel="1"/>
    <col min="15" max="15" width="8.88671875" style="18" hidden="1" customWidth="1" outlineLevel="1"/>
    <col min="16" max="16" width="5.33203125" style="18" hidden="1" customWidth="1" outlineLevel="1"/>
    <col min="17" max="17" width="15.6640625" style="18" hidden="1" customWidth="1" outlineLevel="1"/>
    <col min="18" max="18" width="9.109375" style="18" customWidth="1" collapsed="1"/>
    <col min="19" max="19" width="9.109375" style="18" hidden="1" customWidth="1"/>
    <col min="20" max="16384" width="9.109375" style="18"/>
  </cols>
  <sheetData>
    <row r="1" spans="1:19" s="54" customFormat="1" x14ac:dyDescent="0.3">
      <c r="A1" s="54" t="s">
        <v>292</v>
      </c>
      <c r="B1" s="54" t="str">
        <f>'Overzicht BTA'!C3</f>
        <v>Kies de zorgvorm</v>
      </c>
      <c r="G1" s="54" t="s">
        <v>292</v>
      </c>
      <c r="H1" s="54" t="str">
        <f>'Overzicht BTA'!H3</f>
        <v>Kies de zorgvorm</v>
      </c>
      <c r="M1" s="54" t="s">
        <v>292</v>
      </c>
      <c r="N1" s="54" t="str">
        <f>'Overzicht BTA'!N3</f>
        <v>Kies de zorgvorm</v>
      </c>
    </row>
    <row r="2" spans="1:19" x14ac:dyDescent="0.3">
      <c r="A2" s="134" t="s">
        <v>323</v>
      </c>
      <c r="B2" s="1057" t="b">
        <v>1</v>
      </c>
      <c r="C2" s="135"/>
      <c r="D2" s="135"/>
      <c r="E2" s="136"/>
      <c r="G2" s="134" t="s">
        <v>323</v>
      </c>
      <c r="H2" s="1057" t="b">
        <v>0</v>
      </c>
      <c r="I2" s="135"/>
      <c r="J2" s="135"/>
      <c r="K2" s="136"/>
      <c r="M2" s="134" t="s">
        <v>323</v>
      </c>
      <c r="N2" s="1057" t="b">
        <v>0</v>
      </c>
      <c r="O2" s="135"/>
      <c r="P2" s="135"/>
      <c r="Q2" s="136"/>
    </row>
    <row r="3" spans="1:19" ht="15" customHeight="1" x14ac:dyDescent="0.3">
      <c r="A3" s="69" t="s">
        <v>324</v>
      </c>
      <c r="B3" s="74"/>
      <c r="C3" s="61"/>
      <c r="D3" s="61"/>
      <c r="E3" s="61"/>
      <c r="G3" s="69" t="s">
        <v>324</v>
      </c>
      <c r="H3" s="74"/>
      <c r="I3" s="61"/>
      <c r="J3" s="61"/>
      <c r="K3" s="61"/>
      <c r="M3" s="69" t="s">
        <v>324</v>
      </c>
      <c r="N3" s="74"/>
      <c r="O3" s="61"/>
      <c r="P3" s="61"/>
      <c r="Q3" s="61"/>
    </row>
    <row r="4" spans="1:19" x14ac:dyDescent="0.3">
      <c r="A4" s="70" t="s">
        <v>325</v>
      </c>
      <c r="B4" s="32" t="s">
        <v>275</v>
      </c>
      <c r="C4" s="32" t="s">
        <v>276</v>
      </c>
      <c r="D4" s="33"/>
      <c r="E4" s="32" t="s">
        <v>277</v>
      </c>
      <c r="G4" s="70" t="s">
        <v>325</v>
      </c>
      <c r="H4" s="32" t="s">
        <v>275</v>
      </c>
      <c r="I4" s="32" t="s">
        <v>276</v>
      </c>
      <c r="J4" s="33"/>
      <c r="K4" s="32" t="s">
        <v>277</v>
      </c>
      <c r="M4" s="70" t="s">
        <v>325</v>
      </c>
      <c r="N4" s="32" t="s">
        <v>275</v>
      </c>
      <c r="O4" s="32" t="s">
        <v>276</v>
      </c>
      <c r="P4" s="33"/>
      <c r="Q4" s="32" t="s">
        <v>277</v>
      </c>
    </row>
    <row r="5" spans="1:19" x14ac:dyDescent="0.3">
      <c r="A5" s="368">
        <f>IF(ISNUMBER(MATCH(A2,'Overzicht BTA'!B7:B10,0)),IF(MATCH(Bron!$B$16,'Overzicht BTA'!B7:B10,0)=1,'Overzicht BTA'!D7,IF(MATCH(Bron!$B$16,'Overzicht BTA'!B7:B10,0)=2,'Overzicht BTA'!D8,IF(MATCH(Bron!$B$16,'Overzicht BTA'!B7:B10,0)=3,'Overzicht BTA'!D9,IF(MATCH(Bron!$B$16,'Overzicht BTA'!B7:B10,0)=4,'Overzicht BTA'!D10,0)))),0)</f>
        <v>0</v>
      </c>
      <c r="B5" s="912">
        <f>VLOOKUP('Overzicht BTA'!$C$3,'Capaciteiten &amp; forfaits'!$B$3:$H$76,4,FALSE)</f>
        <v>0</v>
      </c>
      <c r="C5" s="71">
        <f>'Overzicht BTA'!$D$36</f>
        <v>2.3958200000000001</v>
      </c>
      <c r="D5" s="77">
        <f>IF(OR('Overzicht BTA'!$C$22=TRUE,B2=TRUE),1,0.75)</f>
        <v>1</v>
      </c>
      <c r="E5" s="78">
        <f>ROUND(A5*B5*C5*D5,2)</f>
        <v>0</v>
      </c>
      <c r="G5" s="368">
        <f>IF(ISNUMBER(MATCH(G2,'Overzicht BTA'!H7:H10,0)),IF(MATCH(Bron!$B$16,'Overzicht BTA'!H7:H10,0)=1,'Overzicht BTA'!J7,IF(MATCH(Bron!$B$16,'Overzicht BTA'!H7:H10,0)=2,'Overzicht BTA'!J8,IF(MATCH(Bron!$B$16,'Overzicht BTA'!H7:H10,0)=3,'Overzicht BTA'!J9,IF(MATCH(Bron!$B$16,'Overzicht BTA'!H7:H10,0)=4,'Overzicht BTA'!J10,0)))),0)</f>
        <v>0</v>
      </c>
      <c r="H5" s="912">
        <f>VLOOKUP(H1,'Capaciteiten &amp; forfaits'!$B$3:$H$76,4,FALSE)</f>
        <v>0</v>
      </c>
      <c r="I5" s="71">
        <f>'Overzicht BTA'!$D$36</f>
        <v>2.3958200000000001</v>
      </c>
      <c r="J5" s="77">
        <f>IF(OR('Overzicht BTA'!$C$22=TRUE,H2=TRUE),1,0.75)</f>
        <v>0.75</v>
      </c>
      <c r="K5" s="78">
        <f>ROUND(G5*H5*I5*J5,2)</f>
        <v>0</v>
      </c>
      <c r="M5" s="368">
        <f>IF(ISNUMBER(MATCH(A2,'Overzicht BTA'!N7:N10,0)),IF(MATCH(Bron!$B$16,'Overzicht BTA'!N7:N10,0)=1,'Overzicht BTA'!P7,IF(MATCH(Bron!$B$16,'Overzicht BTA'!N7:N10,0)=2,'Overzicht BTA'!P8,IF(MATCH(Bron!$B$16,'Overzicht BTA'!N7:N10,0)=3,'Overzicht BTA'!P9,IF(MATCH(Bron!$B$16,'Overzicht BTA'!N7:N10,0)=4,'Overzicht BTA'!P10,0)))),0)</f>
        <v>0</v>
      </c>
      <c r="N5" s="912">
        <f>VLOOKUP(N1,'Capaciteiten &amp; forfaits'!$B$3:$H$76,4,FALSE)</f>
        <v>0</v>
      </c>
      <c r="O5" s="71">
        <f>'Overzicht BTA'!$D$36</f>
        <v>2.3958200000000001</v>
      </c>
      <c r="P5" s="77">
        <f>IF(OR('Overzicht BTA'!$C$22=TRUE,N2=TRUE),1,0.75)</f>
        <v>0.75</v>
      </c>
      <c r="Q5" s="78">
        <f>ROUND(M5*N5*O5*P5,2)</f>
        <v>0</v>
      </c>
    </row>
    <row r="6" spans="1:19" ht="28.2" thickBot="1" x14ac:dyDescent="0.35">
      <c r="A6" s="57" t="s">
        <v>326</v>
      </c>
      <c r="B6" s="913">
        <f>IF(B51&lt;B52*0.6,B51,B52)</f>
        <v>0</v>
      </c>
      <c r="C6" s="43">
        <f>IF(B6&lt;=B52*0.6,1,0.6)</f>
        <v>1</v>
      </c>
      <c r="D6" s="262"/>
      <c r="E6" s="124">
        <f>ROUND(B6*C6,2)</f>
        <v>0</v>
      </c>
      <c r="G6" s="57" t="s">
        <v>326</v>
      </c>
      <c r="H6" s="913">
        <f>IF(H51&lt;H52*0.6,H51,H52)</f>
        <v>0</v>
      </c>
      <c r="I6" s="43">
        <f>IF(H6&lt;=H52*0.6,1,0.6)</f>
        <v>1</v>
      </c>
      <c r="J6" s="75"/>
      <c r="K6" s="124">
        <f>ROUND(H6*I6,2)</f>
        <v>0</v>
      </c>
      <c r="M6" s="57" t="s">
        <v>326</v>
      </c>
      <c r="N6" s="913">
        <f>IF(N51&lt;N52*0.6,N51,N52)</f>
        <v>0</v>
      </c>
      <c r="O6" s="43">
        <f>IF(N6&lt;=N52*0.6,1,0.6)</f>
        <v>1</v>
      </c>
      <c r="P6" s="75"/>
      <c r="Q6" s="124">
        <f>ROUND(N6*O6,2)</f>
        <v>0</v>
      </c>
    </row>
    <row r="7" spans="1:19" ht="14.4" thickTop="1" x14ac:dyDescent="0.3">
      <c r="A7" s="112" t="s">
        <v>327</v>
      </c>
      <c r="B7" s="113"/>
      <c r="C7" s="114"/>
      <c r="D7" s="32"/>
      <c r="E7" s="63">
        <f>ROUND(IF(E5-E6&lt;0,0,E5-E6),2)</f>
        <v>0</v>
      </c>
      <c r="G7" s="112" t="s">
        <v>327</v>
      </c>
      <c r="H7" s="113"/>
      <c r="I7" s="114"/>
      <c r="J7" s="32"/>
      <c r="K7" s="63">
        <f>ROUND(IF(K5-K6&lt;0,0,K5-K6),2)</f>
        <v>0</v>
      </c>
      <c r="M7" s="112" t="s">
        <v>327</v>
      </c>
      <c r="N7" s="113"/>
      <c r="O7" s="114"/>
      <c r="P7" s="32"/>
      <c r="Q7" s="63">
        <f>ROUND(IF(Q5-Q6&lt;0,0,Q5-Q6),2)</f>
        <v>0</v>
      </c>
    </row>
    <row r="8" spans="1:19" x14ac:dyDescent="0.3">
      <c r="A8" s="41" t="s">
        <v>312</v>
      </c>
      <c r="B8" s="42">
        <f>B45</f>
        <v>0</v>
      </c>
      <c r="C8" s="43">
        <v>0.6</v>
      </c>
      <c r="D8" s="43"/>
      <c r="E8" s="42">
        <f>B8*C8</f>
        <v>0</v>
      </c>
      <c r="F8" s="51"/>
      <c r="G8" s="41" t="s">
        <v>312</v>
      </c>
      <c r="H8" s="42">
        <f>H45</f>
        <v>0</v>
      </c>
      <c r="I8" s="43">
        <v>0.6</v>
      </c>
      <c r="J8" s="43"/>
      <c r="K8" s="42">
        <f>H8*I8</f>
        <v>0</v>
      </c>
      <c r="M8" s="41" t="s">
        <v>312</v>
      </c>
      <c r="N8" s="42">
        <f>N46</f>
        <v>0</v>
      </c>
      <c r="O8" s="43">
        <v>0.6</v>
      </c>
      <c r="P8" s="43"/>
      <c r="Q8" s="42">
        <f>N8*O8</f>
        <v>0</v>
      </c>
    </row>
    <row r="9" spans="1:19" x14ac:dyDescent="0.3">
      <c r="A9" s="41" t="s">
        <v>328</v>
      </c>
      <c r="B9" s="42">
        <f>B46</f>
        <v>0</v>
      </c>
      <c r="C9" s="44">
        <v>0.6</v>
      </c>
      <c r="D9" s="43"/>
      <c r="E9" s="42">
        <f t="shared" ref="E9:E10" si="0">B9*C9</f>
        <v>0</v>
      </c>
      <c r="F9" s="51"/>
      <c r="G9" s="41" t="s">
        <v>328</v>
      </c>
      <c r="H9" s="42">
        <f>H46</f>
        <v>0</v>
      </c>
      <c r="I9" s="44">
        <v>0.6</v>
      </c>
      <c r="J9" s="43"/>
      <c r="K9" s="42">
        <f t="shared" ref="K9:K10" si="1">H9*I9</f>
        <v>0</v>
      </c>
      <c r="M9" s="41" t="s">
        <v>328</v>
      </c>
      <c r="N9" s="42">
        <f>N47</f>
        <v>0</v>
      </c>
      <c r="O9" s="44">
        <v>0.6</v>
      </c>
      <c r="P9" s="43"/>
      <c r="Q9" s="42">
        <f t="shared" ref="Q9:Q10" si="2">N9*O9</f>
        <v>0</v>
      </c>
    </row>
    <row r="10" spans="1:19" ht="15" customHeight="1" thickBot="1" x14ac:dyDescent="0.35">
      <c r="A10" s="41" t="s">
        <v>128</v>
      </c>
      <c r="B10" s="42">
        <f>B48</f>
        <v>0</v>
      </c>
      <c r="C10" s="44">
        <v>0.6</v>
      </c>
      <c r="D10" s="43"/>
      <c r="E10" s="116">
        <f t="shared" si="0"/>
        <v>0</v>
      </c>
      <c r="F10" s="53"/>
      <c r="G10" s="41" t="s">
        <v>128</v>
      </c>
      <c r="H10" s="42">
        <f>H48</f>
        <v>0</v>
      </c>
      <c r="I10" s="44">
        <v>0.6</v>
      </c>
      <c r="J10" s="43"/>
      <c r="K10" s="116">
        <f t="shared" si="1"/>
        <v>0</v>
      </c>
      <c r="M10" s="41" t="s">
        <v>128</v>
      </c>
      <c r="N10" s="42">
        <f>N48</f>
        <v>0</v>
      </c>
      <c r="O10" s="44">
        <v>0.6</v>
      </c>
      <c r="P10" s="43"/>
      <c r="Q10" s="116">
        <f t="shared" si="2"/>
        <v>0</v>
      </c>
    </row>
    <row r="11" spans="1:19" ht="15" customHeight="1" thickTop="1" x14ac:dyDescent="0.3">
      <c r="A11" s="119"/>
      <c r="B11" s="120"/>
      <c r="C11" s="121"/>
      <c r="D11" s="122"/>
      <c r="E11" s="123">
        <f>SUM(E8:E10)</f>
        <v>0</v>
      </c>
      <c r="F11" s="53"/>
      <c r="G11" s="119"/>
      <c r="H11" s="120"/>
      <c r="I11" s="121"/>
      <c r="J11" s="122"/>
      <c r="K11" s="123">
        <f>SUM(K8:K10)</f>
        <v>0</v>
      </c>
      <c r="M11" s="119"/>
      <c r="N11" s="120"/>
      <c r="O11" s="121"/>
      <c r="P11" s="122"/>
      <c r="Q11" s="123">
        <f>SUM(Q8:Q10)</f>
        <v>0</v>
      </c>
    </row>
    <row r="12" spans="1:19" ht="15" customHeight="1" x14ac:dyDescent="0.3">
      <c r="A12" s="117" t="s">
        <v>329</v>
      </c>
      <c r="B12" s="76"/>
      <c r="C12" s="118"/>
      <c r="D12" s="31"/>
      <c r="E12" s="45"/>
      <c r="G12" s="117" t="s">
        <v>329</v>
      </c>
      <c r="H12" s="76"/>
      <c r="I12" s="118"/>
      <c r="J12" s="31"/>
      <c r="K12" s="45"/>
      <c r="M12" s="117" t="s">
        <v>329</v>
      </c>
      <c r="N12" s="76"/>
      <c r="O12" s="118"/>
      <c r="P12" s="31"/>
      <c r="Q12" s="45"/>
    </row>
    <row r="13" spans="1:19" x14ac:dyDescent="0.3">
      <c r="A13" s="1242" t="s">
        <v>330</v>
      </c>
      <c r="B13" s="1243"/>
      <c r="C13" s="44"/>
      <c r="D13" s="31"/>
      <c r="E13" s="24">
        <f>ROUND(IF(E6&gt;E5,E5,E6),2)</f>
        <v>0</v>
      </c>
      <c r="G13" s="1242" t="s">
        <v>330</v>
      </c>
      <c r="H13" s="1243"/>
      <c r="I13" s="44"/>
      <c r="J13" s="31"/>
      <c r="K13" s="24">
        <f>ROUND(IF(K6&gt;K5,K5,K6),2)</f>
        <v>0</v>
      </c>
      <c r="M13" s="1242" t="s">
        <v>330</v>
      </c>
      <c r="N13" s="1243"/>
      <c r="O13" s="44"/>
      <c r="P13" s="31"/>
      <c r="Q13" s="24">
        <f>ROUND(IF(Q6&gt;Q5,Q5,Q6),2)</f>
        <v>0</v>
      </c>
    </row>
    <row r="14" spans="1:19" x14ac:dyDescent="0.3">
      <c r="A14" s="41" t="s">
        <v>331</v>
      </c>
      <c r="B14" s="42">
        <f>MIN(B53,B54)</f>
        <v>0</v>
      </c>
      <c r="C14" s="44">
        <v>0.6</v>
      </c>
      <c r="D14" s="31"/>
      <c r="E14" s="24">
        <f>ROUND(B14*C14,2)</f>
        <v>0</v>
      </c>
      <c r="G14" s="41" t="s">
        <v>331</v>
      </c>
      <c r="H14" s="42">
        <f>MIN(H53,H54)</f>
        <v>0</v>
      </c>
      <c r="I14" s="44">
        <v>0.6</v>
      </c>
      <c r="J14" s="31"/>
      <c r="K14" s="24">
        <f>ROUND(H14*I14,2)</f>
        <v>0</v>
      </c>
      <c r="M14" s="41" t="s">
        <v>331</v>
      </c>
      <c r="N14" s="42">
        <f>MIN(N53,N54)</f>
        <v>0</v>
      </c>
      <c r="O14" s="44">
        <v>0.6</v>
      </c>
      <c r="P14" s="31"/>
      <c r="Q14" s="24">
        <f>ROUND(N14*O14,2)</f>
        <v>0</v>
      </c>
      <c r="S14" s="51">
        <f>Q14+K14+E14</f>
        <v>0</v>
      </c>
    </row>
    <row r="15" spans="1:19" x14ac:dyDescent="0.3">
      <c r="A15" s="1242" t="s">
        <v>332</v>
      </c>
      <c r="B15" s="1243"/>
      <c r="C15" s="44"/>
      <c r="D15" s="31"/>
      <c r="E15" s="46"/>
      <c r="G15" s="1242" t="s">
        <v>332</v>
      </c>
      <c r="H15" s="1243"/>
      <c r="I15" s="44"/>
      <c r="J15" s="31"/>
      <c r="K15" s="46"/>
      <c r="M15" s="1242" t="s">
        <v>332</v>
      </c>
      <c r="N15" s="1243"/>
      <c r="O15" s="44"/>
      <c r="P15" s="31"/>
      <c r="Q15" s="46"/>
    </row>
    <row r="16" spans="1:19" x14ac:dyDescent="0.3">
      <c r="A16" s="41" t="s">
        <v>312</v>
      </c>
      <c r="B16" s="253"/>
      <c r="C16" s="44"/>
      <c r="D16" s="31"/>
      <c r="E16" s="42">
        <f>ROUND(IF(E8&gt;E7,E7,E8),2)</f>
        <v>0</v>
      </c>
      <c r="G16" s="41" t="s">
        <v>312</v>
      </c>
      <c r="H16" s="253"/>
      <c r="I16" s="44"/>
      <c r="J16" s="31"/>
      <c r="K16" s="42">
        <f>ROUND(IF(K8&gt;K7,K7,K8),2)</f>
        <v>0</v>
      </c>
      <c r="M16" s="41" t="s">
        <v>312</v>
      </c>
      <c r="N16" s="253"/>
      <c r="O16" s="44"/>
      <c r="P16" s="31"/>
      <c r="Q16" s="42">
        <f>ROUND(IF(Q8&gt;Q7,Q7,Q8),2)</f>
        <v>0</v>
      </c>
    </row>
    <row r="17" spans="1:23" x14ac:dyDescent="0.3">
      <c r="A17" s="41" t="s">
        <v>328</v>
      </c>
      <c r="B17" s="253"/>
      <c r="C17" s="44"/>
      <c r="D17" s="31"/>
      <c r="E17" s="42">
        <f>ROUND(IF((E8+E9)&lt;E7,E9,IF((E7-E8)&gt;0,E7-E8,0)),2)</f>
        <v>0</v>
      </c>
      <c r="G17" s="41" t="s">
        <v>328</v>
      </c>
      <c r="H17" s="253"/>
      <c r="I17" s="44"/>
      <c r="J17" s="31"/>
      <c r="K17" s="42">
        <f>ROUND(IF((K8+K9)&lt;K7,K9,IF((K7-K8)&gt;0,K7-K8,0)),2)</f>
        <v>0</v>
      </c>
      <c r="M17" s="41" t="s">
        <v>328</v>
      </c>
      <c r="N17" s="253"/>
      <c r="O17" s="44"/>
      <c r="P17" s="31"/>
      <c r="Q17" s="42">
        <f>ROUND(IF((Q8+Q9)&lt;Q7,Q9,IF((Q7-Q8)&gt;0,Q7-Q8,0)),2)</f>
        <v>0</v>
      </c>
    </row>
    <row r="18" spans="1:23" ht="14.4" thickBot="1" x14ac:dyDescent="0.35">
      <c r="A18" s="41" t="s">
        <v>128</v>
      </c>
      <c r="B18" s="253"/>
      <c r="C18" s="44"/>
      <c r="D18" s="31"/>
      <c r="E18" s="116">
        <f>ROUND(IF((E10+E9+E8)&lt;E7,E10,IF((E7-E8-E9)&gt;0,E7-E8-E9,0)),0)</f>
        <v>0</v>
      </c>
      <c r="G18" s="41" t="s">
        <v>128</v>
      </c>
      <c r="H18" s="253"/>
      <c r="I18" s="44"/>
      <c r="J18" s="31"/>
      <c r="K18" s="116">
        <f>ROUND(IF((K10+K9+K8)&lt;K7,K10,IF((K7-K8-K9)&gt;0,K7-K8-K9,0)),0)</f>
        <v>0</v>
      </c>
      <c r="M18" s="41" t="s">
        <v>128</v>
      </c>
      <c r="N18" s="253"/>
      <c r="O18" s="44"/>
      <c r="P18" s="31"/>
      <c r="Q18" s="116">
        <f>ROUND(IF((Q10+Q9+Q8)&lt;Q7,Q10,IF((Q7-Q8-Q9)&gt;0,Q7-Q8-Q9,0)),0)</f>
        <v>0</v>
      </c>
    </row>
    <row r="19" spans="1:23" ht="14.4" customHeight="1" thickTop="1" thickBot="1" x14ac:dyDescent="0.35">
      <c r="A19" s="1247" t="s">
        <v>333</v>
      </c>
      <c r="B19" s="1248"/>
      <c r="C19" s="44"/>
      <c r="D19" s="31"/>
      <c r="E19" s="125">
        <f>SUM(E16:E18)</f>
        <v>0</v>
      </c>
      <c r="G19" s="1247" t="s">
        <v>333</v>
      </c>
      <c r="H19" s="1248"/>
      <c r="I19" s="44"/>
      <c r="J19" s="31"/>
      <c r="K19" s="125">
        <f>SUM(K16:K18)</f>
        <v>0</v>
      </c>
      <c r="M19" s="1247" t="s">
        <v>333</v>
      </c>
      <c r="N19" s="1248"/>
      <c r="O19" s="44"/>
      <c r="P19" s="31"/>
      <c r="Q19" s="125">
        <f>SUM(Q16:Q18)</f>
        <v>0</v>
      </c>
    </row>
    <row r="20" spans="1:23" ht="26.4" customHeight="1" thickBot="1" x14ac:dyDescent="0.35">
      <c r="A20" s="5" t="s">
        <v>279</v>
      </c>
      <c r="B20" s="10">
        <f>E19</f>
        <v>0</v>
      </c>
      <c r="C20" s="9">
        <v>0.1</v>
      </c>
      <c r="D20" s="9"/>
      <c r="E20" s="24">
        <f>ROUND(B20*C20,2)</f>
        <v>0</v>
      </c>
      <c r="G20" s="5" t="s">
        <v>279</v>
      </c>
      <c r="H20" s="10">
        <f>K19</f>
        <v>0</v>
      </c>
      <c r="I20" s="9">
        <v>0.1</v>
      </c>
      <c r="J20" s="9"/>
      <c r="K20" s="24">
        <f>ROUND(H20*I20,2)</f>
        <v>0</v>
      </c>
      <c r="M20" s="5" t="s">
        <v>279</v>
      </c>
      <c r="N20" s="10">
        <f>Q19</f>
        <v>0</v>
      </c>
      <c r="O20" s="9">
        <v>0.1</v>
      </c>
      <c r="P20" s="9"/>
      <c r="Q20" s="24">
        <f>ROUND(N20*O20,2)</f>
        <v>0</v>
      </c>
    </row>
    <row r="21" spans="1:23" x14ac:dyDescent="0.3">
      <c r="A21" s="8" t="s">
        <v>64</v>
      </c>
      <c r="B21" s="8" t="s">
        <v>293</v>
      </c>
      <c r="C21" s="97">
        <f>'Overzicht BTA'!C17</f>
        <v>0</v>
      </c>
      <c r="D21" s="9"/>
      <c r="E21" s="24">
        <f>ROUND(E16*C21,2)</f>
        <v>0</v>
      </c>
      <c r="G21" s="8" t="s">
        <v>64</v>
      </c>
      <c r="H21" s="8" t="s">
        <v>293</v>
      </c>
      <c r="I21" s="97">
        <f>'Overzicht BTA'!I17</f>
        <v>0</v>
      </c>
      <c r="J21" s="9"/>
      <c r="K21" s="24">
        <f>ROUND(K16*I21,2)</f>
        <v>0</v>
      </c>
      <c r="M21" s="8" t="s">
        <v>64</v>
      </c>
      <c r="N21" s="8" t="s">
        <v>293</v>
      </c>
      <c r="O21" s="97">
        <f>'Overzicht BTA'!O17</f>
        <v>0</v>
      </c>
      <c r="P21" s="9"/>
      <c r="Q21" s="24">
        <f>ROUND(Q16*O21,2)</f>
        <v>0</v>
      </c>
    </row>
    <row r="22" spans="1:23" x14ac:dyDescent="0.3">
      <c r="A22" s="8" t="s">
        <v>294</v>
      </c>
      <c r="B22" s="8" t="s">
        <v>295</v>
      </c>
      <c r="C22" s="9">
        <v>0.21</v>
      </c>
      <c r="D22" s="26"/>
      <c r="E22" s="47">
        <f>ROUND(E17*C22,2)</f>
        <v>0</v>
      </c>
      <c r="G22" s="8" t="s">
        <v>294</v>
      </c>
      <c r="H22" s="8" t="s">
        <v>295</v>
      </c>
      <c r="I22" s="9">
        <v>0.21</v>
      </c>
      <c r="J22" s="26"/>
      <c r="K22" s="47">
        <f>ROUND(K17*I22,2)</f>
        <v>0</v>
      </c>
      <c r="M22" s="8" t="s">
        <v>294</v>
      </c>
      <c r="N22" s="8" t="s">
        <v>295</v>
      </c>
      <c r="O22" s="9">
        <v>0.21</v>
      </c>
      <c r="P22" s="26"/>
      <c r="Q22" s="47">
        <f>ROUND(Q17*O22,2)</f>
        <v>0</v>
      </c>
    </row>
    <row r="23" spans="1:23" x14ac:dyDescent="0.3">
      <c r="A23" s="79" t="s">
        <v>64</v>
      </c>
      <c r="B23" s="79" t="s">
        <v>281</v>
      </c>
      <c r="C23" s="26">
        <v>0.21</v>
      </c>
      <c r="D23" s="26"/>
      <c r="E23" s="47">
        <f>ROUND(E20*C23,2)</f>
        <v>0</v>
      </c>
      <c r="G23" s="79" t="s">
        <v>64</v>
      </c>
      <c r="H23" s="79" t="s">
        <v>281</v>
      </c>
      <c r="I23" s="26">
        <v>0.21</v>
      </c>
      <c r="J23" s="26"/>
      <c r="K23" s="47">
        <f>ROUND(K20*I23,2)</f>
        <v>0</v>
      </c>
      <c r="M23" s="79" t="s">
        <v>64</v>
      </c>
      <c r="N23" s="79" t="s">
        <v>281</v>
      </c>
      <c r="O23" s="26">
        <v>0.21</v>
      </c>
      <c r="P23" s="26"/>
      <c r="Q23" s="47">
        <f>ROUND(Q20*O23,2)</f>
        <v>0</v>
      </c>
    </row>
    <row r="24" spans="1:23" x14ac:dyDescent="0.3">
      <c r="A24" s="48" t="s">
        <v>282</v>
      </c>
      <c r="B24" s="48"/>
      <c r="C24" s="48"/>
      <c r="D24" s="48"/>
      <c r="E24" s="502">
        <f>ROUND(E13+E14+E19+E20+E21+E22+E23,2)</f>
        <v>0</v>
      </c>
      <c r="G24" s="48" t="s">
        <v>282</v>
      </c>
      <c r="H24" s="48"/>
      <c r="I24" s="48"/>
      <c r="J24" s="48"/>
      <c r="K24" s="502">
        <f>ROUND(K13+K14+K19+K20+K21+K22+K23,2)</f>
        <v>0</v>
      </c>
      <c r="M24" s="48" t="s">
        <v>282</v>
      </c>
      <c r="N24" s="48"/>
      <c r="O24" s="48"/>
      <c r="P24" s="48"/>
      <c r="Q24" s="502">
        <f>ROUND(Q13+Q14+Q19+Q20+Q21+Q22+Q23,2)</f>
        <v>0</v>
      </c>
    </row>
    <row r="25" spans="1:23" ht="14.4" thickBot="1" x14ac:dyDescent="0.35"/>
    <row r="26" spans="1:23" customFormat="1" ht="14.4" outlineLevel="1" x14ac:dyDescent="0.3">
      <c r="A26" s="1014" t="s">
        <v>283</v>
      </c>
      <c r="B26" s="1015"/>
      <c r="C26" s="1015"/>
      <c r="D26" s="1016"/>
      <c r="E26" s="1016"/>
      <c r="G26" s="1014" t="s">
        <v>283</v>
      </c>
      <c r="H26" s="1015"/>
      <c r="I26" s="1015"/>
      <c r="J26" s="1016"/>
      <c r="K26" s="1016"/>
      <c r="M26" s="1014" t="s">
        <v>283</v>
      </c>
      <c r="N26" s="1015"/>
      <c r="O26" s="1015"/>
      <c r="P26" s="1016"/>
      <c r="Q26" s="1016"/>
      <c r="S26" s="23"/>
      <c r="T26" s="23"/>
      <c r="U26" s="23"/>
      <c r="V26" s="496"/>
      <c r="W26" s="149"/>
    </row>
    <row r="27" spans="1:23" customFormat="1" ht="14.4" outlineLevel="1" x14ac:dyDescent="0.3">
      <c r="A27" s="1025" t="s">
        <v>274</v>
      </c>
      <c r="B27" s="1025" t="s">
        <v>275</v>
      </c>
      <c r="C27" s="1025" t="s">
        <v>276</v>
      </c>
      <c r="D27" s="1025"/>
      <c r="E27" s="1025" t="s">
        <v>277</v>
      </c>
      <c r="G27" s="1025" t="s">
        <v>274</v>
      </c>
      <c r="H27" s="1025" t="s">
        <v>275</v>
      </c>
      <c r="I27" s="1025" t="s">
        <v>276</v>
      </c>
      <c r="J27" s="1025"/>
      <c r="K27" s="1025" t="s">
        <v>277</v>
      </c>
      <c r="M27" s="1025" t="s">
        <v>274</v>
      </c>
      <c r="N27" s="1025" t="s">
        <v>275</v>
      </c>
      <c r="O27" s="1025" t="s">
        <v>276</v>
      </c>
      <c r="P27" s="1025"/>
      <c r="Q27" s="1025" t="s">
        <v>277</v>
      </c>
      <c r="S27" s="23"/>
      <c r="T27" s="23"/>
      <c r="U27" s="23"/>
      <c r="V27" s="496"/>
      <c r="W27" s="149"/>
    </row>
    <row r="28" spans="1:23" customFormat="1" ht="14.4" outlineLevel="1" x14ac:dyDescent="0.3">
      <c r="A28" s="1026">
        <f>A5</f>
        <v>0</v>
      </c>
      <c r="B28" s="1027">
        <f>IF(B1=Bron!$E$40,55,0)</f>
        <v>0</v>
      </c>
      <c r="C28" s="1025">
        <f>C5</f>
        <v>2.3958200000000001</v>
      </c>
      <c r="D28" s="1025"/>
      <c r="E28" s="1028">
        <f>ROUND(A28*B28*C28,2)</f>
        <v>0</v>
      </c>
      <c r="G28" s="1026">
        <f>G5</f>
        <v>0</v>
      </c>
      <c r="H28" s="1027">
        <f>IF(H1=Bron!$E$40,55,0)</f>
        <v>0</v>
      </c>
      <c r="I28" s="1025">
        <f>I5</f>
        <v>2.3958200000000001</v>
      </c>
      <c r="J28" s="1025"/>
      <c r="K28" s="1028">
        <f>ROUND(G28*H28*I28,2)</f>
        <v>0</v>
      </c>
      <c r="M28" s="1026">
        <f>M5</f>
        <v>0</v>
      </c>
      <c r="N28" s="1027">
        <f>IF(N1=Bron!$E$40,55,0)</f>
        <v>0</v>
      </c>
      <c r="O28" s="1025">
        <f>O5</f>
        <v>2.3958200000000001</v>
      </c>
      <c r="P28" s="1025"/>
      <c r="Q28" s="1028">
        <f>ROUND(M28*N28*O28,2)</f>
        <v>0</v>
      </c>
      <c r="S28" s="23"/>
      <c r="T28" s="23"/>
      <c r="U28" s="23"/>
      <c r="V28" s="496"/>
      <c r="W28" s="149"/>
    </row>
    <row r="29" spans="1:23" customFormat="1" ht="14.4" outlineLevel="1" x14ac:dyDescent="0.3">
      <c r="A29" s="32" t="s">
        <v>285</v>
      </c>
      <c r="B29" s="1028">
        <f>'Bouwkost AK+VERB'!$C$52</f>
        <v>0</v>
      </c>
      <c r="C29" s="1029">
        <v>0.6</v>
      </c>
      <c r="D29" s="1025"/>
      <c r="E29" s="1028">
        <f>B29*C29</f>
        <v>0</v>
      </c>
      <c r="G29" s="32" t="s">
        <v>285</v>
      </c>
      <c r="H29" s="1028">
        <f>'Bouwkost AK+VERB'!$N$52</f>
        <v>0</v>
      </c>
      <c r="I29" s="1029">
        <v>0.6</v>
      </c>
      <c r="J29" s="1025"/>
      <c r="K29" s="1028">
        <f>H29*I29</f>
        <v>0</v>
      </c>
      <c r="M29" s="32" t="s">
        <v>285</v>
      </c>
      <c r="N29" s="1028">
        <f>'Bouwkost AK+VERB'!$Y$52</f>
        <v>0</v>
      </c>
      <c r="O29" s="1029">
        <v>0.6</v>
      </c>
      <c r="P29" s="1025"/>
      <c r="Q29" s="1028">
        <f>N29*O29</f>
        <v>0</v>
      </c>
      <c r="S29" s="23"/>
      <c r="T29" s="23"/>
      <c r="U29" s="23"/>
      <c r="V29" s="496"/>
      <c r="W29" s="149"/>
    </row>
    <row r="30" spans="1:23" customFormat="1" ht="14.4" outlineLevel="1" x14ac:dyDescent="0.3">
      <c r="A30" s="32" t="s">
        <v>286</v>
      </c>
      <c r="B30" s="1028">
        <f>'Bouwkost AK+VERB'!$C$58</f>
        <v>0</v>
      </c>
      <c r="C30" s="1029">
        <v>0.6</v>
      </c>
      <c r="D30" s="1025"/>
      <c r="E30" s="1028">
        <f>B30*C30</f>
        <v>0</v>
      </c>
      <c r="G30" s="32" t="s">
        <v>286</v>
      </c>
      <c r="H30" s="1028">
        <f>'Bouwkost AK+VERB'!$N$58</f>
        <v>0</v>
      </c>
      <c r="I30" s="1029">
        <v>0.6</v>
      </c>
      <c r="J30" s="1025"/>
      <c r="K30" s="1028">
        <f>H30*I30</f>
        <v>0</v>
      </c>
      <c r="M30" s="32" t="s">
        <v>286</v>
      </c>
      <c r="N30" s="1028">
        <f>'Bouwkost AK+VERB'!$Y$58</f>
        <v>0</v>
      </c>
      <c r="O30" s="1029">
        <v>0.6</v>
      </c>
      <c r="P30" s="1025"/>
      <c r="Q30" s="1028">
        <f>N30*O30</f>
        <v>0</v>
      </c>
      <c r="S30" s="23"/>
      <c r="T30" s="23"/>
      <c r="U30" s="23"/>
      <c r="V30" s="496"/>
      <c r="W30" s="149"/>
    </row>
    <row r="31" spans="1:23" customFormat="1" ht="14.4" outlineLevel="1" x14ac:dyDescent="0.3">
      <c r="A31" s="1246" t="s">
        <v>287</v>
      </c>
      <c r="B31" s="1241"/>
      <c r="C31" s="1005"/>
      <c r="D31" s="18"/>
      <c r="E31" s="96">
        <f>MIN(E30:E30)</f>
        <v>0</v>
      </c>
      <c r="G31" s="1246" t="s">
        <v>287</v>
      </c>
      <c r="H31" s="1241"/>
      <c r="I31" s="1005"/>
      <c r="J31" s="18"/>
      <c r="K31" s="96">
        <f>MIN(K30:K30)</f>
        <v>0</v>
      </c>
      <c r="M31" s="1246" t="s">
        <v>287</v>
      </c>
      <c r="N31" s="1241"/>
      <c r="O31" s="1005"/>
      <c r="P31" s="18"/>
      <c r="Q31" s="96">
        <f>MIN(Q30:Q30)</f>
        <v>0</v>
      </c>
    </row>
    <row r="32" spans="1:23" customFormat="1" ht="14.4" outlineLevel="1" x14ac:dyDescent="0.3">
      <c r="A32" s="8" t="s">
        <v>279</v>
      </c>
      <c r="B32" s="8"/>
      <c r="C32" s="9">
        <v>0.1</v>
      </c>
      <c r="D32" s="9"/>
      <c r="E32" s="24">
        <f>ROUND(E31*C32,2)</f>
        <v>0</v>
      </c>
      <c r="G32" s="8" t="s">
        <v>279</v>
      </c>
      <c r="H32" s="8"/>
      <c r="I32" s="9">
        <v>0.1</v>
      </c>
      <c r="J32" s="9"/>
      <c r="K32" s="24">
        <f>ROUND(K31*I32,2)</f>
        <v>0</v>
      </c>
      <c r="M32" s="8" t="s">
        <v>279</v>
      </c>
      <c r="N32" s="8"/>
      <c r="O32" s="9">
        <v>0.1</v>
      </c>
      <c r="P32" s="9"/>
      <c r="Q32" s="24">
        <f>ROUND(Q31*O32,2)</f>
        <v>0</v>
      </c>
    </row>
    <row r="33" spans="1:17" customFormat="1" ht="14.4" outlineLevel="1" x14ac:dyDescent="0.3">
      <c r="A33" s="8" t="s">
        <v>64</v>
      </c>
      <c r="B33" s="8" t="s">
        <v>293</v>
      </c>
      <c r="C33" s="97">
        <f>IF(A25=Bron!$B$11,'Overzicht BTA'!C40,IF(A25=Bron!$B$12,'Overzicht BTA'!C39,0))</f>
        <v>0</v>
      </c>
      <c r="D33" s="9"/>
      <c r="E33" s="24">
        <f>ROUND(E31*C33,2)</f>
        <v>0</v>
      </c>
      <c r="G33" s="8" t="s">
        <v>64</v>
      </c>
      <c r="H33" s="8" t="s">
        <v>293</v>
      </c>
      <c r="I33" s="97">
        <f>IF(G25=Bron!$B$11,'Overzicht BTA'!I40,IF(G25=Bron!$B$12,'Overzicht BTA'!I39,0))</f>
        <v>0</v>
      </c>
      <c r="J33" s="9"/>
      <c r="K33" s="24">
        <f>ROUND(K31*I33,2)</f>
        <v>0</v>
      </c>
      <c r="M33" s="8" t="s">
        <v>64</v>
      </c>
      <c r="N33" s="8" t="s">
        <v>293</v>
      </c>
      <c r="O33" s="97">
        <f>IF(M25=Bron!$B$11,'Overzicht BTA'!O40,IF(M25=Bron!$B$12,'Overzicht BTA'!O39,0))</f>
        <v>0</v>
      </c>
      <c r="P33" s="9"/>
      <c r="Q33" s="24">
        <f>ROUND(Q31*O33,2)</f>
        <v>0</v>
      </c>
    </row>
    <row r="34" spans="1:17" customFormat="1" ht="15" outlineLevel="1" thickBot="1" x14ac:dyDescent="0.35">
      <c r="A34" s="8" t="s">
        <v>64</v>
      </c>
      <c r="B34" s="50" t="s">
        <v>281</v>
      </c>
      <c r="C34" s="9">
        <v>0.21</v>
      </c>
      <c r="D34" s="26"/>
      <c r="E34" s="27">
        <f>ROUND(E32*C34,2)</f>
        <v>0</v>
      </c>
      <c r="G34" s="8" t="s">
        <v>64</v>
      </c>
      <c r="H34" s="50" t="s">
        <v>281</v>
      </c>
      <c r="I34" s="9">
        <v>0.21</v>
      </c>
      <c r="J34" s="26"/>
      <c r="K34" s="27">
        <f>ROUND(K32*I34,2)</f>
        <v>0</v>
      </c>
      <c r="M34" s="8" t="s">
        <v>64</v>
      </c>
      <c r="N34" s="50" t="s">
        <v>281</v>
      </c>
      <c r="O34" s="9">
        <v>0.21</v>
      </c>
      <c r="P34" s="26"/>
      <c r="Q34" s="27">
        <f>ROUND(Q32*O34,2)</f>
        <v>0</v>
      </c>
    </row>
    <row r="35" spans="1:17" customFormat="1" ht="15" outlineLevel="1" thickTop="1" x14ac:dyDescent="0.3">
      <c r="A35" s="28" t="s">
        <v>282</v>
      </c>
      <c r="B35" s="29"/>
      <c r="C35" s="30"/>
      <c r="D35" s="31"/>
      <c r="E35" s="80">
        <f>SUM(E31:E34)</f>
        <v>0</v>
      </c>
      <c r="G35" s="28" t="s">
        <v>282</v>
      </c>
      <c r="H35" s="29"/>
      <c r="I35" s="30"/>
      <c r="J35" s="31"/>
      <c r="K35" s="80">
        <f>SUM(K31:K34)</f>
        <v>0</v>
      </c>
      <c r="M35" s="28" t="s">
        <v>282</v>
      </c>
      <c r="N35" s="29"/>
      <c r="O35" s="30"/>
      <c r="P35" s="31"/>
      <c r="Q35" s="80">
        <f>SUM(Q31:Q34)</f>
        <v>0</v>
      </c>
    </row>
    <row r="36" spans="1:17" customFormat="1" ht="15" outlineLevel="1" thickBot="1" x14ac:dyDescent="0.35">
      <c r="A36" s="981"/>
      <c r="B36" s="981"/>
      <c r="C36" s="851"/>
      <c r="D36" s="852"/>
      <c r="E36" s="51"/>
      <c r="G36" s="981"/>
      <c r="H36" s="981"/>
      <c r="I36" s="851"/>
      <c r="J36" s="852"/>
      <c r="K36" s="51"/>
      <c r="M36" s="981"/>
      <c r="N36" s="981"/>
      <c r="O36" s="851"/>
      <c r="P36" s="852"/>
      <c r="Q36" s="51"/>
    </row>
    <row r="37" spans="1:17" ht="15" thickBot="1" x14ac:dyDescent="0.35">
      <c r="A37" s="5" t="s">
        <v>282</v>
      </c>
      <c r="B37" s="6"/>
      <c r="C37" s="7"/>
      <c r="E37" s="1">
        <f>E35+E24</f>
        <v>0</v>
      </c>
      <c r="F37"/>
      <c r="G37" s="5" t="s">
        <v>282</v>
      </c>
      <c r="H37" s="6"/>
      <c r="I37" s="7"/>
      <c r="K37" s="1">
        <f>K35+K24</f>
        <v>0</v>
      </c>
      <c r="L37"/>
      <c r="M37" s="5" t="s">
        <v>282</v>
      </c>
      <c r="N37" s="6"/>
      <c r="O37" s="7"/>
      <c r="Q37" s="1">
        <f>Q35+Q24</f>
        <v>0</v>
      </c>
    </row>
    <row r="38" spans="1:17" ht="14.4" thickBot="1" x14ac:dyDescent="0.35"/>
    <row r="39" spans="1:17" ht="14.4" thickBot="1" x14ac:dyDescent="0.35">
      <c r="A39" s="5" t="s">
        <v>334</v>
      </c>
      <c r="B39" s="6"/>
      <c r="C39" s="130">
        <f>E19+E31</f>
        <v>0</v>
      </c>
      <c r="D39" s="128" t="s">
        <v>289</v>
      </c>
      <c r="E39" s="492">
        <f>(C39)*10/6</f>
        <v>0</v>
      </c>
      <c r="G39" s="5" t="s">
        <v>334</v>
      </c>
      <c r="H39" s="6"/>
      <c r="I39" s="130">
        <f>K19+K31</f>
        <v>0</v>
      </c>
      <c r="J39" s="128" t="s">
        <v>289</v>
      </c>
      <c r="K39" s="492">
        <f>(I39)*10/6</f>
        <v>0</v>
      </c>
      <c r="M39" s="5" t="s">
        <v>334</v>
      </c>
      <c r="N39" s="6"/>
      <c r="O39" s="130">
        <f>Q19+Q31</f>
        <v>0</v>
      </c>
      <c r="P39" s="128" t="s">
        <v>289</v>
      </c>
      <c r="Q39" s="492">
        <f>(O39)*10/6</f>
        <v>0</v>
      </c>
    </row>
    <row r="40" spans="1:17" x14ac:dyDescent="0.3">
      <c r="C40" s="39"/>
      <c r="I40" s="39"/>
      <c r="O40" s="39"/>
    </row>
    <row r="41" spans="1:17" x14ac:dyDescent="0.3">
      <c r="A41" s="237" t="s">
        <v>290</v>
      </c>
      <c r="B41" s="8"/>
      <c r="C41" s="8"/>
      <c r="G41" s="237" t="s">
        <v>290</v>
      </c>
      <c r="H41" s="8"/>
      <c r="I41" s="8"/>
      <c r="M41" s="237" t="s">
        <v>290</v>
      </c>
      <c r="O41" s="8"/>
    </row>
    <row r="42" spans="1:17" x14ac:dyDescent="0.3">
      <c r="A42" s="8" t="s">
        <v>123</v>
      </c>
      <c r="B42" s="10">
        <f>IF(ISNUMBER(MATCH($A$2,'Overzicht BTA'!$B$7:$B$10,0)),IF(MATCH(Bron!$B$16,'uitgebreide raming'!$B$2:$I$2,0)=1,'uitgebreide raming'!$B6,IF(MATCH(Bron!$B$16,'uitgebreide raming'!$B$2:$I$2,0)=3,'uitgebreide raming'!$D6,IF(MATCH(Bron!$B$16,'uitgebreide raming'!$B$2:$I$2,0)=5,'uitgebreide raming'!$F6,IF(MATCH(Bron!$B$16,'uitgebreide raming'!$B$2:$I$2,0)=7,'uitgebreide raming'!$H6,0)))),0)</f>
        <v>0</v>
      </c>
      <c r="C42" s="9" t="e">
        <f>ROUND(B42/$B$47,2)</f>
        <v>#DIV/0!</v>
      </c>
      <c r="G42" s="8" t="s">
        <v>123</v>
      </c>
      <c r="H42" s="10">
        <f>IF(ISNUMBER(MATCH($G$2,'Overzicht BTA'!$H$7:$H$10,0)),IF(MATCH(Bron!$B$16,'uitgebreide raming'!$B$29:$I$29,0)=1,'uitgebreide raming'!B33,IF(MATCH(Bron!$B$16,'uitgebreide raming'!$B$29:$I$29,0)=3,'uitgebreide raming'!D33,IF(MATCH(Bron!$B$16,'uitgebreide raming'!$B$29:$I$29,0)=5,'uitgebreide raming'!F33,IF(MATCH(Bron!$B$16,'uitgebreide raming'!$B$29:$I$29,0)=7,'uitgebreide raming'!H33,0)))),0)</f>
        <v>0</v>
      </c>
      <c r="I42" s="9" t="e">
        <f>ROUND(H42/$H$47,2)</f>
        <v>#DIV/0!</v>
      </c>
      <c r="M42" s="8" t="s">
        <v>123</v>
      </c>
      <c r="N42" s="10">
        <f>IF(ISNUMBER(MATCH($M$2,'Overzicht BTA'!$N$7:$N$10,0)),IF(MATCH(Bron!$B$16,'uitgebreide raming'!$B$56:$I$56,0)=1,'uitgebreide raming'!B60,IF(MATCH(Bron!$B$16,'uitgebreide raming'!$B$56:$I$56,0)=3,'uitgebreide raming'!D60,IF(MATCH(Bron!$B$16,'uitgebreide raming'!$B$56:$I$56,0)=5,'uitgebreide raming'!F60,IF(MATCH(Bron!$B$16,'uitgebreide raming'!$B$56:$I$56,0)=7,'uitgebreide raming'!H60,0)))),0)</f>
        <v>0</v>
      </c>
      <c r="O42" s="9" t="e">
        <f>ROUND(N42/$N$47,2)</f>
        <v>#DIV/0!</v>
      </c>
    </row>
    <row r="43" spans="1:17" x14ac:dyDescent="0.3">
      <c r="A43" s="8" t="s">
        <v>124</v>
      </c>
      <c r="B43" s="10">
        <f>IF(ISNUMBER(MATCH($A$2,'Overzicht BTA'!$B$7:$B$10,0)),IF(MATCH(Bron!$B$16,'uitgebreide raming'!$B$2:$I$2,0)=1,'uitgebreide raming'!$B7,IF(MATCH(Bron!$B$16,'uitgebreide raming'!$B$2:$I$2,0)=3,'uitgebreide raming'!$D7,IF(MATCH(Bron!$B$16,'uitgebreide raming'!$B$2:$I$2,0)=5,'uitgebreide raming'!$F7,IF(MATCH(Bron!$B$16,'uitgebreide raming'!$B$2:$I$2,0)=7,'uitgebreide raming'!$H7,0)))),0)</f>
        <v>0</v>
      </c>
      <c r="C43" s="9" t="e">
        <f t="shared" ref="C43:C47" si="3">ROUND(B43/$B$47,2)</f>
        <v>#DIV/0!</v>
      </c>
      <c r="G43" s="8" t="s">
        <v>124</v>
      </c>
      <c r="H43" s="10">
        <f>IF(ISNUMBER(MATCH($G$2,'Overzicht BTA'!$H$7:$H$10,0)),IF(MATCH(Bron!$B$16,'uitgebreide raming'!$B$29:$I$29,0)=1,'uitgebreide raming'!B34,IF(MATCH(Bron!$B$16,'uitgebreide raming'!$B$29:$I$29,0)=3,'uitgebreide raming'!D34,IF(MATCH(Bron!$B$16,'uitgebreide raming'!$B$29:$I$29,0)=5,'uitgebreide raming'!F34,IF(MATCH(Bron!$B$16,'uitgebreide raming'!$B$29:$I$29,0)=7,'uitgebreide raming'!H34,0)))),0)</f>
        <v>0</v>
      </c>
      <c r="I43" s="9" t="e">
        <f t="shared" ref="I43:I47" si="4">ROUND(H43/$H$47,2)</f>
        <v>#DIV/0!</v>
      </c>
      <c r="M43" s="8" t="s">
        <v>124</v>
      </c>
      <c r="N43" s="10">
        <f>IF(ISNUMBER(MATCH($M$2,'Overzicht BTA'!$N$7:$N$10,0)),IF(MATCH(Bron!$B$16,'uitgebreide raming'!$B$56:$I$56,0)=1,'uitgebreide raming'!B61,IF(MATCH(Bron!$B$16,'uitgebreide raming'!$B$56:$I$56,0)=3,'uitgebreide raming'!D61,IF(MATCH(Bron!$B$16,'uitgebreide raming'!$B$56:$I$56,0)=5,'uitgebreide raming'!F61,IF(MATCH(Bron!$B$16,'uitgebreide raming'!$B$56:$I$56,0)=7,'uitgebreide raming'!H61,0)))),0)</f>
        <v>0</v>
      </c>
      <c r="O43" s="9" t="e">
        <f t="shared" ref="O43:O47" si="5">ROUND(N43/$N$47,2)</f>
        <v>#DIV/0!</v>
      </c>
    </row>
    <row r="44" spans="1:17" x14ac:dyDescent="0.3">
      <c r="A44" s="8" t="s">
        <v>125</v>
      </c>
      <c r="B44" s="10">
        <f>IF(ISNUMBER(MATCH($A$2,'Overzicht BTA'!$B$7:$B$10,0)),IF(MATCH(Bron!$B$16,'uitgebreide raming'!$B$2:$I$2,0)=1,'uitgebreide raming'!$B8,IF(MATCH(Bron!$B$16,'uitgebreide raming'!$B$2:$I$2,0)=3,'uitgebreide raming'!$D8,IF(MATCH(Bron!$B$16,'uitgebreide raming'!$B$2:$I$2,0)=5,'uitgebreide raming'!$F8,IF(MATCH(Bron!$B$16,'uitgebreide raming'!$B$2:$I$2,0)=7,'uitgebreide raming'!$H8,0)))),0)</f>
        <v>0</v>
      </c>
      <c r="C44" s="9" t="e">
        <f t="shared" si="3"/>
        <v>#DIV/0!</v>
      </c>
      <c r="G44" s="8" t="s">
        <v>125</v>
      </c>
      <c r="H44" s="10">
        <f>IF(ISNUMBER(MATCH($G$2,'Overzicht BTA'!$H$7:$H$10,0)),IF(MATCH(Bron!$B$16,'uitgebreide raming'!$B$29:$I$29,0)=1,'uitgebreide raming'!B35,IF(MATCH(Bron!$B$16,'uitgebreide raming'!$B$29:$I$29,0)=3,'uitgebreide raming'!D35,IF(MATCH(Bron!$B$16,'uitgebreide raming'!$B$29:$I$29,0)=5,'uitgebreide raming'!F35,IF(MATCH(Bron!$B$16,'uitgebreide raming'!$B$29:$I$29,0)=7,'uitgebreide raming'!H35,0)))),0)</f>
        <v>0</v>
      </c>
      <c r="I44" s="9" t="e">
        <f t="shared" si="4"/>
        <v>#DIV/0!</v>
      </c>
      <c r="M44" s="8" t="s">
        <v>125</v>
      </c>
      <c r="N44" s="10">
        <f>IF(ISNUMBER(MATCH($M$2,'Overzicht BTA'!$N$7:$N$10,0)),IF(MATCH(Bron!$B$16,'uitgebreide raming'!$B$56:$I$56,0)=1,'uitgebreide raming'!B62,IF(MATCH(Bron!$B$16,'uitgebreide raming'!$B$56:$I$56,0)=3,'uitgebreide raming'!D62,IF(MATCH(Bron!$B$16,'uitgebreide raming'!$B$56:$I$56,0)=5,'uitgebreide raming'!F62,IF(MATCH(Bron!$B$16,'uitgebreide raming'!$B$56:$I$56,0)=7,'uitgebreide raming'!H62,0)))),0)</f>
        <v>0</v>
      </c>
      <c r="O44" s="9" t="e">
        <f t="shared" si="5"/>
        <v>#DIV/0!</v>
      </c>
    </row>
    <row r="45" spans="1:17" x14ac:dyDescent="0.3">
      <c r="A45" s="8" t="s">
        <v>126</v>
      </c>
      <c r="B45" s="10">
        <f>IF(ISNUMBER(MATCH($A$2,'Overzicht BTA'!$B$7:$B$10,0)),IF(MATCH(Bron!$B$16,'uitgebreide raming'!$B$2:$I$2,0)=1,'uitgebreide raming'!$B9,IF(MATCH(Bron!$B$16,'uitgebreide raming'!$B$2:$I$2,0)=3,'uitgebreide raming'!$D9,IF(MATCH(Bron!$B$16,'uitgebreide raming'!$B$2:$I$2,0)=5,'uitgebreide raming'!$F9,IF(MATCH(Bron!$B$16,'uitgebreide raming'!$B$2:$I$2,0)=7,'uitgebreide raming'!$H9,0)))),0)</f>
        <v>0</v>
      </c>
      <c r="C45" s="9" t="e">
        <f t="shared" si="3"/>
        <v>#DIV/0!</v>
      </c>
      <c r="G45" s="8" t="s">
        <v>126</v>
      </c>
      <c r="H45" s="10">
        <f>IF(ISNUMBER(MATCH($G$2,'Overzicht BTA'!$H$7:$H$10,0)),IF(MATCH(Bron!$B$16,'uitgebreide raming'!$B$29:$I$29,0)=1,'uitgebreide raming'!B36,IF(MATCH(Bron!$B$16,'uitgebreide raming'!$B$29:$I$29,0)=3,'uitgebreide raming'!D36,IF(MATCH(Bron!$B$16,'uitgebreide raming'!$B$29:$I$29,0)=5,'uitgebreide raming'!F36,IF(MATCH(Bron!$B$16,'uitgebreide raming'!$B$29:$I$29,0)=7,'uitgebreide raming'!H36,0)))),0)</f>
        <v>0</v>
      </c>
      <c r="I45" s="9" t="e">
        <f t="shared" si="4"/>
        <v>#DIV/0!</v>
      </c>
      <c r="M45" s="8" t="s">
        <v>126</v>
      </c>
      <c r="N45" s="10">
        <f>IF(ISNUMBER(MATCH($M$2,'Overzicht BTA'!$N$7:$N$10,0)),IF(MATCH(Bron!$B$16,'uitgebreide raming'!$B$56:$I$56,0)=1,'uitgebreide raming'!B63,IF(MATCH(Bron!$B$16,'uitgebreide raming'!$B$56:$I$56,0)=3,'uitgebreide raming'!D63,IF(MATCH(Bron!$B$16,'uitgebreide raming'!$B$56:$I$56,0)=5,'uitgebreide raming'!F63,IF(MATCH(Bron!$B$16,'uitgebreide raming'!$B$56:$I$56,0)=7,'uitgebreide raming'!H63,0)))),0)</f>
        <v>0</v>
      </c>
      <c r="O45" s="9" t="e">
        <f t="shared" si="5"/>
        <v>#DIV/0!</v>
      </c>
    </row>
    <row r="46" spans="1:17" ht="27.6" x14ac:dyDescent="0.3">
      <c r="A46" s="8" t="s">
        <v>127</v>
      </c>
      <c r="B46" s="10">
        <f>IF(ISNUMBER(MATCH($A$2,'Overzicht BTA'!$B$7:$B$10,0)),IF(MATCH(Bron!$B$16,'uitgebreide raming'!$B$2:$I$2,0)=1,'uitgebreide raming'!$B10,IF(MATCH(Bron!$B$16,'uitgebreide raming'!$B$2:$I$2,0)=3,'uitgebreide raming'!$D10,IF(MATCH(Bron!$B$16,'uitgebreide raming'!$B$2:$I$2,0)=5,'uitgebreide raming'!$F10,IF(MATCH(Bron!$B$16,'uitgebreide raming'!$B$2:$I$2,0)=7,'uitgebreide raming'!$H10,0)))),0)</f>
        <v>0</v>
      </c>
      <c r="C46" s="9" t="e">
        <f t="shared" si="3"/>
        <v>#DIV/0!</v>
      </c>
      <c r="G46" s="8" t="s">
        <v>127</v>
      </c>
      <c r="H46" s="10">
        <f>IF(ISNUMBER(MATCH($G$2,'Overzicht BTA'!$H$7:$H$10,0)),IF(MATCH(Bron!$B$16,'uitgebreide raming'!$B$29:$I$29,0)=1,'uitgebreide raming'!B37,IF(MATCH(Bron!$B$16,'uitgebreide raming'!$B$29:$I$29,0)=3,'uitgebreide raming'!D37,IF(MATCH(Bron!$B$16,'uitgebreide raming'!$B$29:$I$29,0)=5,'uitgebreide raming'!F37,IF(MATCH(Bron!$B$16,'uitgebreide raming'!$B$29:$I$29,0)=7,'uitgebreide raming'!H37,0)))),0)</f>
        <v>0</v>
      </c>
      <c r="I46" s="9" t="e">
        <f t="shared" si="4"/>
        <v>#DIV/0!</v>
      </c>
      <c r="M46" s="8" t="s">
        <v>127</v>
      </c>
      <c r="N46" s="10">
        <f>IF(ISNUMBER(MATCH($M$2,'Overzicht BTA'!$N$7:$N$10,0)),IF(MATCH(Bron!$B$16,'uitgebreide raming'!$B$56:$I$56,0)=1,'uitgebreide raming'!B64,IF(MATCH(Bron!$B$16,'uitgebreide raming'!$B$56:$I$56,0)=3,'uitgebreide raming'!D64,IF(MATCH(Bron!$B$16,'uitgebreide raming'!$B$56:$I$56,0)=5,'uitgebreide raming'!F64,IF(MATCH(Bron!$B$16,'uitgebreide raming'!$B$56:$I$56,0)=7,'uitgebreide raming'!H64,0)))),0)</f>
        <v>0</v>
      </c>
      <c r="O46" s="9" t="e">
        <f t="shared" si="5"/>
        <v>#DIV/0!</v>
      </c>
    </row>
    <row r="47" spans="1:17" x14ac:dyDescent="0.3">
      <c r="A47" s="8" t="s">
        <v>110</v>
      </c>
      <c r="B47" s="10">
        <f>IF(ISNUMBER(MATCH($A$2,'Overzicht BTA'!$B$7:$B$10,0)),IF(MATCH(Bron!$B$16,'uitgebreide raming'!$B$2:$I$2,0)=1,'uitgebreide raming'!$B11,IF(MATCH(Bron!$B$16,'uitgebreide raming'!$B$2:$I$2,0)=3,'uitgebreide raming'!$D11,IF(MATCH(Bron!$B$16,'uitgebreide raming'!$B$2:$I$2,0)=5,'uitgebreide raming'!$F11,IF(MATCH(Bron!$B$16,'uitgebreide raming'!$B$2:$I$2,0)=7,'uitgebreide raming'!$H11,0)))),0)</f>
        <v>0</v>
      </c>
      <c r="C47" s="9" t="e">
        <f t="shared" si="3"/>
        <v>#DIV/0!</v>
      </c>
      <c r="G47" s="8" t="s">
        <v>110</v>
      </c>
      <c r="H47" s="10">
        <f>IF(ISNUMBER(MATCH($G$2,'Overzicht BTA'!$H$7:$H$10,0)),IF(MATCH(Bron!$B$16,'uitgebreide raming'!$B$29:$I$29,0)=1,'uitgebreide raming'!B38,IF(MATCH(Bron!$B$16,'uitgebreide raming'!$B$29:$I$29,0)=3,'uitgebreide raming'!D38,IF(MATCH(Bron!$B$16,'uitgebreide raming'!$B$29:$I$29,0)=5,'uitgebreide raming'!F38,IF(MATCH(Bron!$B$16,'uitgebreide raming'!$B$29:$I$29,0)=7,'uitgebreide raming'!H38,0)))),0)</f>
        <v>0</v>
      </c>
      <c r="I47" s="9" t="e">
        <f t="shared" si="4"/>
        <v>#DIV/0!</v>
      </c>
      <c r="M47" s="8" t="s">
        <v>110</v>
      </c>
      <c r="N47" s="10">
        <f>IF(ISNUMBER(MATCH($M$2,'Overzicht BTA'!$N$7:$N$10,0)),IF(MATCH(Bron!$B$16,'uitgebreide raming'!$B$56:$I$56,0)=1,'uitgebreide raming'!B65,IF(MATCH(Bron!$B$16,'uitgebreide raming'!$B$56:$I$56,0)=3,'uitgebreide raming'!D65,IF(MATCH(Bron!$B$16,'uitgebreide raming'!$B$56:$I$56,0)=5,'uitgebreide raming'!F65,IF(MATCH(Bron!$B$16,'uitgebreide raming'!$B$56:$I$56,0)=7,'uitgebreide raming'!H65,0)))),0)</f>
        <v>0</v>
      </c>
      <c r="O47" s="9" t="e">
        <f t="shared" si="5"/>
        <v>#DIV/0!</v>
      </c>
    </row>
    <row r="48" spans="1:17" x14ac:dyDescent="0.3">
      <c r="A48" s="23" t="s">
        <v>335</v>
      </c>
      <c r="B48" s="10">
        <f>IF(ISNUMBER(MATCH($A$2,'Overzicht BTA'!$B$7:$B$10,0)),IF(MATCH(Bron!$B$16,'uitgebreide raming'!$B$2:$I$2,0)=1,'uitgebreide raming'!$B12,IF(MATCH(Bron!$B$16,'uitgebreide raming'!$B$2:$I$2,0)=3,'uitgebreide raming'!$D12,IF(MATCH(Bron!$B$16,'uitgebreide raming'!$B$2:$I$2,0)=5,'uitgebreide raming'!$F12,IF(MATCH(Bron!$B$16,'uitgebreide raming'!$B$2:$I$2,0)=7,'uitgebreide raming'!$H12,0)))),0)</f>
        <v>0</v>
      </c>
      <c r="C48" s="40"/>
      <c r="G48" s="23" t="s">
        <v>335</v>
      </c>
      <c r="H48" s="10">
        <f>IF(ISNUMBER(MATCH($G$2,'Overzicht BTA'!$H$7:$H$10,0)),IF(MATCH(Bron!$B$16,'uitgebreide raming'!$B$29:$I$29,0)=1,'uitgebreide raming'!B39,IF(MATCH(Bron!$B$16,'uitgebreide raming'!$B$29:$I$29,0)=3,'uitgebreide raming'!D39,IF(MATCH(Bron!$B$16,'uitgebreide raming'!$B$29:$I$29,0)=5,'uitgebreide raming'!F39,IF(MATCH(Bron!$B$16,'uitgebreide raming'!$B$29:$I$29,0)=7,'uitgebreide raming'!H39,0)))),0)</f>
        <v>0</v>
      </c>
      <c r="I48" s="40"/>
      <c r="M48" s="23" t="s">
        <v>335</v>
      </c>
      <c r="N48" s="10">
        <f>IF(ISNUMBER(MATCH($M$2,'Overzicht BTA'!$N$7:$N$10,0)),IF(MATCH(Bron!$B$16,'uitgebreide raming'!$B$56:$I$56,0)=1,'uitgebreide raming'!B66,IF(MATCH(Bron!$B$16,'uitgebreide raming'!$B$56:$I$56,0)=3,'uitgebreide raming'!D66,IF(MATCH(Bron!$B$16,'uitgebreide raming'!$B$56:$I$56,0)=5,'uitgebreide raming'!F66,IF(MATCH(Bron!$B$16,'uitgebreide raming'!$B$56:$I$56,0)=7,'uitgebreide raming'!H66,0)))),0)</f>
        <v>0</v>
      </c>
      <c r="O48" s="40"/>
    </row>
    <row r="50" spans="1:19" x14ac:dyDescent="0.3">
      <c r="A50" s="511" t="s">
        <v>318</v>
      </c>
      <c r="B50" s="10"/>
      <c r="C50" s="22"/>
      <c r="G50" s="237" t="s">
        <v>318</v>
      </c>
      <c r="H50" s="10"/>
      <c r="I50" s="22"/>
      <c r="M50" s="237" t="s">
        <v>318</v>
      </c>
      <c r="N50" s="10"/>
      <c r="O50" s="22"/>
    </row>
    <row r="51" spans="1:19" x14ac:dyDescent="0.3">
      <c r="A51" s="48" t="s">
        <v>120</v>
      </c>
      <c r="B51" s="10">
        <f>IFERROR(IF(ISNUMBER(MATCH($A$2,'Overzicht BTA'!$B$7:$B$10,0)),IF(MATCH(Bron!$B$16,'uitgebreide raming'!$B$2:$I$2,0)=1,'uitgebreide raming'!B3,IF(MATCH(Bron!$B$16,'uitgebreide raming'!$B$2:$I$2,0)=3,'uitgebreide raming'!D3,IF(MATCH(Bron!$B$16,'uitgebreide raming'!$B$2:$I$2,0)=5,'uitgebreide raming'!F3,IF(MATCH(Bron!$B$16,'uitgebreide raming'!$B$2:$I$2,0)=7,'uitgebreide raming'!H3,0)))),0),0)</f>
        <v>0</v>
      </c>
      <c r="C51" s="49" t="s">
        <v>19</v>
      </c>
      <c r="G51" s="48" t="s">
        <v>120</v>
      </c>
      <c r="H51" s="10">
        <f>IFERROR(IF(ISNUMBER(MATCH($G$2,'Overzicht BTA'!$H$7:$H$10,0)),IF(MATCH(Bron!$B$16,'uitgebreide raming'!$B$29:$I$29,0)=1,'uitgebreide raming'!$B30,IF(MATCH(Bron!$B$16,'uitgebreide raming'!$B$29:$I$29,0)=3,'uitgebreide raming'!$D30,IF(MATCH(Bron!$B$16,'uitgebreide raming'!$B$29:$I$29,0)=5,'uitgebreide raming'!$F30,IF(MATCH(Bron!$B$16,'uitgebreide raming'!$B$29:$I$29,0)=7,'uitgebreide raming'!$H30,0)))),0),0)</f>
        <v>0</v>
      </c>
      <c r="I51" s="49" t="s">
        <v>19</v>
      </c>
      <c r="M51" s="48" t="s">
        <v>120</v>
      </c>
      <c r="N51" s="10">
        <f>IFERROR(IF(ISNUMBER(MATCH($M$2,'Overzicht BTA'!$N$7:$N$10,0)),IF(MATCH(Bron!$B$16,'uitgebreide raming'!$B$56:$I$56,0)=1,'uitgebreide raming'!$B57,IF(MATCH(Bron!$B$16,'uitgebreide raming'!$B$56:$I$56,0)=3,'uitgebreide raming'!$D57,IF(MATCH(Bron!$B$16,'uitgebreide raming'!$B$4:$I$56,0)=5,'uitgebreide raming'!$F57,IF(MATCH(Bron!$B$16,'uitgebreide raming'!$B$56:$I$56,0)=7,'uitgebreide raming'!$H57,0)))),0),0)</f>
        <v>0</v>
      </c>
      <c r="O51" s="49" t="s">
        <v>19</v>
      </c>
    </row>
    <row r="52" spans="1:19" x14ac:dyDescent="0.3">
      <c r="A52" s="48" t="s">
        <v>319</v>
      </c>
      <c r="B52" s="490">
        <v>0</v>
      </c>
      <c r="C52" s="49" t="s">
        <v>320</v>
      </c>
      <c r="G52" s="48" t="s">
        <v>319</v>
      </c>
      <c r="H52" s="490">
        <v>0</v>
      </c>
      <c r="I52" s="49" t="s">
        <v>320</v>
      </c>
      <c r="M52" s="48" t="s">
        <v>319</v>
      </c>
      <c r="N52" s="490">
        <v>0</v>
      </c>
      <c r="O52" s="49" t="s">
        <v>320</v>
      </c>
      <c r="S52" s="51">
        <f>B52+H52+N52</f>
        <v>0</v>
      </c>
    </row>
    <row r="53" spans="1:19" x14ac:dyDescent="0.3">
      <c r="A53" s="48" t="s">
        <v>336</v>
      </c>
      <c r="B53" s="10">
        <f>IFERROR(IF(ISNUMBER(MATCH($A$2,'Overzicht BTA'!$B$7:$B$10,0)),IF(MATCH(Bron!$B$16,'uitgebreide raming'!$B$2:$I$2,0)=1,'uitgebreide raming'!B4,IF(MATCH(Bron!$B$16,'uitgebreide raming'!$B$2:$I$2,0)=3,'uitgebreide raming'!D4,IF(MATCH(Bron!$B$16,'uitgebreide raming'!$B$2:$I$2,0)=5,'uitgebreide raming'!F4,IF(MATCH(Bron!$B$16,'uitgebreide raming'!$B$2:$I$2,0)=7,'uitgebreide raming'!H4,0)))),0),0)</f>
        <v>0</v>
      </c>
      <c r="C53" s="22"/>
      <c r="G53" s="48" t="s">
        <v>336</v>
      </c>
      <c r="H53" s="10">
        <f>IFERROR(IF(ISNUMBER(MATCH($G$2,'Overzicht BTA'!$H$7:$H$10,0)),IF(MATCH(Bron!$B$16,'uitgebreide raming'!$B$29:$I$29,0)=1,'uitgebreide raming'!$B31,IF(MATCH(Bron!$B$16,'uitgebreide raming'!$B$29:$I$29,0)=3,'uitgebreide raming'!$D31,IF(MATCH(Bron!$B$16,'uitgebreide raming'!$B$29:$I$29,0)=5,'uitgebreide raming'!$F31,IF(MATCH(Bron!$B$16,'uitgebreide raming'!$B$29:$I$29,0)=7,'uitgebreide raming'!$H31,0)))),0),0)</f>
        <v>0</v>
      </c>
      <c r="I53" s="22"/>
      <c r="M53" s="48" t="s">
        <v>336</v>
      </c>
      <c r="N53" s="10">
        <f>IFERROR(IF(ISNUMBER(MATCH($M$2,'Overzicht BTA'!$N$7:$N$10,0)),IF(MATCH(Bron!$B$16,'uitgebreide raming'!$B$56:$I$56,0)=1,'uitgebreide raming'!$B58,IF(MATCH(Bron!$B$16,'uitgebreide raming'!$B$56:$I$56,0)=3,'uitgebreide raming'!$D58,IF(MATCH(Bron!$B$16,'uitgebreide raming'!$B$56:$I$56,0)=5,'uitgebreide raming'!$F58,IF(MATCH(Bron!$B$16,'uitgebreide raming'!$B$56:$I$56,0)=7,'uitgebreide raming'!$H58,0)))),0),0)</f>
        <v>0</v>
      </c>
      <c r="O53" s="22"/>
    </row>
    <row r="54" spans="1:19" x14ac:dyDescent="0.3">
      <c r="A54" s="48" t="s">
        <v>321</v>
      </c>
      <c r="B54" s="271">
        <f>IF(B51=0,0,B53*(B52/B51))</f>
        <v>0</v>
      </c>
      <c r="C54" s="22"/>
      <c r="G54" s="48" t="s">
        <v>321</v>
      </c>
      <c r="H54" s="271">
        <f>IF(H51=0,0,H53*(H52/H51))</f>
        <v>0</v>
      </c>
      <c r="I54" s="22"/>
      <c r="M54" s="48" t="s">
        <v>321</v>
      </c>
      <c r="N54" s="271">
        <f>IF(N51=0,0,N53*(N52/N51))</f>
        <v>0</v>
      </c>
      <c r="O54" s="22"/>
    </row>
    <row r="56" spans="1:19" ht="18" x14ac:dyDescent="0.3">
      <c r="A56" s="1223" t="s">
        <v>91</v>
      </c>
      <c r="B56" s="1223"/>
      <c r="C56" s="1223"/>
      <c r="D56" s="1223"/>
      <c r="E56" s="1223"/>
      <c r="F56" s="1223"/>
      <c r="G56" s="1223"/>
      <c r="H56" s="1223"/>
      <c r="I56" s="1223"/>
      <c r="J56" s="1223"/>
      <c r="K56" s="1223"/>
      <c r="L56" s="1223"/>
      <c r="M56" s="1223"/>
      <c r="N56" s="1223"/>
      <c r="O56" s="1223"/>
      <c r="P56" s="1223"/>
      <c r="Q56" s="1223"/>
    </row>
    <row r="57" spans="1:19" outlineLevel="1" x14ac:dyDescent="0.3">
      <c r="A57" s="54" t="s">
        <v>292</v>
      </c>
      <c r="B57" s="54" t="str">
        <f>B1</f>
        <v>Kies de zorgvorm</v>
      </c>
      <c r="C57" s="54"/>
      <c r="D57" s="54"/>
      <c r="E57" s="54"/>
      <c r="F57" s="54"/>
      <c r="G57" s="54" t="s">
        <v>292</v>
      </c>
      <c r="H57" s="54" t="str">
        <f>H1</f>
        <v>Kies de zorgvorm</v>
      </c>
      <c r="I57" s="54"/>
      <c r="J57" s="54"/>
      <c r="K57" s="54"/>
      <c r="L57" s="54"/>
      <c r="M57" s="54" t="s">
        <v>292</v>
      </c>
      <c r="N57" s="54" t="str">
        <f>N1</f>
        <v>Kies de zorgvorm</v>
      </c>
      <c r="O57" s="54"/>
      <c r="P57" s="54"/>
      <c r="Q57" s="54"/>
    </row>
    <row r="58" spans="1:19" outlineLevel="1" x14ac:dyDescent="0.3">
      <c r="A58" s="134" t="s">
        <v>323</v>
      </c>
      <c r="B58" s="135"/>
      <c r="C58" s="135"/>
      <c r="D58" s="135"/>
      <c r="E58" s="136"/>
      <c r="G58" s="134" t="s">
        <v>323</v>
      </c>
      <c r="H58" s="135"/>
      <c r="I58" s="135"/>
      <c r="J58" s="135"/>
      <c r="K58" s="136"/>
      <c r="M58" s="134" t="s">
        <v>323</v>
      </c>
      <c r="N58" s="135"/>
      <c r="O58" s="135"/>
      <c r="P58" s="135"/>
      <c r="Q58" s="136"/>
    </row>
    <row r="59" spans="1:19" outlineLevel="1" x14ac:dyDescent="0.3">
      <c r="A59" s="69" t="s">
        <v>324</v>
      </c>
      <c r="B59" s="74"/>
      <c r="C59" s="61"/>
      <c r="D59" s="61"/>
      <c r="E59" s="61"/>
      <c r="G59" s="69" t="s">
        <v>324</v>
      </c>
      <c r="H59" s="74"/>
      <c r="I59" s="61"/>
      <c r="J59" s="61"/>
      <c r="K59" s="61"/>
      <c r="M59" s="69" t="s">
        <v>324</v>
      </c>
      <c r="N59" s="74"/>
      <c r="O59" s="61"/>
      <c r="P59" s="61"/>
      <c r="Q59" s="61"/>
    </row>
    <row r="60" spans="1:19" outlineLevel="1" x14ac:dyDescent="0.3">
      <c r="A60" s="70" t="s">
        <v>325</v>
      </c>
      <c r="B60" s="32" t="s">
        <v>275</v>
      </c>
      <c r="C60" s="32" t="s">
        <v>276</v>
      </c>
      <c r="D60" s="33"/>
      <c r="E60" s="32" t="s">
        <v>277</v>
      </c>
      <c r="G60" s="70" t="s">
        <v>325</v>
      </c>
      <c r="H60" s="32" t="s">
        <v>275</v>
      </c>
      <c r="I60" s="32" t="s">
        <v>276</v>
      </c>
      <c r="J60" s="33"/>
      <c r="K60" s="32" t="s">
        <v>277</v>
      </c>
      <c r="M60" s="70" t="s">
        <v>325</v>
      </c>
      <c r="N60" s="32" t="s">
        <v>275</v>
      </c>
      <c r="O60" s="32" t="s">
        <v>276</v>
      </c>
      <c r="P60" s="33"/>
      <c r="Q60" s="32" t="s">
        <v>277</v>
      </c>
    </row>
    <row r="61" spans="1:19" outlineLevel="1" x14ac:dyDescent="0.3">
      <c r="A61" s="368">
        <f>IF(ISNUMBER(MATCH(A58,'Overzicht BTA'!B51:B54,0)),IF(MATCH(Bron!$B$16,'Overzicht BTA'!B51:B54,0)=1,'Overzicht BTA'!D51,IF(MATCH(Bron!$B$16,'Overzicht BTA'!B51:B54,0)=2,'Overzicht BTA'!D52,IF(MATCH(Bron!$B$16,'Overzicht BTA'!B51:B54,0)=3,'Overzicht BTA'!D53,IF(MATCH(Bron!$B$16,'Overzicht BTA'!B51:B54,0)=4,'Overzicht BTA'!D54,0)))),0)</f>
        <v>0</v>
      </c>
      <c r="B61" s="912">
        <f>VLOOKUP(B57,'Capaciteiten &amp; forfaits'!$B$3:$H$76,4,FALSE)</f>
        <v>0</v>
      </c>
      <c r="C61" s="71">
        <f>'Overzicht BTA'!$D$37</f>
        <v>2.3958200000000001</v>
      </c>
      <c r="D61" s="77">
        <f>D5</f>
        <v>1</v>
      </c>
      <c r="E61" s="78">
        <f>ROUND(A61*B61*C61*D61,2)</f>
        <v>0</v>
      </c>
      <c r="G61" s="368">
        <f>IF(ISNUMBER(MATCH(G58,'Overzicht BTA'!H51:H54,0)),IF(MATCH(Bron!$B$16,'Overzicht BTA'!H51:H54,0)=1,'Overzicht BTA'!J51,IF(MATCH(Bron!$B$16,'Overzicht BTA'!H51:H54,0)=2,'Overzicht BTA'!J52,IF(MATCH(Bron!$B$16,'Overzicht BTA'!H51:H54,0)=3,'Overzicht BTA'!J53,IF(MATCH(Bron!$B$16,'Overzicht BTA'!H51:H54,0)=4,'Overzicht BTA'!J54,0)))),0)</f>
        <v>0</v>
      </c>
      <c r="H61" s="912">
        <f>VLOOKUP(H57,'Capaciteiten &amp; forfaits'!$B$3:$H$76,4,FALSE)</f>
        <v>0</v>
      </c>
      <c r="I61" s="71">
        <f>'Overzicht BTA'!$D$37</f>
        <v>2.3958200000000001</v>
      </c>
      <c r="J61" s="77">
        <f>J5</f>
        <v>0.75</v>
      </c>
      <c r="K61" s="78">
        <f>ROUND(G61*H61*I61*J61,2)</f>
        <v>0</v>
      </c>
      <c r="M61" s="368">
        <f>IF(ISNUMBER(MATCH(M58,'Overzicht BTA'!N51:N54,0)),IF(MATCH(Bron!$B$16,'Overzicht BTA'!N51:N54,0)=1,'Overzicht BTA'!P51,IF(MATCH(Bron!$B$16,'Overzicht BTA'!N51:N54,0)=2,'Overzicht BTA'!P52,IF(MATCH(Bron!$B$16,'Overzicht BTA'!N51:N54,0)=3,'Overzicht BTA'!P53,IF(MATCH(Bron!$B$16,'Overzicht BTA'!N51:N54,0)=4,'Overzicht BTA'!P54,0)))),0)</f>
        <v>0</v>
      </c>
      <c r="N61" s="912">
        <f>VLOOKUP(N57,'Capaciteiten &amp; forfaits'!$B$3:$H$76,4,FALSE)</f>
        <v>0</v>
      </c>
      <c r="O61" s="71">
        <f>'Overzicht BTA'!$D$37</f>
        <v>2.3958200000000001</v>
      </c>
      <c r="P61" s="77">
        <f>P5</f>
        <v>0.75</v>
      </c>
      <c r="Q61" s="78">
        <f>ROUND(M61*N61*O61*P61,2)</f>
        <v>0</v>
      </c>
    </row>
    <row r="62" spans="1:19" ht="28.2" outlineLevel="1" thickBot="1" x14ac:dyDescent="0.35">
      <c r="A62" s="57" t="s">
        <v>326</v>
      </c>
      <c r="B62" s="913">
        <f>IF(B107&lt;B108*0.6,B107,B108)</f>
        <v>0</v>
      </c>
      <c r="C62" s="43">
        <f>IF(B62&lt;=B108*0.6,1,0.6)</f>
        <v>1</v>
      </c>
      <c r="D62" s="75"/>
      <c r="E62" s="124">
        <f>ROUND(B62*C62,2)</f>
        <v>0</v>
      </c>
      <c r="G62" s="57" t="s">
        <v>326</v>
      </c>
      <c r="H62" s="913">
        <f>IF(H107&lt;H108*0.6,H107,H108)</f>
        <v>0</v>
      </c>
      <c r="I62" s="43">
        <f>IF(H62&lt;=H108*0.6,1,0.6)</f>
        <v>1</v>
      </c>
      <c r="J62" s="75"/>
      <c r="K62" s="124">
        <f>ROUND(H62*I62,2)</f>
        <v>0</v>
      </c>
      <c r="M62" s="57" t="s">
        <v>326</v>
      </c>
      <c r="N62" s="913">
        <f>IF(N107&lt;N108*0.6,N107,N108)</f>
        <v>0</v>
      </c>
      <c r="O62" s="43">
        <f>IF(N62&lt;=N108*0.6,1,0.6)</f>
        <v>1</v>
      </c>
      <c r="P62" s="75"/>
      <c r="Q62" s="124">
        <f>ROUND(N62*O62,2)</f>
        <v>0</v>
      </c>
    </row>
    <row r="63" spans="1:19" ht="14.4" outlineLevel="1" thickTop="1" x14ac:dyDescent="0.3">
      <c r="A63" s="112" t="s">
        <v>327</v>
      </c>
      <c r="B63" s="113"/>
      <c r="C63" s="114"/>
      <c r="D63" s="32"/>
      <c r="E63" s="63">
        <f>ROUND(IF(E61-E62&lt;0,0,E61-E62),2)</f>
        <v>0</v>
      </c>
      <c r="G63" s="112" t="s">
        <v>327</v>
      </c>
      <c r="H63" s="113"/>
      <c r="I63" s="114"/>
      <c r="J63" s="32"/>
      <c r="K63" s="63">
        <f>ROUND(IF(K61-K62&lt;0,0,K61-K62),2)</f>
        <v>0</v>
      </c>
      <c r="M63" s="112" t="s">
        <v>327</v>
      </c>
      <c r="N63" s="113"/>
      <c r="O63" s="114"/>
      <c r="P63" s="32"/>
      <c r="Q63" s="63">
        <f>ROUND(IF(Q61-Q62&lt;0,0,Q61-Q62),2)</f>
        <v>0</v>
      </c>
    </row>
    <row r="64" spans="1:19" outlineLevel="1" x14ac:dyDescent="0.3">
      <c r="A64" s="41" t="s">
        <v>312</v>
      </c>
      <c r="B64" s="42">
        <f>B101</f>
        <v>0</v>
      </c>
      <c r="C64" s="43">
        <v>0.6</v>
      </c>
      <c r="D64" s="43"/>
      <c r="E64" s="42">
        <f>B64*C64</f>
        <v>0</v>
      </c>
      <c r="F64" s="51"/>
      <c r="G64" s="41" t="s">
        <v>312</v>
      </c>
      <c r="H64" s="42">
        <f>H101</f>
        <v>0</v>
      </c>
      <c r="I64" s="43">
        <v>0.6</v>
      </c>
      <c r="J64" s="43"/>
      <c r="K64" s="42">
        <f>H64*I64</f>
        <v>0</v>
      </c>
      <c r="M64" s="41" t="s">
        <v>312</v>
      </c>
      <c r="N64" s="42">
        <f>N102</f>
        <v>0</v>
      </c>
      <c r="O64" s="43">
        <v>0.6</v>
      </c>
      <c r="P64" s="43"/>
      <c r="Q64" s="42">
        <f>N64*O64</f>
        <v>0</v>
      </c>
    </row>
    <row r="65" spans="1:19" outlineLevel="1" x14ac:dyDescent="0.3">
      <c r="A65" s="41" t="s">
        <v>328</v>
      </c>
      <c r="B65" s="42">
        <f>B102</f>
        <v>0</v>
      </c>
      <c r="C65" s="44">
        <v>0.6</v>
      </c>
      <c r="D65" s="43"/>
      <c r="E65" s="42">
        <f t="shared" ref="E65:E66" si="6">B65*C65</f>
        <v>0</v>
      </c>
      <c r="F65" s="51"/>
      <c r="G65" s="41" t="s">
        <v>328</v>
      </c>
      <c r="H65" s="42">
        <f>H102</f>
        <v>0</v>
      </c>
      <c r="I65" s="44">
        <v>0.6</v>
      </c>
      <c r="J65" s="43"/>
      <c r="K65" s="42">
        <f t="shared" ref="K65:K66" si="7">H65*I65</f>
        <v>0</v>
      </c>
      <c r="M65" s="41" t="s">
        <v>328</v>
      </c>
      <c r="N65" s="42">
        <f>N103</f>
        <v>0</v>
      </c>
      <c r="O65" s="44">
        <v>0.6</v>
      </c>
      <c r="P65" s="43"/>
      <c r="Q65" s="42">
        <f t="shared" ref="Q65:Q66" si="8">N65*O65</f>
        <v>0</v>
      </c>
    </row>
    <row r="66" spans="1:19" ht="14.4" outlineLevel="1" thickBot="1" x14ac:dyDescent="0.35">
      <c r="A66" s="41" t="s">
        <v>128</v>
      </c>
      <c r="B66" s="42">
        <f>B104</f>
        <v>0</v>
      </c>
      <c r="C66" s="44">
        <v>0.6</v>
      </c>
      <c r="D66" s="43"/>
      <c r="E66" s="116">
        <f t="shared" si="6"/>
        <v>0</v>
      </c>
      <c r="F66" s="53"/>
      <c r="G66" s="41" t="s">
        <v>128</v>
      </c>
      <c r="H66" s="42">
        <f>H104</f>
        <v>0</v>
      </c>
      <c r="I66" s="44">
        <v>0.6</v>
      </c>
      <c r="J66" s="43"/>
      <c r="K66" s="116">
        <f t="shared" si="7"/>
        <v>0</v>
      </c>
      <c r="M66" s="41" t="s">
        <v>128</v>
      </c>
      <c r="N66" s="42">
        <f>N104</f>
        <v>0</v>
      </c>
      <c r="O66" s="44">
        <v>0.6</v>
      </c>
      <c r="P66" s="43"/>
      <c r="Q66" s="116">
        <f t="shared" si="8"/>
        <v>0</v>
      </c>
    </row>
    <row r="67" spans="1:19" ht="14.4" outlineLevel="1" thickTop="1" x14ac:dyDescent="0.3">
      <c r="A67" s="119"/>
      <c r="B67" s="120"/>
      <c r="C67" s="121"/>
      <c r="D67" s="122"/>
      <c r="E67" s="123">
        <f>SUM(E64:E66)</f>
        <v>0</v>
      </c>
      <c r="F67" s="53"/>
      <c r="G67" s="119"/>
      <c r="H67" s="120"/>
      <c r="I67" s="121"/>
      <c r="J67" s="122"/>
      <c r="K67" s="123">
        <f>SUM(K64:K66)</f>
        <v>0</v>
      </c>
      <c r="M67" s="119"/>
      <c r="N67" s="120"/>
      <c r="O67" s="121"/>
      <c r="P67" s="122"/>
      <c r="Q67" s="123">
        <f>SUM(Q64:Q66)</f>
        <v>0</v>
      </c>
    </row>
    <row r="68" spans="1:19" outlineLevel="1" x14ac:dyDescent="0.3">
      <c r="A68" s="117" t="s">
        <v>329</v>
      </c>
      <c r="B68" s="76"/>
      <c r="C68" s="118"/>
      <c r="D68" s="31"/>
      <c r="E68" s="45"/>
      <c r="G68" s="117" t="s">
        <v>329</v>
      </c>
      <c r="H68" s="76"/>
      <c r="I68" s="118"/>
      <c r="J68" s="31"/>
      <c r="K68" s="45"/>
      <c r="M68" s="117" t="s">
        <v>329</v>
      </c>
      <c r="N68" s="76"/>
      <c r="O68" s="118"/>
      <c r="P68" s="31"/>
      <c r="Q68" s="45"/>
    </row>
    <row r="69" spans="1:19" outlineLevel="1" x14ac:dyDescent="0.3">
      <c r="A69" s="1242" t="s">
        <v>330</v>
      </c>
      <c r="B69" s="1243"/>
      <c r="C69" s="44"/>
      <c r="D69" s="31"/>
      <c r="E69" s="24">
        <f>ROUND(IF(E62&gt;E61,E61,E62),2)</f>
        <v>0</v>
      </c>
      <c r="G69" s="1242" t="s">
        <v>330</v>
      </c>
      <c r="H69" s="1243"/>
      <c r="I69" s="44"/>
      <c r="J69" s="31"/>
      <c r="K69" s="24">
        <f>ROUND(IF(K62&gt;K61,K61,K62),2)</f>
        <v>0</v>
      </c>
      <c r="M69" s="1244" t="s">
        <v>330</v>
      </c>
      <c r="N69" s="1245"/>
      <c r="O69" s="689"/>
      <c r="P69" s="31"/>
      <c r="Q69" s="24">
        <f>ROUND(IF(Q62&gt;Q61,Q61,Q62),2)</f>
        <v>0</v>
      </c>
      <c r="S69" s="51">
        <f>E69+K69+Q69</f>
        <v>0</v>
      </c>
    </row>
    <row r="70" spans="1:19" outlineLevel="1" x14ac:dyDescent="0.3">
      <c r="A70" s="41" t="s">
        <v>331</v>
      </c>
      <c r="B70" s="42">
        <f>MIN(B109,B110)</f>
        <v>0</v>
      </c>
      <c r="C70" s="44">
        <v>0.6</v>
      </c>
      <c r="D70" s="31"/>
      <c r="E70" s="24">
        <f>ROUND(B70*C70,2)</f>
        <v>0</v>
      </c>
      <c r="G70" s="41" t="s">
        <v>331</v>
      </c>
      <c r="H70" s="42">
        <f>MIN(H109,H110)</f>
        <v>0</v>
      </c>
      <c r="I70" s="44">
        <v>0.6</v>
      </c>
      <c r="J70" s="31"/>
      <c r="K70" s="24">
        <f>ROUND(H70*I70,2)</f>
        <v>0</v>
      </c>
      <c r="M70" s="8" t="s">
        <v>331</v>
      </c>
      <c r="N70" s="690">
        <f>MIN(N109,N110)</f>
        <v>0</v>
      </c>
      <c r="O70" s="689">
        <v>0.6</v>
      </c>
      <c r="P70" s="31"/>
      <c r="Q70" s="24">
        <f>ROUND(N70*O70,2)</f>
        <v>0</v>
      </c>
      <c r="S70" s="51">
        <f>E70+K70+Q70</f>
        <v>0</v>
      </c>
    </row>
    <row r="71" spans="1:19" outlineLevel="1" x14ac:dyDescent="0.3">
      <c r="A71" s="1242" t="s">
        <v>332</v>
      </c>
      <c r="B71" s="1243"/>
      <c r="C71" s="44"/>
      <c r="D71" s="31"/>
      <c r="E71" s="46"/>
      <c r="G71" s="1242" t="s">
        <v>332</v>
      </c>
      <c r="H71" s="1243"/>
      <c r="I71" s="44"/>
      <c r="J71" s="31"/>
      <c r="K71" s="46"/>
      <c r="M71" s="1244" t="s">
        <v>332</v>
      </c>
      <c r="N71" s="1245"/>
      <c r="O71" s="689"/>
      <c r="P71" s="31"/>
      <c r="Q71" s="46"/>
    </row>
    <row r="72" spans="1:19" outlineLevel="1" x14ac:dyDescent="0.3">
      <c r="A72" s="41" t="s">
        <v>312</v>
      </c>
      <c r="B72" s="253"/>
      <c r="C72" s="44"/>
      <c r="D72" s="31"/>
      <c r="E72" s="42">
        <f>ROUND(IF(E64&gt;E63,E63,E64),2)</f>
        <v>0</v>
      </c>
      <c r="G72" s="41" t="s">
        <v>312</v>
      </c>
      <c r="H72" s="253"/>
      <c r="I72" s="44"/>
      <c r="J72" s="31"/>
      <c r="K72" s="42">
        <f>ROUND(IF(K64&gt;K63,K63,K64),2)</f>
        <v>0</v>
      </c>
      <c r="M72" s="8" t="s">
        <v>312</v>
      </c>
      <c r="N72" s="691"/>
      <c r="O72" s="689"/>
      <c r="P72" s="31"/>
      <c r="Q72" s="42">
        <f>ROUND(IF(Q64&gt;Q63,Q63,Q64),2)</f>
        <v>0</v>
      </c>
    </row>
    <row r="73" spans="1:19" outlineLevel="1" x14ac:dyDescent="0.3">
      <c r="A73" s="41" t="s">
        <v>328</v>
      </c>
      <c r="B73" s="253"/>
      <c r="C73" s="44"/>
      <c r="D73" s="31"/>
      <c r="E73" s="42">
        <f>ROUND(IF((E64+E65)&lt;E63,E65,IF((E63-E64)&gt;0,E63-E64,0)),2)</f>
        <v>0</v>
      </c>
      <c r="G73" s="41" t="s">
        <v>328</v>
      </c>
      <c r="H73" s="253"/>
      <c r="I73" s="44"/>
      <c r="J73" s="31"/>
      <c r="K73" s="42">
        <f>ROUND(IF((K64+K65)&lt;K63,K65,IF((K63-K64)&gt;0,K63-K64,0)),2)</f>
        <v>0</v>
      </c>
      <c r="M73" s="8" t="s">
        <v>328</v>
      </c>
      <c r="N73" s="691"/>
      <c r="O73" s="689"/>
      <c r="P73" s="31"/>
      <c r="Q73" s="42">
        <f>ROUND(IF((Q64+Q65)&lt;Q63,Q65,IF((Q63-Q64)&gt;0,Q63-Q64,0)),2)</f>
        <v>0</v>
      </c>
    </row>
    <row r="74" spans="1:19" ht="14.4" outlineLevel="1" thickBot="1" x14ac:dyDescent="0.35">
      <c r="A74" s="41" t="s">
        <v>128</v>
      </c>
      <c r="B74" s="253"/>
      <c r="C74" s="44"/>
      <c r="D74" s="31"/>
      <c r="E74" s="116">
        <f>ROUND(IF((E66+E65+E64)&lt;E63,E66,IF((E63-E64-E65)&gt;0,E63-E64-E65,0)),0)</f>
        <v>0</v>
      </c>
      <c r="G74" s="41" t="s">
        <v>128</v>
      </c>
      <c r="H74" s="253"/>
      <c r="I74" s="44"/>
      <c r="J74" s="31"/>
      <c r="K74" s="116">
        <f>ROUND(IF((K66+K65+K64)&lt;K63,K66,IF((K63-K64-K65)&gt;0,K63-K64-K65,0)),0)</f>
        <v>0</v>
      </c>
      <c r="M74" s="8" t="s">
        <v>128</v>
      </c>
      <c r="N74" s="691"/>
      <c r="O74" s="689"/>
      <c r="P74" s="31"/>
      <c r="Q74" s="116">
        <f>ROUND(IF((Q66+Q65+Q64)&lt;Q63,Q66,IF((Q63-Q64-Q65)&gt;0,Q63-Q64-Q65,0)),0)</f>
        <v>0</v>
      </c>
    </row>
    <row r="75" spans="1:19" ht="15" outlineLevel="1" thickTop="1" thickBot="1" x14ac:dyDescent="0.35">
      <c r="A75" s="115" t="s">
        <v>333</v>
      </c>
      <c r="B75" s="253"/>
      <c r="C75" s="44"/>
      <c r="D75" s="31"/>
      <c r="E75" s="125">
        <f>SUM(E72:E74)</f>
        <v>0</v>
      </c>
      <c r="G75" s="115" t="s">
        <v>333</v>
      </c>
      <c r="H75" s="253"/>
      <c r="I75" s="44"/>
      <c r="J75" s="31"/>
      <c r="K75" s="125">
        <f>SUM(K72:K74)</f>
        <v>0</v>
      </c>
      <c r="M75" s="23" t="s">
        <v>333</v>
      </c>
      <c r="N75" s="691"/>
      <c r="O75" s="689"/>
      <c r="P75" s="31"/>
      <c r="Q75" s="125">
        <f>SUM(Q72:Q74)</f>
        <v>0</v>
      </c>
    </row>
    <row r="76" spans="1:19" ht="14.4" outlineLevel="1" thickBot="1" x14ac:dyDescent="0.35">
      <c r="A76" s="5" t="s">
        <v>279</v>
      </c>
      <c r="B76" s="10">
        <f>E75</f>
        <v>0</v>
      </c>
      <c r="C76" s="9">
        <v>0.1</v>
      </c>
      <c r="D76" s="9"/>
      <c r="E76" s="24">
        <f>ROUND(B76*C76,2)</f>
        <v>0</v>
      </c>
      <c r="G76" s="5" t="s">
        <v>279</v>
      </c>
      <c r="H76" s="10">
        <f>K75</f>
        <v>0</v>
      </c>
      <c r="I76" s="9">
        <v>0.1</v>
      </c>
      <c r="J76" s="9"/>
      <c r="K76" s="24">
        <f>ROUND(H76*I76,2)</f>
        <v>0</v>
      </c>
      <c r="M76" s="5" t="s">
        <v>279</v>
      </c>
      <c r="N76" s="10">
        <f>Q75</f>
        <v>0</v>
      </c>
      <c r="O76" s="9">
        <v>0.1</v>
      </c>
      <c r="P76" s="9"/>
      <c r="Q76" s="24">
        <f>ROUND(N76*O76,2)</f>
        <v>0</v>
      </c>
    </row>
    <row r="77" spans="1:19" outlineLevel="1" x14ac:dyDescent="0.3">
      <c r="A77" s="8" t="s">
        <v>64</v>
      </c>
      <c r="B77" s="8" t="s">
        <v>293</v>
      </c>
      <c r="C77" s="97">
        <f>'Overzicht BTA'!$C$61</f>
        <v>0</v>
      </c>
      <c r="D77" s="9"/>
      <c r="E77" s="24">
        <f>ROUND(E72*C77,2)</f>
        <v>0</v>
      </c>
      <c r="G77" s="8" t="s">
        <v>64</v>
      </c>
      <c r="H77" s="8" t="s">
        <v>293</v>
      </c>
      <c r="I77" s="97">
        <f>'Overzicht BTA'!$C$61</f>
        <v>0</v>
      </c>
      <c r="J77" s="9"/>
      <c r="K77" s="24">
        <f>ROUND(K72*I77,2)</f>
        <v>0</v>
      </c>
      <c r="M77" s="8" t="s">
        <v>64</v>
      </c>
      <c r="N77" s="8" t="s">
        <v>293</v>
      </c>
      <c r="O77" s="97">
        <f>'Overzicht BTA'!$C$61</f>
        <v>0</v>
      </c>
      <c r="P77" s="9"/>
      <c r="Q77" s="24">
        <f>ROUND(Q72*O77,2)</f>
        <v>0</v>
      </c>
    </row>
    <row r="78" spans="1:19" outlineLevel="1" x14ac:dyDescent="0.3">
      <c r="A78" s="8" t="s">
        <v>294</v>
      </c>
      <c r="B78" s="8" t="s">
        <v>295</v>
      </c>
      <c r="C78" s="9">
        <v>0.21</v>
      </c>
      <c r="D78" s="26"/>
      <c r="E78" s="47">
        <f>ROUND(E73*C78,2)</f>
        <v>0</v>
      </c>
      <c r="G78" s="8" t="s">
        <v>294</v>
      </c>
      <c r="H78" s="8" t="s">
        <v>295</v>
      </c>
      <c r="I78" s="9">
        <v>0.21</v>
      </c>
      <c r="J78" s="26"/>
      <c r="K78" s="47">
        <f>ROUND(K73*I78,2)</f>
        <v>0</v>
      </c>
      <c r="M78" s="8" t="s">
        <v>294</v>
      </c>
      <c r="N78" s="8" t="s">
        <v>295</v>
      </c>
      <c r="O78" s="9">
        <v>0.21</v>
      </c>
      <c r="P78" s="26"/>
      <c r="Q78" s="47">
        <f>ROUND(Q73*O78,2)</f>
        <v>0</v>
      </c>
    </row>
    <row r="79" spans="1:19" outlineLevel="1" x14ac:dyDescent="0.3">
      <c r="A79" s="79" t="s">
        <v>64</v>
      </c>
      <c r="B79" s="79" t="s">
        <v>281</v>
      </c>
      <c r="C79" s="26">
        <v>0.21</v>
      </c>
      <c r="D79" s="26"/>
      <c r="E79" s="47">
        <f>ROUND(E76*C79,2)</f>
        <v>0</v>
      </c>
      <c r="G79" s="79" t="s">
        <v>64</v>
      </c>
      <c r="H79" s="79" t="s">
        <v>281</v>
      </c>
      <c r="I79" s="26">
        <v>0.21</v>
      </c>
      <c r="J79" s="26"/>
      <c r="K79" s="47">
        <f>ROUND(K76*I79,2)</f>
        <v>0</v>
      </c>
      <c r="M79" s="79" t="s">
        <v>64</v>
      </c>
      <c r="N79" s="79" t="s">
        <v>281</v>
      </c>
      <c r="O79" s="26">
        <v>0.21</v>
      </c>
      <c r="P79" s="26"/>
      <c r="Q79" s="47">
        <f>ROUND(Q76*O79,2)</f>
        <v>0</v>
      </c>
    </row>
    <row r="80" spans="1:19" outlineLevel="1" x14ac:dyDescent="0.3">
      <c r="A80" s="48" t="s">
        <v>282</v>
      </c>
      <c r="B80" s="48"/>
      <c r="C80" s="48"/>
      <c r="D80" s="48"/>
      <c r="E80" s="502">
        <f>ROUND(E69+E70+E75+E76+E77+E78+E79,2)</f>
        <v>0</v>
      </c>
      <c r="G80" s="48" t="s">
        <v>282</v>
      </c>
      <c r="H80" s="48"/>
      <c r="I80" s="48"/>
      <c r="J80" s="48"/>
      <c r="K80" s="502">
        <f>ROUND(K69+K70+K75+K76+K77+K78+K79,2)</f>
        <v>0</v>
      </c>
      <c r="M80" s="48" t="s">
        <v>282</v>
      </c>
      <c r="N80" s="48"/>
      <c r="O80" s="48"/>
      <c r="P80" s="48"/>
      <c r="Q80" s="502">
        <f>ROUND(Q69+Q70+Q75+Q76+Q77+Q78+Q79,2)</f>
        <v>0</v>
      </c>
      <c r="S80" s="51">
        <f>E80+K80+Q80</f>
        <v>0</v>
      </c>
    </row>
    <row r="81" spans="1:19" ht="14.4" outlineLevel="1" thickBot="1" x14ac:dyDescent="0.35"/>
    <row r="82" spans="1:19" ht="14.4" outlineLevel="2" x14ac:dyDescent="0.3">
      <c r="A82" s="1014" t="s">
        <v>283</v>
      </c>
      <c r="B82" s="1015"/>
      <c r="C82" s="1015"/>
      <c r="D82" s="1016"/>
      <c r="E82" s="1016"/>
      <c r="F82"/>
      <c r="G82" s="1014" t="s">
        <v>283</v>
      </c>
      <c r="H82" s="1015"/>
      <c r="I82" s="1015"/>
      <c r="J82" s="1016"/>
      <c r="K82" s="1016"/>
      <c r="L82"/>
      <c r="M82" s="1014" t="s">
        <v>283</v>
      </c>
      <c r="N82" s="1015"/>
      <c r="O82" s="1015"/>
      <c r="P82" s="1016"/>
      <c r="Q82" s="1016"/>
      <c r="S82" s="51">
        <f>E95+K95+Q95</f>
        <v>0</v>
      </c>
    </row>
    <row r="83" spans="1:19" ht="14.4" outlineLevel="2" x14ac:dyDescent="0.3">
      <c r="A83" s="1025" t="s">
        <v>274</v>
      </c>
      <c r="B83" s="1025" t="s">
        <v>275</v>
      </c>
      <c r="C83" s="1025" t="s">
        <v>276</v>
      </c>
      <c r="D83" s="1025"/>
      <c r="E83" s="1025" t="s">
        <v>277</v>
      </c>
      <c r="F83"/>
      <c r="G83" s="1025" t="s">
        <v>274</v>
      </c>
      <c r="H83" s="1025" t="s">
        <v>275</v>
      </c>
      <c r="I83" s="1025" t="s">
        <v>276</v>
      </c>
      <c r="J83" s="1025"/>
      <c r="K83" s="1025" t="s">
        <v>277</v>
      </c>
      <c r="L83"/>
      <c r="M83" s="1025" t="s">
        <v>274</v>
      </c>
      <c r="N83" s="1025" t="s">
        <v>275</v>
      </c>
      <c r="O83" s="1025" t="s">
        <v>276</v>
      </c>
      <c r="P83" s="1025"/>
      <c r="Q83" s="1025" t="s">
        <v>277</v>
      </c>
    </row>
    <row r="84" spans="1:19" ht="14.4" outlineLevel="2" x14ac:dyDescent="0.3">
      <c r="A84" s="1026">
        <f>A61</f>
        <v>0</v>
      </c>
      <c r="B84" s="1027">
        <f>IF(B57=Bron!$E$40,55,0)</f>
        <v>0</v>
      </c>
      <c r="C84" s="1025">
        <f>C61</f>
        <v>2.3958200000000001</v>
      </c>
      <c r="D84" s="1025"/>
      <c r="E84" s="1028">
        <f>ROUND(A84*B84*C84,2)</f>
        <v>0</v>
      </c>
      <c r="F84"/>
      <c r="G84" s="1026">
        <f>G61</f>
        <v>0</v>
      </c>
      <c r="H84" s="1027">
        <f>IF(H57=Bron!$E$40,55,0)</f>
        <v>0</v>
      </c>
      <c r="I84" s="1025">
        <f>I61</f>
        <v>2.3958200000000001</v>
      </c>
      <c r="J84" s="1025"/>
      <c r="K84" s="1028">
        <f>ROUND(G84*H84*I84,2)</f>
        <v>0</v>
      </c>
      <c r="L84"/>
      <c r="M84" s="1026">
        <f>M61</f>
        <v>0</v>
      </c>
      <c r="N84" s="1027">
        <f>IF(N57=Bron!$E$40,55,0)</f>
        <v>0</v>
      </c>
      <c r="O84" s="1025">
        <f>O61</f>
        <v>2.3958200000000001</v>
      </c>
      <c r="P84" s="1025"/>
      <c r="Q84" s="1028">
        <f>ROUND(M84*N84*O84,2)</f>
        <v>0</v>
      </c>
    </row>
    <row r="85" spans="1:19" ht="14.4" outlineLevel="2" x14ac:dyDescent="0.3">
      <c r="A85" s="32" t="s">
        <v>285</v>
      </c>
      <c r="B85" s="1028">
        <f>'Bouwkost AK+VERB'!$E$52</f>
        <v>0</v>
      </c>
      <c r="C85" s="1029">
        <v>0.6</v>
      </c>
      <c r="D85" s="1025"/>
      <c r="E85" s="1028">
        <f>B85*C85</f>
        <v>0</v>
      </c>
      <c r="F85"/>
      <c r="G85" s="32" t="s">
        <v>285</v>
      </c>
      <c r="H85" s="1028">
        <f>'Bouwkost AK+VERB'!$N$52</f>
        <v>0</v>
      </c>
      <c r="I85" s="1029">
        <v>0.6</v>
      </c>
      <c r="J85" s="1025"/>
      <c r="K85" s="1028">
        <f>H85*I85</f>
        <v>0</v>
      </c>
      <c r="L85"/>
      <c r="M85" s="32" t="s">
        <v>285</v>
      </c>
      <c r="N85" s="1028">
        <f>'Bouwkost AK+VERB'!$Y$52</f>
        <v>0</v>
      </c>
      <c r="O85" s="1029">
        <v>0.6</v>
      </c>
      <c r="P85" s="1025"/>
      <c r="Q85" s="1028">
        <f>N85*O85</f>
        <v>0</v>
      </c>
    </row>
    <row r="86" spans="1:19" ht="14.4" outlineLevel="2" x14ac:dyDescent="0.3">
      <c r="A86" s="65" t="s">
        <v>286</v>
      </c>
      <c r="B86" s="1028">
        <f>'Bouwkost AK+VERB'!$E$58</f>
        <v>0</v>
      </c>
      <c r="C86" s="1029">
        <v>0.6</v>
      </c>
      <c r="D86" s="1025"/>
      <c r="E86" s="1028">
        <f>B86*C86</f>
        <v>0</v>
      </c>
      <c r="F86"/>
      <c r="G86" s="65" t="s">
        <v>286</v>
      </c>
      <c r="H86" s="1028">
        <f>'Bouwkost AK+VERB'!$N$58</f>
        <v>0</v>
      </c>
      <c r="I86" s="1029">
        <v>0.6</v>
      </c>
      <c r="J86" s="1025"/>
      <c r="K86" s="1028">
        <f>H86*I86</f>
        <v>0</v>
      </c>
      <c r="L86"/>
      <c r="M86" s="65" t="s">
        <v>286</v>
      </c>
      <c r="N86" s="1028">
        <f>'Bouwkost AK+VERB'!$Y$58</f>
        <v>0</v>
      </c>
      <c r="O86" s="1029">
        <v>0.6</v>
      </c>
      <c r="P86" s="1025"/>
      <c r="Q86" s="1028">
        <f>N86*O86</f>
        <v>0</v>
      </c>
    </row>
    <row r="87" spans="1:19" ht="14.4" outlineLevel="2" x14ac:dyDescent="0.3">
      <c r="A87" s="1246" t="s">
        <v>287</v>
      </c>
      <c r="B87" s="1241"/>
      <c r="C87" s="1005"/>
      <c r="E87" s="96">
        <f>MIN(E86:E86)</f>
        <v>0</v>
      </c>
      <c r="F87"/>
      <c r="G87" s="1246" t="s">
        <v>287</v>
      </c>
      <c r="H87" s="1241"/>
      <c r="I87" s="1005"/>
      <c r="K87" s="96">
        <f>MIN(K86:K86)</f>
        <v>0</v>
      </c>
      <c r="L87"/>
      <c r="M87" s="1246" t="s">
        <v>287</v>
      </c>
      <c r="N87" s="1241"/>
      <c r="O87" s="1005"/>
      <c r="Q87" s="96">
        <f>MIN(Q86:Q86)</f>
        <v>0</v>
      </c>
    </row>
    <row r="88" spans="1:19" customFormat="1" ht="14.4" outlineLevel="2" x14ac:dyDescent="0.3">
      <c r="A88" s="8" t="s">
        <v>279</v>
      </c>
      <c r="B88" s="8"/>
      <c r="C88" s="9">
        <v>0.1</v>
      </c>
      <c r="D88" s="9"/>
      <c r="E88" s="24">
        <f>ROUND(E87*C88,2)</f>
        <v>0</v>
      </c>
      <c r="G88" s="8" t="s">
        <v>279</v>
      </c>
      <c r="H88" s="8"/>
      <c r="I88" s="9">
        <v>0.1</v>
      </c>
      <c r="J88" s="9"/>
      <c r="K88" s="24">
        <f>ROUND(K87*I88,2)</f>
        <v>0</v>
      </c>
      <c r="M88" s="8" t="s">
        <v>279</v>
      </c>
      <c r="N88" s="8"/>
      <c r="O88" s="9">
        <v>0.1</v>
      </c>
      <c r="P88" s="9"/>
      <c r="Q88" s="24">
        <f>ROUND(Q87*O88,2)</f>
        <v>0</v>
      </c>
    </row>
    <row r="89" spans="1:19" customFormat="1" ht="14.4" outlineLevel="2" x14ac:dyDescent="0.3">
      <c r="A89" s="8" t="s">
        <v>64</v>
      </c>
      <c r="B89" s="8" t="s">
        <v>293</v>
      </c>
      <c r="C89" s="97">
        <f>IF(A81=Bron!$B$11,'Overzicht BTA'!C96,IF(A81=Bron!$B$12,'Overzicht BTA'!C95,0))</f>
        <v>0</v>
      </c>
      <c r="D89" s="9"/>
      <c r="E89" s="24">
        <f>ROUND(E87*C89,2)</f>
        <v>0</v>
      </c>
      <c r="G89" s="8" t="s">
        <v>64</v>
      </c>
      <c r="H89" s="8" t="s">
        <v>293</v>
      </c>
      <c r="I89" s="97">
        <f>IF(G81=Bron!$B$11,'Overzicht BTA'!I96,IF(G81=Bron!$B$12,'Overzicht BTA'!I95,0))</f>
        <v>0</v>
      </c>
      <c r="J89" s="9"/>
      <c r="K89" s="24">
        <f>ROUND(K87*I89,2)</f>
        <v>0</v>
      </c>
      <c r="M89" s="8" t="s">
        <v>64</v>
      </c>
      <c r="N89" s="8" t="s">
        <v>293</v>
      </c>
      <c r="O89" s="97">
        <f>IF(M81=Bron!$B$11,'Overzicht BTA'!O96,IF(M81=Bron!$B$12,'Overzicht BTA'!O95,0))</f>
        <v>0</v>
      </c>
      <c r="P89" s="9"/>
      <c r="Q89" s="24">
        <f>ROUND(Q87*O89,2)</f>
        <v>0</v>
      </c>
    </row>
    <row r="90" spans="1:19" customFormat="1" ht="15" outlineLevel="2" thickBot="1" x14ac:dyDescent="0.35">
      <c r="A90" s="8" t="s">
        <v>64</v>
      </c>
      <c r="B90" s="50" t="s">
        <v>281</v>
      </c>
      <c r="C90" s="9">
        <v>0.21</v>
      </c>
      <c r="D90" s="26"/>
      <c r="E90" s="27">
        <f>ROUND(E88*C90,2)</f>
        <v>0</v>
      </c>
      <c r="G90" s="8" t="s">
        <v>64</v>
      </c>
      <c r="H90" s="50" t="s">
        <v>281</v>
      </c>
      <c r="I90" s="9">
        <v>0.21</v>
      </c>
      <c r="J90" s="26"/>
      <c r="K90" s="27">
        <f>ROUND(K88*I90,2)</f>
        <v>0</v>
      </c>
      <c r="M90" s="8" t="s">
        <v>64</v>
      </c>
      <c r="N90" s="50" t="s">
        <v>281</v>
      </c>
      <c r="O90" s="9">
        <v>0.21</v>
      </c>
      <c r="P90" s="26"/>
      <c r="Q90" s="27">
        <f>ROUND(Q88*O90,2)</f>
        <v>0</v>
      </c>
    </row>
    <row r="91" spans="1:19" customFormat="1" ht="15" outlineLevel="2" thickTop="1" x14ac:dyDescent="0.3">
      <c r="A91" s="28" t="s">
        <v>282</v>
      </c>
      <c r="B91" s="29"/>
      <c r="C91" s="30"/>
      <c r="D91" s="31"/>
      <c r="E91" s="80">
        <f>SUM(E87:E90)</f>
        <v>0</v>
      </c>
      <c r="G91" s="28" t="s">
        <v>282</v>
      </c>
      <c r="H91" s="29"/>
      <c r="I91" s="30"/>
      <c r="J91" s="31"/>
      <c r="K91" s="80">
        <f>SUM(K87:K90)</f>
        <v>0</v>
      </c>
      <c r="M91" s="28" t="s">
        <v>282</v>
      </c>
      <c r="N91" s="29"/>
      <c r="O91" s="30"/>
      <c r="P91" s="31"/>
      <c r="Q91" s="80">
        <f>SUM(Q87:Q90)</f>
        <v>0</v>
      </c>
    </row>
    <row r="92" spans="1:19" ht="15" outlineLevel="2" thickBot="1" x14ac:dyDescent="0.35">
      <c r="A92" s="981"/>
      <c r="B92" s="981"/>
      <c r="C92" s="851"/>
      <c r="D92" s="852"/>
      <c r="E92" s="51"/>
      <c r="F92"/>
      <c r="G92" s="981"/>
      <c r="H92" s="981"/>
      <c r="I92" s="851"/>
      <c r="J92" s="852"/>
      <c r="K92" s="51"/>
      <c r="L92"/>
      <c r="M92" s="981"/>
      <c r="N92" s="981"/>
      <c r="O92" s="851"/>
      <c r="P92" s="852"/>
      <c r="Q92" s="51"/>
    </row>
    <row r="93" spans="1:19" ht="15" outlineLevel="1" thickBot="1" x14ac:dyDescent="0.35">
      <c r="A93" s="5" t="s">
        <v>282</v>
      </c>
      <c r="B93" s="6"/>
      <c r="C93" s="7"/>
      <c r="E93" s="1">
        <f>E91+E80</f>
        <v>0</v>
      </c>
      <c r="F93"/>
      <c r="G93" s="5" t="s">
        <v>282</v>
      </c>
      <c r="H93" s="6"/>
      <c r="I93" s="7"/>
      <c r="K93" s="1">
        <f>K91+K80</f>
        <v>0</v>
      </c>
      <c r="L93"/>
      <c r="M93" s="5" t="s">
        <v>282</v>
      </c>
      <c r="N93" s="6"/>
      <c r="O93" s="7"/>
      <c r="Q93" s="1">
        <f>Q91+Q80</f>
        <v>0</v>
      </c>
    </row>
    <row r="94" spans="1:19" ht="14.4" outlineLevel="1" thickBot="1" x14ac:dyDescent="0.35"/>
    <row r="95" spans="1:19" ht="14.4" outlineLevel="1" thickBot="1" x14ac:dyDescent="0.35">
      <c r="A95" s="5" t="s">
        <v>334</v>
      </c>
      <c r="B95" s="6"/>
      <c r="C95" s="130">
        <f>E67</f>
        <v>0</v>
      </c>
      <c r="D95" s="128" t="s">
        <v>289</v>
      </c>
      <c r="E95" s="492">
        <f>(E75)*10/6</f>
        <v>0</v>
      </c>
      <c r="G95" s="5" t="s">
        <v>334</v>
      </c>
      <c r="H95" s="6"/>
      <c r="I95" s="130">
        <f>K67</f>
        <v>0</v>
      </c>
      <c r="J95" s="128" t="s">
        <v>289</v>
      </c>
      <c r="K95" s="492">
        <f>(K75)*10/6</f>
        <v>0</v>
      </c>
      <c r="M95" s="5" t="s">
        <v>334</v>
      </c>
      <c r="N95" s="6"/>
      <c r="O95" s="130">
        <f>Q67</f>
        <v>0</v>
      </c>
      <c r="P95" s="128" t="s">
        <v>289</v>
      </c>
      <c r="Q95" s="492">
        <f>(Q75)*10/6</f>
        <v>0</v>
      </c>
    </row>
    <row r="96" spans="1:19" outlineLevel="1" x14ac:dyDescent="0.3">
      <c r="C96" s="39"/>
      <c r="I96" s="39"/>
      <c r="O96" s="39"/>
    </row>
    <row r="97" spans="1:19" outlineLevel="1" x14ac:dyDescent="0.3">
      <c r="A97" s="511" t="s">
        <v>290</v>
      </c>
      <c r="B97" s="8"/>
      <c r="C97" s="8"/>
      <c r="G97" s="511" t="s">
        <v>290</v>
      </c>
      <c r="H97" s="8"/>
      <c r="I97" s="8"/>
      <c r="M97" s="511" t="s">
        <v>290</v>
      </c>
      <c r="O97" s="8"/>
    </row>
    <row r="98" spans="1:19" outlineLevel="1" x14ac:dyDescent="0.3">
      <c r="A98" s="8" t="s">
        <v>123</v>
      </c>
      <c r="B98" s="10">
        <f>IF(ISNUMBER(MATCH($A$2,'Overzicht BTA'!$B$51:$B$54,0)),IF(MATCH(Bron!$B$16,'uitgebreide raming_gewijzigd'!$B$2:$I$2,0)=1,'uitgebreide raming_gewijzigd'!$B6,IF(MATCH(Bron!$B$16,'uitgebreide raming_gewijzigd'!$B$2:$I$2,0)=3,'uitgebreide raming_gewijzigd'!$D6,IF(MATCH(Bron!$B$16,'uitgebreide raming_gewijzigd'!$B$2:$I$2,0)=5,'uitgebreide raming_gewijzigd'!$F6,IF(MATCH(Bron!$B$16,'uitgebreide raming_gewijzigd'!$B$2:$I$2,0)=7,'uitgebreide raming_gewijzigd'!$H6,0)))),0)</f>
        <v>0</v>
      </c>
      <c r="C98" s="9" t="e">
        <f>ROUND(B98/$B$103,2)</f>
        <v>#DIV/0!</v>
      </c>
      <c r="G98" s="8" t="s">
        <v>123</v>
      </c>
      <c r="H98" s="10">
        <f>IF(ISNUMBER(MATCH($G$2,'Overzicht BTA'!$H$7:$H$10,0)),IF(MATCH(Bron!$B$16,'uitgebreide raming_gewijzigd'!$B$29:$I$29,0)=1,'uitgebreide raming_gewijzigd'!B33,IF(MATCH(Bron!$B$16,'uitgebreide raming_gewijzigd'!$B$29:$I$29,0)=3,'uitgebreide raming_gewijzigd'!D33,IF(MATCH(Bron!$B$16,'uitgebreide raming_gewijzigd'!$B$29:$I$29,0)=5,'uitgebreide raming_gewijzigd'!F33,IF(MATCH(Bron!$B$16,'uitgebreide raming_gewijzigd'!$B$29:$I$29,0)=7,'uitgebreide raming_gewijzigd'!H33,0)))),0)</f>
        <v>0</v>
      </c>
      <c r="I98" s="9" t="e">
        <f>ROUND(H98/$H$103,2)</f>
        <v>#DIV/0!</v>
      </c>
      <c r="M98" s="8" t="s">
        <v>123</v>
      </c>
      <c r="N98" s="10">
        <f>IF(ISNUMBER(MATCH($M$2,'Overzicht BTA'!$N$7:$N$10,0)),IF(MATCH(Bron!$B$16,'uitgebreide raming_gewijzigd'!$B$56:$I$56,0)=1,'uitgebreide raming_gewijzigd'!B60,IF(MATCH(Bron!$B$16,'uitgebreide raming_gewijzigd'!$B$56:$I$56,0)=3,'uitgebreide raming_gewijzigd'!D60,IF(MATCH(Bron!$B$16,'uitgebreide raming_gewijzigd'!$B$56:$I$56,0)=5,'uitgebreide raming_gewijzigd'!F60,IF(MATCH(Bron!$B$16,'uitgebreide raming_gewijzigd'!$B$56:$I$56,0)=7,'uitgebreide raming_gewijzigd'!H60,0)))),0)</f>
        <v>0</v>
      </c>
      <c r="O98" s="9" t="e">
        <f>ROUND(N98/$N$103,2)</f>
        <v>#DIV/0!</v>
      </c>
    </row>
    <row r="99" spans="1:19" outlineLevel="1" x14ac:dyDescent="0.3">
      <c r="A99" s="8" t="s">
        <v>124</v>
      </c>
      <c r="B99" s="10">
        <f>IF(ISNUMBER(MATCH($A$2,'Overzicht BTA'!$B$51:$B$54,0)),IF(MATCH(Bron!$B$16,'uitgebreide raming_gewijzigd'!$B$2:$I$2,0)=1,'uitgebreide raming_gewijzigd'!$B7,IF(MATCH(Bron!$B$16,'uitgebreide raming_gewijzigd'!$B$2:$I$2,0)=3,'uitgebreide raming_gewijzigd'!$D7,IF(MATCH(Bron!$B$16,'uitgebreide raming_gewijzigd'!$B$2:$I$2,0)=5,'uitgebreide raming_gewijzigd'!$F7,IF(MATCH(Bron!$B$16,'uitgebreide raming_gewijzigd'!$B$2:$I$2,0)=7,'uitgebreide raming_gewijzigd'!$H7,0)))),0)</f>
        <v>0</v>
      </c>
      <c r="C99" s="9" t="e">
        <f t="shared" ref="C99:C103" si="9">ROUND(B99/$B$103,2)</f>
        <v>#DIV/0!</v>
      </c>
      <c r="G99" s="8" t="s">
        <v>124</v>
      </c>
      <c r="H99" s="10">
        <f>IF(ISNUMBER(MATCH($G$2,'Overzicht BTA'!$H$7:$H$10,0)),IF(MATCH(Bron!$B$16,'uitgebreide raming_gewijzigd'!$B$29:$I$29,0)=1,'uitgebreide raming_gewijzigd'!B34,IF(MATCH(Bron!$B$16,'uitgebreide raming_gewijzigd'!$B$29:$I$29,0)=3,'uitgebreide raming_gewijzigd'!D34,IF(MATCH(Bron!$B$16,'uitgebreide raming_gewijzigd'!$B$29:$I$29,0)=5,'uitgebreide raming_gewijzigd'!F34,IF(MATCH(Bron!$B$16,'uitgebreide raming_gewijzigd'!$B$29:$I$29,0)=7,'uitgebreide raming_gewijzigd'!H34,0)))),0)</f>
        <v>0</v>
      </c>
      <c r="I99" s="9" t="e">
        <f t="shared" ref="I99:I103" si="10">ROUND(H99/$H$103,2)</f>
        <v>#DIV/0!</v>
      </c>
      <c r="M99" s="8" t="s">
        <v>124</v>
      </c>
      <c r="N99" s="10">
        <f>IF(ISNUMBER(MATCH($M$2,'Overzicht BTA'!$N$7:$N$10,0)),IF(MATCH(Bron!$B$16,'uitgebreide raming_gewijzigd'!$B$56:$I$56,0)=1,'uitgebreide raming_gewijzigd'!B61,IF(MATCH(Bron!$B$16,'uitgebreide raming_gewijzigd'!$B$56:$I$56,0)=3,'uitgebreide raming_gewijzigd'!D61,IF(MATCH(Bron!$B$16,'uitgebreide raming_gewijzigd'!$B$56:$I$56,0)=5,'uitgebreide raming_gewijzigd'!F61,IF(MATCH(Bron!$B$16,'uitgebreide raming_gewijzigd'!$B$56:$I$56,0)=7,'uitgebreide raming_gewijzigd'!H61,0)))),0)</f>
        <v>0</v>
      </c>
      <c r="O99" s="9" t="e">
        <f t="shared" ref="O99:O103" si="11">ROUND(N99/$N$103,2)</f>
        <v>#DIV/0!</v>
      </c>
      <c r="S99" s="51">
        <f>E108+K108+Q108</f>
        <v>0</v>
      </c>
    </row>
    <row r="100" spans="1:19" outlineLevel="1" x14ac:dyDescent="0.3">
      <c r="A100" s="8" t="s">
        <v>125</v>
      </c>
      <c r="B100" s="10">
        <f>IF(ISNUMBER(MATCH($A$2,'Overzicht BTA'!$B$51:$B$54,0)),IF(MATCH(Bron!$B$16,'uitgebreide raming_gewijzigd'!$B$2:$I$2,0)=1,'uitgebreide raming_gewijzigd'!$B8,IF(MATCH(Bron!$B$16,'uitgebreide raming_gewijzigd'!$B$2:$I$2,0)=3,'uitgebreide raming_gewijzigd'!$D8,IF(MATCH(Bron!$B$16,'uitgebreide raming_gewijzigd'!$B$2:$I$2,0)=5,'uitgebreide raming_gewijzigd'!$F8,IF(MATCH(Bron!$B$16,'uitgebreide raming_gewijzigd'!$B$2:$I$2,0)=7,'uitgebreide raming_gewijzigd'!$H8,0)))),0)</f>
        <v>0</v>
      </c>
      <c r="C100" s="9" t="e">
        <f t="shared" si="9"/>
        <v>#DIV/0!</v>
      </c>
      <c r="G100" s="8" t="s">
        <v>125</v>
      </c>
      <c r="H100" s="10">
        <f>IF(ISNUMBER(MATCH($G$2,'Overzicht BTA'!$H$7:$H$10,0)),IF(MATCH(Bron!$B$16,'uitgebreide raming_gewijzigd'!$B$29:$I$29,0)=1,'uitgebreide raming_gewijzigd'!B35,IF(MATCH(Bron!$B$16,'uitgebreide raming_gewijzigd'!$B$29:$I$29,0)=3,'uitgebreide raming_gewijzigd'!D35,IF(MATCH(Bron!$B$16,'uitgebreide raming_gewijzigd'!$B$29:$I$29,0)=5,'uitgebreide raming_gewijzigd'!F35,IF(MATCH(Bron!$B$16,'uitgebreide raming_gewijzigd'!$B$29:$I$29,0)=7,'uitgebreide raming_gewijzigd'!H35,0)))),0)</f>
        <v>0</v>
      </c>
      <c r="I100" s="9" t="e">
        <f t="shared" si="10"/>
        <v>#DIV/0!</v>
      </c>
      <c r="M100" s="8" t="s">
        <v>125</v>
      </c>
      <c r="N100" s="10">
        <f>IF(ISNUMBER(MATCH($M$2,'Overzicht BTA'!$N$7:$N$10,0)),IF(MATCH(Bron!$B$16,'uitgebreide raming_gewijzigd'!$B$56:$I$56,0)=1,'uitgebreide raming_gewijzigd'!B62,IF(MATCH(Bron!$B$16,'uitgebreide raming_gewijzigd'!$B$56:$I$56,0)=3,'uitgebreide raming_gewijzigd'!D62,IF(MATCH(Bron!$B$16,'uitgebreide raming_gewijzigd'!$B$56:$I$56,0)=5,'uitgebreide raming_gewijzigd'!F62,IF(MATCH(Bron!$B$16,'uitgebreide raming_gewijzigd'!$B$56:$I$56,0)=7,'uitgebreide raming_gewijzigd'!H62,0)))),0)</f>
        <v>0</v>
      </c>
      <c r="O100" s="9" t="e">
        <f t="shared" si="11"/>
        <v>#DIV/0!</v>
      </c>
    </row>
    <row r="101" spans="1:19" outlineLevel="1" x14ac:dyDescent="0.3">
      <c r="A101" s="8" t="s">
        <v>126</v>
      </c>
      <c r="B101" s="10">
        <f>IF(ISNUMBER(MATCH($A$2,'Overzicht BTA'!$B$51:$B$54,0)),IF(MATCH(Bron!$B$16,'uitgebreide raming_gewijzigd'!$B$2:$I$2,0)=1,'uitgebreide raming_gewijzigd'!$B9,IF(MATCH(Bron!$B$16,'uitgebreide raming_gewijzigd'!$B$2:$I$2,0)=3,'uitgebreide raming_gewijzigd'!$D9,IF(MATCH(Bron!$B$16,'uitgebreide raming_gewijzigd'!$B$2:$I$2,0)=5,'uitgebreide raming_gewijzigd'!$F9,IF(MATCH(Bron!$B$16,'uitgebreide raming_gewijzigd'!$B$2:$I$2,0)=7,'uitgebreide raming_gewijzigd'!$H9,0)))),0)</f>
        <v>0</v>
      </c>
      <c r="C101" s="9" t="e">
        <f t="shared" si="9"/>
        <v>#DIV/0!</v>
      </c>
      <c r="G101" s="8" t="s">
        <v>126</v>
      </c>
      <c r="H101" s="10">
        <f>IF(ISNUMBER(MATCH($G$2,'Overzicht BTA'!$H$7:$H$10,0)),IF(MATCH(Bron!$B$16,'uitgebreide raming_gewijzigd'!$B$29:$I$29,0)=1,'uitgebreide raming_gewijzigd'!B36,IF(MATCH(Bron!$B$16,'uitgebreide raming_gewijzigd'!$B$29:$I$29,0)=3,'uitgebreide raming_gewijzigd'!D36,IF(MATCH(Bron!$B$16,'uitgebreide raming_gewijzigd'!$B$29:$I$29,0)=5,'uitgebreide raming_gewijzigd'!F36,IF(MATCH(Bron!$B$16,'uitgebreide raming_gewijzigd'!$B$29:$I$29,0)=7,'uitgebreide raming_gewijzigd'!H36,0)))),0)</f>
        <v>0</v>
      </c>
      <c r="I101" s="9" t="e">
        <f t="shared" si="10"/>
        <v>#DIV/0!</v>
      </c>
      <c r="M101" s="8" t="s">
        <v>126</v>
      </c>
      <c r="N101" s="10">
        <f>IF(ISNUMBER(MATCH($M$2,'Overzicht BTA'!$N$7:$N$10,0)),IF(MATCH(Bron!$B$16,'uitgebreide raming_gewijzigd'!$B$56:$I$56,0)=1,'uitgebreide raming_gewijzigd'!B63,IF(MATCH(Bron!$B$16,'uitgebreide raming_gewijzigd'!$B$56:$I$56,0)=3,'uitgebreide raming_gewijzigd'!D63,IF(MATCH(Bron!$B$16,'uitgebreide raming_gewijzigd'!$B$56:$I$56,0)=5,'uitgebreide raming_gewijzigd'!F63,IF(MATCH(Bron!$B$16,'uitgebreide raming_gewijzigd'!$B$56:$I$56,0)=7,'uitgebreide raming_gewijzigd'!H63,0)))),0)</f>
        <v>0</v>
      </c>
      <c r="O101" s="9" t="e">
        <f t="shared" si="11"/>
        <v>#DIV/0!</v>
      </c>
    </row>
    <row r="102" spans="1:19" ht="27.6" outlineLevel="1" x14ac:dyDescent="0.3">
      <c r="A102" s="8" t="s">
        <v>127</v>
      </c>
      <c r="B102" s="10">
        <f>IF(ISNUMBER(MATCH($A$2,'Overzicht BTA'!$B$51:$B$54,0)),IF(MATCH(Bron!$B$16,'uitgebreide raming_gewijzigd'!$B$2:$I$2,0)=1,'uitgebreide raming_gewijzigd'!$B10,IF(MATCH(Bron!$B$16,'uitgebreide raming_gewijzigd'!$B$2:$I$2,0)=3,'uitgebreide raming_gewijzigd'!$D10,IF(MATCH(Bron!$B$16,'uitgebreide raming_gewijzigd'!$B$2:$I$2,0)=5,'uitgebreide raming_gewijzigd'!$F10,IF(MATCH(Bron!$B$16,'uitgebreide raming_gewijzigd'!$B$2:$I$2,0)=7,'uitgebreide raming_gewijzigd'!$H10,0)))),0)</f>
        <v>0</v>
      </c>
      <c r="C102" s="9" t="e">
        <f t="shared" si="9"/>
        <v>#DIV/0!</v>
      </c>
      <c r="G102" s="8" t="s">
        <v>127</v>
      </c>
      <c r="H102" s="10">
        <f>IF(ISNUMBER(MATCH($G$2,'Overzicht BTA'!$H$7:$H$10,0)),IF(MATCH(Bron!$B$16,'uitgebreide raming_gewijzigd'!$B$29:$I$29,0)=1,'uitgebreide raming_gewijzigd'!B37,IF(MATCH(Bron!$B$16,'uitgebreide raming_gewijzigd'!$B$29:$I$29,0)=3,'uitgebreide raming_gewijzigd'!D37,IF(MATCH(Bron!$B$16,'uitgebreide raming_gewijzigd'!$B$29:$I$29,0)=5,'uitgebreide raming_gewijzigd'!F37,IF(MATCH(Bron!$B$16,'uitgebreide raming_gewijzigd'!$B$29:$I$29,0)=7,'uitgebreide raming_gewijzigd'!H37,0)))),0)</f>
        <v>0</v>
      </c>
      <c r="I102" s="9" t="e">
        <f t="shared" si="10"/>
        <v>#DIV/0!</v>
      </c>
      <c r="M102" s="8" t="s">
        <v>127</v>
      </c>
      <c r="N102" s="10">
        <f>IF(ISNUMBER(MATCH($M$2,'Overzicht BTA'!$N$7:$N$10,0)),IF(MATCH(Bron!$B$16,'uitgebreide raming_gewijzigd'!$B$56:$I$56,0)=1,'uitgebreide raming_gewijzigd'!B64,IF(MATCH(Bron!$B$16,'uitgebreide raming_gewijzigd'!$B$56:$I$56,0)=3,'uitgebreide raming_gewijzigd'!D64,IF(MATCH(Bron!$B$16,'uitgebreide raming_gewijzigd'!$B$56:$I$56,0)=5,'uitgebreide raming_gewijzigd'!F64,IF(MATCH(Bron!$B$16,'uitgebreide raming_gewijzigd'!$B$56:$I$56,0)=7,'uitgebreide raming_gewijzigd'!H64,0)))),0)</f>
        <v>0</v>
      </c>
      <c r="O102" s="9" t="e">
        <f t="shared" si="11"/>
        <v>#DIV/0!</v>
      </c>
    </row>
    <row r="103" spans="1:19" outlineLevel="1" x14ac:dyDescent="0.3">
      <c r="A103" s="8" t="s">
        <v>110</v>
      </c>
      <c r="B103" s="10">
        <f>IF(ISNUMBER(MATCH($A$2,'Overzicht BTA'!$B$51:$B$54,0)),IF(MATCH(Bron!$B$16,'uitgebreide raming_gewijzigd'!$B$2:$I$2,0)=1,'uitgebreide raming_gewijzigd'!$B11,IF(MATCH(Bron!$B$16,'uitgebreide raming_gewijzigd'!$B$2:$I$2,0)=3,'uitgebreide raming_gewijzigd'!$D11,IF(MATCH(Bron!$B$16,'uitgebreide raming_gewijzigd'!$B$2:$I$2,0)=5,'uitgebreide raming_gewijzigd'!$F11,IF(MATCH(Bron!$B$16,'uitgebreide raming_gewijzigd'!$B$2:$I$2,0)=7,'uitgebreide raming_gewijzigd'!$H11,0)))),0)</f>
        <v>0</v>
      </c>
      <c r="C103" s="9" t="e">
        <f t="shared" si="9"/>
        <v>#DIV/0!</v>
      </c>
      <c r="G103" s="8" t="s">
        <v>110</v>
      </c>
      <c r="H103" s="10">
        <f>IF(ISNUMBER(MATCH($G$2,'Overzicht BTA'!$H$7:$H$10,0)),IF(MATCH(Bron!$B$16,'uitgebreide raming_gewijzigd'!$B$29:$I$29,0)=1,'uitgebreide raming_gewijzigd'!B38,IF(MATCH(Bron!$B$16,'uitgebreide raming_gewijzigd'!$B$29:$I$29,0)=3,'uitgebreide raming_gewijzigd'!D38,IF(MATCH(Bron!$B$16,'uitgebreide raming_gewijzigd'!$B$29:$I$29,0)=5,'uitgebreide raming_gewijzigd'!F38,IF(MATCH(Bron!$B$16,'uitgebreide raming_gewijzigd'!$B$29:$I$29,0)=7,'uitgebreide raming_gewijzigd'!H38,0)))),0)</f>
        <v>0</v>
      </c>
      <c r="I103" s="9" t="e">
        <f t="shared" si="10"/>
        <v>#DIV/0!</v>
      </c>
      <c r="M103" s="8" t="s">
        <v>110</v>
      </c>
      <c r="N103" s="10">
        <f>IF(ISNUMBER(MATCH($M$2,'Overzicht BTA'!$N$7:$N$10,0)),IF(MATCH(Bron!$B$16,'uitgebreide raming_gewijzigd'!$B$56:$I$56,0)=1,'uitgebreide raming_gewijzigd'!B65,IF(MATCH(Bron!$B$16,'uitgebreide raming_gewijzigd'!$B$56:$I$56,0)=3,'uitgebreide raming_gewijzigd'!D65,IF(MATCH(Bron!$B$16,'uitgebreide raming_gewijzigd'!$B$56:$I$56,0)=5,'uitgebreide raming_gewijzigd'!F65,IF(MATCH(Bron!$B$16,'uitgebreide raming_gewijzigd'!$B$56:$I$56,0)=7,'uitgebreide raming_gewijzigd'!H65,0)))),0)</f>
        <v>0</v>
      </c>
      <c r="O103" s="9" t="e">
        <f t="shared" si="11"/>
        <v>#DIV/0!</v>
      </c>
    </row>
    <row r="104" spans="1:19" outlineLevel="1" x14ac:dyDescent="0.3">
      <c r="A104" s="23" t="s">
        <v>335</v>
      </c>
      <c r="B104" s="10">
        <f>IF(ISNUMBER(MATCH($A$2,'Overzicht BTA'!$B$51:$B$54,0)),IF(MATCH(Bron!$B$16,'uitgebreide raming_gewijzigd'!$B$2:$I$2,0)=1,'uitgebreide raming_gewijzigd'!$B12,IF(MATCH(Bron!$B$16,'uitgebreide raming_gewijzigd'!$B$2:$I$2,0)=3,'uitgebreide raming_gewijzigd'!$D12,IF(MATCH(Bron!$B$16,'uitgebreide raming_gewijzigd'!$B$2:$I$2,0)=5,'uitgebreide raming_gewijzigd'!$F12,IF(MATCH(Bron!$B$16,'uitgebreide raming_gewijzigd'!$B$2:$I$2,0)=7,'uitgebreide raming_gewijzigd'!$H12,0)))),0)</f>
        <v>0</v>
      </c>
      <c r="C104" s="40"/>
      <c r="G104" s="23" t="s">
        <v>335</v>
      </c>
      <c r="H104" s="10">
        <f>IF(ISNUMBER(MATCH($G$2,'Overzicht BTA'!$H$7:$H$10,0)),IF(MATCH(Bron!$B$16,'uitgebreide raming_gewijzigd'!$B$29:$I$29,0)=1,'uitgebreide raming_gewijzigd'!B39,IF(MATCH(Bron!$B$16,'uitgebreide raming_gewijzigd'!$B$29:$I$29,0)=3,'uitgebreide raming_gewijzigd'!D39,IF(MATCH(Bron!$B$16,'uitgebreide raming_gewijzigd'!$B$29:$I$29,0)=5,'uitgebreide raming_gewijzigd'!F39,IF(MATCH(Bron!$B$16,'uitgebreide raming_gewijzigd'!$B$29:$I$29,0)=7,'uitgebreide raming_gewijzigd'!H39,0)))),0)</f>
        <v>0</v>
      </c>
      <c r="I104" s="40"/>
      <c r="M104" s="23" t="s">
        <v>335</v>
      </c>
      <c r="N104" s="10">
        <f>IF(ISNUMBER(MATCH($M$2,'Overzicht BTA'!$N$7:$N$10,0)),IF(MATCH(Bron!$B$16,'uitgebreide raming_gewijzigd'!$B$56:$I$56,0)=1,'uitgebreide raming_gewijzigd'!B66,IF(MATCH(Bron!$B$16,'uitgebreide raming_gewijzigd'!$B$56:$I$56,0)=3,'uitgebreide raming_gewijzigd'!D66,IF(MATCH(Bron!$B$16,'uitgebreide raming_gewijzigd'!$B$56:$I$56,0)=5,'uitgebreide raming_gewijzigd'!F66,IF(MATCH(Bron!$B$16,'uitgebreide raming_gewijzigd'!$B$56:$I$56,0)=7,'uitgebreide raming_gewijzigd'!H66,0)))),0)</f>
        <v>0</v>
      </c>
      <c r="O104" s="40"/>
    </row>
    <row r="105" spans="1:19" outlineLevel="1" x14ac:dyDescent="0.3"/>
    <row r="106" spans="1:19" outlineLevel="1" x14ac:dyDescent="0.3">
      <c r="A106" s="511" t="s">
        <v>318</v>
      </c>
      <c r="B106" s="10"/>
      <c r="C106" s="22"/>
      <c r="G106" s="511" t="s">
        <v>318</v>
      </c>
      <c r="H106" s="10"/>
      <c r="I106" s="22"/>
      <c r="M106" s="511" t="s">
        <v>318</v>
      </c>
      <c r="N106" s="10"/>
      <c r="O106" s="22"/>
    </row>
    <row r="107" spans="1:19" outlineLevel="1" x14ac:dyDescent="0.3">
      <c r="A107" s="48" t="s">
        <v>120</v>
      </c>
      <c r="B107" s="10">
        <f>IFERROR(IF(ISNUMBER(MATCH($A$2,'Overzicht BTA'!$B$7:$B$10,0)),IF(MATCH(Bron!$B$16,'uitgebreide raming_gewijzigd'!$B$2:$I$2,0)=1,'uitgebreide raming_gewijzigd'!$B3,IF(MATCH(Bron!$B$16,'uitgebreide raming_gewijzigd'!$B$2:$I$2,0)=3,'uitgebreide raming_gewijzigd'!$D3,IF(MATCH(Bron!$B$16,'uitgebreide raming_gewijzigd'!$B$2:$I$2,0)=5,'uitgebreide raming_gewijzigd'!$F3,IF(MATCH(Bron!$B$16,'uitgebreide raming_gewijzigd'!$B$2:$I$2,0)=7,'uitgebreide raming_gewijzigd'!$H3,0)))),0),0)</f>
        <v>0</v>
      </c>
      <c r="C107" s="49" t="s">
        <v>19</v>
      </c>
      <c r="G107" s="48" t="s">
        <v>120</v>
      </c>
      <c r="H107" s="10">
        <f>IFERROR(IF(ISNUMBER(MATCH($A$2,'Overzicht BTA'!$H$7:$H$10,0)),IF(MATCH(Bron!$B$16,'uitgebreide raming_gewijzigd'!$B$29:$I$29,0)=1,'uitgebreide raming_gewijzigd'!$B30,IF(MATCH(Bron!$B$16,'uitgebreide raming_gewijzigd'!$B$29:$I$29,0)=3,'uitgebreide raming_gewijzigd'!$D30,IF(MATCH(Bron!$B$16,'uitgebreide raming_gewijzigd'!$B$29:$I$29,0)=5,'uitgebreide raming_gewijzigd'!$F30,IF(MATCH(Bron!$B$16,'uitgebreide raming_gewijzigd'!$B$29:$I$29,0)=7,'uitgebreide raming_gewijzigd'!$H30,0)))),0),0)</f>
        <v>0</v>
      </c>
      <c r="I107" s="49" t="s">
        <v>19</v>
      </c>
      <c r="M107" s="48" t="s">
        <v>120</v>
      </c>
      <c r="N107" s="10">
        <f>IFERROR(IF(ISNUMBER(MATCH($M$2,'Overzicht BTA'!$N$7:$N$10,0)),IF(MATCH(Bron!$B$16,'uitgebreide raming_gewijzigd'!$B$56:$I$56,0)=1,'uitgebreide raming_gewijzigd'!$B57,IF(MATCH(Bron!$B$16,'uitgebreide raming_gewijzigd'!$B$56:$I$56,0)=3,'uitgebreide raming_gewijzigd'!$D57,IF(MATCH(Bron!$B$16,'uitgebreide raming_gewijzigd'!$B$56:$I$56,0)=5,'uitgebreide raming_gewijzigd'!$F57,IF(MATCH(Bron!$B$16,'uitgebreide raming_gewijzigd'!$B$56:$I$56,0)=7,'uitgebreide raming_gewijzigd'!$H57,0)))),0),0)</f>
        <v>0</v>
      </c>
      <c r="O107" s="49" t="s">
        <v>19</v>
      </c>
    </row>
    <row r="108" spans="1:19" outlineLevel="1" x14ac:dyDescent="0.3">
      <c r="A108" s="48" t="s">
        <v>319</v>
      </c>
      <c r="B108" s="10">
        <f>B52</f>
        <v>0</v>
      </c>
      <c r="C108" s="49" t="s">
        <v>320</v>
      </c>
      <c r="G108" s="48" t="s">
        <v>319</v>
      </c>
      <c r="H108" s="10">
        <f>H52</f>
        <v>0</v>
      </c>
      <c r="I108" s="49" t="s">
        <v>320</v>
      </c>
      <c r="M108" s="48" t="s">
        <v>319</v>
      </c>
      <c r="N108" s="10">
        <f>N52</f>
        <v>0</v>
      </c>
      <c r="O108" s="49" t="s">
        <v>320</v>
      </c>
    </row>
    <row r="109" spans="1:19" outlineLevel="1" x14ac:dyDescent="0.3">
      <c r="A109" s="48" t="s">
        <v>336</v>
      </c>
      <c r="B109" s="10">
        <f>IFERROR(IF(ISNUMBER(MATCH($A$2,'Overzicht BTA'!$B$7:$B$10,0)),IF(MATCH(Bron!$B$16,'uitgebreide raming_gewijzigd'!$B$2:$I$2,0)=1,'uitgebreide raming_gewijzigd'!B4,IF(MATCH(Bron!$B$16,'uitgebreide raming_gewijzigd'!$B$2:$I$2,0)=3,'uitgebreide raming_gewijzigd'!D4,IF(MATCH(Bron!$B$16,'uitgebreide raming_gewijzigd'!$B$2:$I$2,0)=5,'uitgebreide raming_gewijzigd'!F4,IF(MATCH(Bron!$B$16,'uitgebreide raming_gewijzigd'!$B$2:$I$2,0)=7,'uitgebreide raming_gewijzigd'!H4,0)))),0),0)</f>
        <v>0</v>
      </c>
      <c r="C109" s="22"/>
      <c r="G109" s="48" t="s">
        <v>336</v>
      </c>
      <c r="H109" s="10">
        <f>IFERROR(IF(ISNUMBER(MATCH($A$2,'Overzicht BTA'!$H$7:$H$10,0)),IF(MATCH(Bron!$B$16,'uitgebreide raming_gewijzigd'!$B$29:$I$29,0)=1,'uitgebreide raming_gewijzigd'!$B31,IF(MATCH(Bron!$B$16,'uitgebreide raming_gewijzigd'!$B$29:$I$29,0)=3,'uitgebreide raming_gewijzigd'!$D31,IF(MATCH(Bron!$B$16,'uitgebreide raming_gewijzigd'!$B$29:$I$29,0)=5,'uitgebreide raming_gewijzigd'!$F31,IF(MATCH(Bron!$B$16,'uitgebreide raming_gewijzigd'!$B$29:$I$29,0)=7,'uitgebreide raming_gewijzigd'!$H31,0)))),0),0)</f>
        <v>0</v>
      </c>
      <c r="I109" s="22"/>
      <c r="M109" s="48" t="s">
        <v>336</v>
      </c>
      <c r="N109" s="10">
        <f>IFERROR(IF(ISNUMBER(MATCH($A$2,'Overzicht BTA'!$N$7:$N$10,0)),IF(MATCH(Bron!$B$16,'uitgebreide raming_gewijzigd'!$B$56:$I$56,0)=1,'uitgebreide raming_gewijzigd'!$B58,IF(MATCH(Bron!$B$16,'uitgebreide raming_gewijzigd'!$B$56:$I$56,0)=3,'uitgebreide raming_gewijzigd'!$D58,IF(MATCH(Bron!$B$16,'uitgebreide raming_gewijzigd'!$B$56:$I$56,0)=5,'uitgebreide raming_gewijzigd'!$F58,IF(MATCH(Bron!$B$16,'uitgebreide raming_gewijzigd'!$B$56:$I$56,0)=7,'uitgebreide raming_gewijzigd'!$H58,0)))),0),0)</f>
        <v>0</v>
      </c>
      <c r="O109" s="22"/>
    </row>
    <row r="110" spans="1:19" outlineLevel="1" x14ac:dyDescent="0.3">
      <c r="A110" s="48" t="s">
        <v>321</v>
      </c>
      <c r="B110" s="271">
        <f>IF(B107=0,0,B109*(B108/B107))</f>
        <v>0</v>
      </c>
      <c r="C110" s="22"/>
      <c r="G110" s="48" t="s">
        <v>321</v>
      </c>
      <c r="H110" s="271">
        <f>IF(H107=0,0,H109*(H108/H107))</f>
        <v>0</v>
      </c>
      <c r="I110" s="22"/>
      <c r="M110" s="48" t="s">
        <v>321</v>
      </c>
      <c r="N110" s="271">
        <f>IF(N107=0,0,N109*(N108/N107))</f>
        <v>0</v>
      </c>
      <c r="O110" s="22"/>
    </row>
    <row r="112" spans="1:19" ht="18" x14ac:dyDescent="0.3">
      <c r="A112" s="1223" t="s">
        <v>92</v>
      </c>
      <c r="B112" s="1223"/>
      <c r="C112" s="1223"/>
      <c r="D112" s="1223"/>
      <c r="E112" s="1223"/>
      <c r="F112" s="1223"/>
      <c r="G112" s="1223"/>
      <c r="H112" s="1223"/>
      <c r="I112" s="1223"/>
      <c r="J112" s="1223"/>
      <c r="K112" s="1223"/>
      <c r="L112" s="1223"/>
      <c r="M112" s="1223"/>
      <c r="N112" s="1223"/>
      <c r="O112" s="1223"/>
      <c r="P112" s="1223"/>
      <c r="Q112" s="1223"/>
    </row>
    <row r="113" spans="1:17" outlineLevel="1" x14ac:dyDescent="0.3">
      <c r="A113" s="54" t="s">
        <v>292</v>
      </c>
      <c r="B113" s="54" t="str">
        <f>B57</f>
        <v>Kies de zorgvorm</v>
      </c>
      <c r="C113" s="54"/>
      <c r="D113" s="54"/>
      <c r="E113" s="54"/>
      <c r="F113" s="54"/>
      <c r="G113" s="54" t="s">
        <v>292</v>
      </c>
      <c r="H113" s="54" t="str">
        <f>H57</f>
        <v>Kies de zorgvorm</v>
      </c>
      <c r="I113" s="54"/>
      <c r="J113" s="54"/>
      <c r="K113" s="54"/>
      <c r="L113" s="54"/>
      <c r="M113" s="54" t="s">
        <v>292</v>
      </c>
      <c r="N113" s="54" t="str">
        <f>N57</f>
        <v>Kies de zorgvorm</v>
      </c>
      <c r="O113" s="54"/>
      <c r="P113" s="54"/>
      <c r="Q113" s="54"/>
    </row>
    <row r="114" spans="1:17" outlineLevel="1" x14ac:dyDescent="0.3">
      <c r="A114" s="134" t="s">
        <v>323</v>
      </c>
      <c r="B114" s="135"/>
      <c r="C114" s="135"/>
      <c r="D114" s="135"/>
      <c r="E114" s="136"/>
      <c r="G114" s="134" t="s">
        <v>323</v>
      </c>
      <c r="H114" s="135"/>
      <c r="I114" s="135"/>
      <c r="J114" s="135"/>
      <c r="K114" s="136"/>
      <c r="M114" s="134" t="s">
        <v>323</v>
      </c>
      <c r="N114" s="135"/>
      <c r="O114" s="135"/>
      <c r="P114" s="135"/>
      <c r="Q114" s="136"/>
    </row>
    <row r="115" spans="1:17" outlineLevel="1" x14ac:dyDescent="0.3">
      <c r="A115" s="69" t="s">
        <v>324</v>
      </c>
      <c r="B115" s="74"/>
      <c r="C115" s="61"/>
      <c r="D115" s="61"/>
      <c r="E115" s="61"/>
      <c r="G115" s="69" t="s">
        <v>324</v>
      </c>
      <c r="H115" s="74"/>
      <c r="I115" s="61"/>
      <c r="J115" s="61"/>
      <c r="K115" s="61"/>
      <c r="M115" s="69" t="s">
        <v>324</v>
      </c>
      <c r="N115" s="74"/>
      <c r="O115" s="61"/>
      <c r="P115" s="61"/>
      <c r="Q115" s="61"/>
    </row>
    <row r="116" spans="1:17" outlineLevel="1" x14ac:dyDescent="0.3">
      <c r="A116" s="70" t="s">
        <v>325</v>
      </c>
      <c r="B116" s="32" t="s">
        <v>275</v>
      </c>
      <c r="C116" s="32" t="s">
        <v>276</v>
      </c>
      <c r="D116" s="33"/>
      <c r="E116" s="32" t="s">
        <v>277</v>
      </c>
      <c r="G116" s="70" t="s">
        <v>325</v>
      </c>
      <c r="H116" s="32" t="s">
        <v>275</v>
      </c>
      <c r="I116" s="32" t="s">
        <v>276</v>
      </c>
      <c r="J116" s="33"/>
      <c r="K116" s="32" t="s">
        <v>277</v>
      </c>
      <c r="M116" s="70" t="s">
        <v>325</v>
      </c>
      <c r="N116" s="32" t="s">
        <v>275</v>
      </c>
      <c r="O116" s="32" t="s">
        <v>276</v>
      </c>
      <c r="P116" s="33"/>
      <c r="Q116" s="32" t="s">
        <v>277</v>
      </c>
    </row>
    <row r="117" spans="1:17" outlineLevel="1" x14ac:dyDescent="0.3">
      <c r="A117" s="368">
        <f>A61</f>
        <v>0</v>
      </c>
      <c r="B117" s="912">
        <f>B61</f>
        <v>0</v>
      </c>
      <c r="C117" s="71">
        <f>'Overzicht BTA'!$D$38</f>
        <v>2.3958200000000001</v>
      </c>
      <c r="D117" s="77">
        <f>D61</f>
        <v>1</v>
      </c>
      <c r="E117" s="78">
        <f>ROUND(A117*B117*C117*D117,2)</f>
        <v>0</v>
      </c>
      <c r="G117" s="368">
        <f>G61</f>
        <v>0</v>
      </c>
      <c r="H117" s="912">
        <f>H61</f>
        <v>0</v>
      </c>
      <c r="I117" s="71">
        <f>'Overzicht BTA'!$D$38</f>
        <v>2.3958200000000001</v>
      </c>
      <c r="J117" s="77">
        <f>J61</f>
        <v>0.75</v>
      </c>
      <c r="K117" s="78">
        <f>ROUND(G117*H117*I117*J117,2)</f>
        <v>0</v>
      </c>
      <c r="M117" s="368">
        <f>M61</f>
        <v>0</v>
      </c>
      <c r="N117" s="912">
        <f>N61</f>
        <v>0</v>
      </c>
      <c r="O117" s="71">
        <f>'Overzicht BTA'!$D$38</f>
        <v>2.3958200000000001</v>
      </c>
      <c r="P117" s="77">
        <f>P61</f>
        <v>0.75</v>
      </c>
      <c r="Q117" s="78">
        <f>ROUND(M117*N117*O117*P117,2)</f>
        <v>0</v>
      </c>
    </row>
    <row r="118" spans="1:17" ht="28.2" outlineLevel="1" thickBot="1" x14ac:dyDescent="0.35">
      <c r="A118" s="57" t="s">
        <v>326</v>
      </c>
      <c r="B118" s="913">
        <f>B62</f>
        <v>0</v>
      </c>
      <c r="C118" s="43">
        <f>C62</f>
        <v>1</v>
      </c>
      <c r="D118" s="75"/>
      <c r="E118" s="124">
        <f>ROUND(B118*C118,2)</f>
        <v>0</v>
      </c>
      <c r="G118" s="57" t="s">
        <v>326</v>
      </c>
      <c r="H118" s="913">
        <f>MIN(H162,H163)</f>
        <v>0</v>
      </c>
      <c r="I118" s="43">
        <f>I62</f>
        <v>1</v>
      </c>
      <c r="J118" s="75"/>
      <c r="K118" s="124">
        <f>ROUND(H118*I118,2)</f>
        <v>0</v>
      </c>
      <c r="M118" s="57" t="s">
        <v>326</v>
      </c>
      <c r="N118" s="913">
        <f>MIN(N162,N163)</f>
        <v>0</v>
      </c>
      <c r="O118" s="43">
        <f>O62</f>
        <v>1</v>
      </c>
      <c r="P118" s="75"/>
      <c r="Q118" s="124">
        <f>ROUND(N118*O118,2)</f>
        <v>0</v>
      </c>
    </row>
    <row r="119" spans="1:17" ht="14.4" outlineLevel="1" thickTop="1" x14ac:dyDescent="0.3">
      <c r="A119" s="112" t="s">
        <v>327</v>
      </c>
      <c r="B119" s="113"/>
      <c r="C119" s="114"/>
      <c r="D119" s="32"/>
      <c r="E119" s="63">
        <f>ROUND(IF(E117-E118&lt;0,0,E117-E118),2)</f>
        <v>0</v>
      </c>
      <c r="G119" s="112" t="s">
        <v>327</v>
      </c>
      <c r="H119" s="113"/>
      <c r="I119" s="114"/>
      <c r="J119" s="32"/>
      <c r="K119" s="63">
        <f>ROUND(IF(K117-K118&lt;0,0,K117-K118),2)</f>
        <v>0</v>
      </c>
      <c r="M119" s="112" t="s">
        <v>327</v>
      </c>
      <c r="N119" s="113"/>
      <c r="O119" s="114"/>
      <c r="P119" s="32"/>
      <c r="Q119" s="63">
        <f>ROUND(IF(Q117-Q118&lt;0,0,Q117-Q118),2)</f>
        <v>0</v>
      </c>
    </row>
    <row r="120" spans="1:17" outlineLevel="1" x14ac:dyDescent="0.3">
      <c r="A120" s="41" t="s">
        <v>312</v>
      </c>
      <c r="B120" s="42">
        <f>B157</f>
        <v>0</v>
      </c>
      <c r="C120" s="43">
        <v>0.6</v>
      </c>
      <c r="D120" s="43"/>
      <c r="E120" s="42">
        <f>B120*C120</f>
        <v>0</v>
      </c>
      <c r="F120" s="51"/>
      <c r="G120" s="41" t="s">
        <v>312</v>
      </c>
      <c r="H120" s="42">
        <f>H157</f>
        <v>0</v>
      </c>
      <c r="I120" s="43">
        <v>0.6</v>
      </c>
      <c r="J120" s="43"/>
      <c r="K120" s="42">
        <f>H120*I120</f>
        <v>0</v>
      </c>
      <c r="M120" s="41" t="s">
        <v>312</v>
      </c>
      <c r="N120" s="42">
        <f>N157</f>
        <v>0</v>
      </c>
      <c r="O120" s="43">
        <v>0.6</v>
      </c>
      <c r="P120" s="43"/>
      <c r="Q120" s="42">
        <f>N120*O120</f>
        <v>0</v>
      </c>
    </row>
    <row r="121" spans="1:17" outlineLevel="1" x14ac:dyDescent="0.3">
      <c r="A121" s="41" t="s">
        <v>328</v>
      </c>
      <c r="B121" s="42">
        <f>B158</f>
        <v>0</v>
      </c>
      <c r="C121" s="44">
        <v>0.6</v>
      </c>
      <c r="D121" s="43"/>
      <c r="E121" s="42">
        <f t="shared" ref="E121:E122" si="12">B121*C121</f>
        <v>0</v>
      </c>
      <c r="F121" s="51"/>
      <c r="G121" s="41" t="s">
        <v>328</v>
      </c>
      <c r="H121" s="42">
        <f>H158</f>
        <v>0</v>
      </c>
      <c r="I121" s="44">
        <v>0.6</v>
      </c>
      <c r="J121" s="43"/>
      <c r="K121" s="42">
        <f t="shared" ref="K121:K122" si="13">H121*I121</f>
        <v>0</v>
      </c>
      <c r="M121" s="41" t="s">
        <v>328</v>
      </c>
      <c r="N121" s="42">
        <f>N158</f>
        <v>0</v>
      </c>
      <c r="O121" s="44">
        <v>0.6</v>
      </c>
      <c r="P121" s="43"/>
      <c r="Q121" s="42">
        <f t="shared" ref="Q121:Q122" si="14">N121*O121</f>
        <v>0</v>
      </c>
    </row>
    <row r="122" spans="1:17" ht="14.4" outlineLevel="1" thickBot="1" x14ac:dyDescent="0.35">
      <c r="A122" s="41" t="s">
        <v>128</v>
      </c>
      <c r="B122" s="42">
        <f>B104</f>
        <v>0</v>
      </c>
      <c r="C122" s="44">
        <v>0.6</v>
      </c>
      <c r="D122" s="43"/>
      <c r="E122" s="116">
        <f t="shared" si="12"/>
        <v>0</v>
      </c>
      <c r="F122" s="53"/>
      <c r="G122" s="41" t="s">
        <v>128</v>
      </c>
      <c r="H122" s="42">
        <f>H104</f>
        <v>0</v>
      </c>
      <c r="I122" s="44">
        <v>0.6</v>
      </c>
      <c r="J122" s="43"/>
      <c r="K122" s="116">
        <f t="shared" si="13"/>
        <v>0</v>
      </c>
      <c r="M122" s="41" t="s">
        <v>128</v>
      </c>
      <c r="N122" s="42">
        <f>N104</f>
        <v>0</v>
      </c>
      <c r="O122" s="44">
        <v>0.6</v>
      </c>
      <c r="P122" s="43"/>
      <c r="Q122" s="116">
        <f t="shared" si="14"/>
        <v>0</v>
      </c>
    </row>
    <row r="123" spans="1:17" ht="14.4" outlineLevel="1" thickTop="1" x14ac:dyDescent="0.3">
      <c r="A123" s="119"/>
      <c r="B123" s="120"/>
      <c r="C123" s="121"/>
      <c r="D123" s="122"/>
      <c r="E123" s="123">
        <f>SUM(E120:E122)</f>
        <v>0</v>
      </c>
      <c r="F123" s="53"/>
      <c r="G123" s="119"/>
      <c r="H123" s="120"/>
      <c r="I123" s="121"/>
      <c r="J123" s="122"/>
      <c r="K123" s="123">
        <f>SUM(K120:K122)</f>
        <v>0</v>
      </c>
      <c r="M123" s="119"/>
      <c r="N123" s="120"/>
      <c r="O123" s="121"/>
      <c r="P123" s="122"/>
      <c r="Q123" s="123">
        <f>SUM(Q120:Q122)</f>
        <v>0</v>
      </c>
    </row>
    <row r="124" spans="1:17" outlineLevel="1" x14ac:dyDescent="0.3">
      <c r="A124" s="117" t="s">
        <v>329</v>
      </c>
      <c r="B124" s="76"/>
      <c r="C124" s="118"/>
      <c r="D124" s="31"/>
      <c r="E124" s="45"/>
      <c r="G124" s="117" t="s">
        <v>329</v>
      </c>
      <c r="H124" s="76"/>
      <c r="I124" s="118"/>
      <c r="J124" s="31"/>
      <c r="K124" s="45"/>
      <c r="M124" s="117" t="s">
        <v>329</v>
      </c>
      <c r="N124" s="76"/>
      <c r="O124" s="118"/>
      <c r="P124" s="31"/>
      <c r="Q124" s="45"/>
    </row>
    <row r="125" spans="1:17" outlineLevel="1" x14ac:dyDescent="0.3">
      <c r="A125" s="1242" t="s">
        <v>330</v>
      </c>
      <c r="B125" s="1243"/>
      <c r="C125" s="44"/>
      <c r="D125" s="31"/>
      <c r="E125" s="24">
        <f>ROUND(IF(E118&gt;E117,E117,E118),2)</f>
        <v>0</v>
      </c>
      <c r="G125" s="1242" t="s">
        <v>330</v>
      </c>
      <c r="H125" s="1243"/>
      <c r="I125" s="44"/>
      <c r="J125" s="31"/>
      <c r="K125" s="24">
        <f>ROUND(IF(K118&gt;K117,K117,K118),2)</f>
        <v>0</v>
      </c>
      <c r="M125" s="1242" t="s">
        <v>330</v>
      </c>
      <c r="N125" s="1243"/>
      <c r="O125" s="44"/>
      <c r="P125" s="31"/>
      <c r="Q125" s="24">
        <f>ROUND(IF(Q118&gt;Q117,Q117,Q118),2)</f>
        <v>0</v>
      </c>
    </row>
    <row r="126" spans="1:17" outlineLevel="1" x14ac:dyDescent="0.3">
      <c r="A126" s="41" t="s">
        <v>331</v>
      </c>
      <c r="B126" s="42">
        <f>B70</f>
        <v>0</v>
      </c>
      <c r="C126" s="44">
        <v>0.6</v>
      </c>
      <c r="D126" s="31"/>
      <c r="E126" s="24">
        <f>ROUND(B126*C126,2)</f>
        <v>0</v>
      </c>
      <c r="G126" s="41" t="s">
        <v>331</v>
      </c>
      <c r="H126" s="42">
        <f>H70</f>
        <v>0</v>
      </c>
      <c r="I126" s="44">
        <v>0.6</v>
      </c>
      <c r="J126" s="31"/>
      <c r="K126" s="24">
        <f>ROUND(H126*I126,2)</f>
        <v>0</v>
      </c>
      <c r="M126" s="41" t="s">
        <v>331</v>
      </c>
      <c r="N126" s="42">
        <f>N70</f>
        <v>0</v>
      </c>
      <c r="O126" s="44">
        <v>0.6</v>
      </c>
      <c r="P126" s="31"/>
      <c r="Q126" s="24">
        <f>ROUND(N126*O126,2)</f>
        <v>0</v>
      </c>
    </row>
    <row r="127" spans="1:17" outlineLevel="1" x14ac:dyDescent="0.3">
      <c r="A127" s="1242" t="s">
        <v>332</v>
      </c>
      <c r="B127" s="1243"/>
      <c r="C127" s="44"/>
      <c r="D127" s="31"/>
      <c r="E127" s="46"/>
      <c r="G127" s="1242" t="s">
        <v>332</v>
      </c>
      <c r="H127" s="1243"/>
      <c r="I127" s="44"/>
      <c r="J127" s="31"/>
      <c r="K127" s="46"/>
      <c r="M127" s="1242" t="s">
        <v>332</v>
      </c>
      <c r="N127" s="1243"/>
      <c r="O127" s="44"/>
      <c r="P127" s="31"/>
      <c r="Q127" s="46"/>
    </row>
    <row r="128" spans="1:17" outlineLevel="1" x14ac:dyDescent="0.3">
      <c r="A128" s="41" t="s">
        <v>312</v>
      </c>
      <c r="B128" s="253"/>
      <c r="C128" s="44"/>
      <c r="D128" s="31"/>
      <c r="E128" s="42">
        <f>ROUND(IF(E120&gt;E119,E119,E120),2)</f>
        <v>0</v>
      </c>
      <c r="G128" s="41" t="s">
        <v>312</v>
      </c>
      <c r="H128" s="253"/>
      <c r="I128" s="44"/>
      <c r="J128" s="31"/>
      <c r="K128" s="42">
        <f>ROUND(IF(K120&gt;K119,K119,K120),2)</f>
        <v>0</v>
      </c>
      <c r="M128" s="41" t="s">
        <v>312</v>
      </c>
      <c r="N128" s="253"/>
      <c r="O128" s="44"/>
      <c r="P128" s="31"/>
      <c r="Q128" s="42">
        <f>ROUND(IF(Q120&gt;Q119,Q119,Q120),2)</f>
        <v>0</v>
      </c>
    </row>
    <row r="129" spans="1:17" outlineLevel="1" x14ac:dyDescent="0.3">
      <c r="A129" s="41" t="s">
        <v>328</v>
      </c>
      <c r="B129" s="253"/>
      <c r="C129" s="44"/>
      <c r="D129" s="31"/>
      <c r="E129" s="42">
        <f>ROUND(IF((E120+E121)&lt;E119,E121,IF((E119-E120)&gt;0,E119-E120,0)),2)</f>
        <v>0</v>
      </c>
      <c r="G129" s="41" t="s">
        <v>328</v>
      </c>
      <c r="H129" s="253"/>
      <c r="I129" s="44"/>
      <c r="J129" s="31"/>
      <c r="K129" s="42">
        <f>ROUND(IF((K120+K121)&lt;K119,K121,IF((K119-K120)&gt;0,K119-K120,0)),2)</f>
        <v>0</v>
      </c>
      <c r="M129" s="41" t="s">
        <v>328</v>
      </c>
      <c r="N129" s="253"/>
      <c r="O129" s="44"/>
      <c r="P129" s="31"/>
      <c r="Q129" s="42">
        <f>ROUND(IF((Q120+Q121)&lt;Q119,Q121,IF((Q119-Q120)&gt;0,Q119-Q120,0)),2)</f>
        <v>0</v>
      </c>
    </row>
    <row r="130" spans="1:17" ht="14.4" outlineLevel="1" thickBot="1" x14ac:dyDescent="0.35">
      <c r="A130" s="41" t="s">
        <v>128</v>
      </c>
      <c r="B130" s="253"/>
      <c r="C130" s="44"/>
      <c r="D130" s="31"/>
      <c r="E130" s="116">
        <f>ROUND(IF((E122+E121+E120)&lt;E119,E122,IF((E119-E120-E121)&gt;0,E119-E120-E121,0)),0)</f>
        <v>0</v>
      </c>
      <c r="G130" s="41" t="s">
        <v>128</v>
      </c>
      <c r="H130" s="253"/>
      <c r="I130" s="44"/>
      <c r="J130" s="31"/>
      <c r="K130" s="116">
        <f>ROUND(IF((K122+K121+K120)&lt;K119,K122,IF((K119-K120-K121)&gt;0,K119-K120-K121,0)),0)</f>
        <v>0</v>
      </c>
      <c r="M130" s="41" t="s">
        <v>128</v>
      </c>
      <c r="N130" s="253"/>
      <c r="O130" s="44"/>
      <c r="P130" s="31"/>
      <c r="Q130" s="116">
        <f>ROUND(IF((Q122+Q121+Q120)&lt;Q119,Q122,IF((Q119-Q120-Q121)&gt;0,Q119-Q120-Q121,0)),0)</f>
        <v>0</v>
      </c>
    </row>
    <row r="131" spans="1:17" ht="15" outlineLevel="1" thickTop="1" thickBot="1" x14ac:dyDescent="0.35">
      <c r="A131" s="115" t="s">
        <v>333</v>
      </c>
      <c r="B131" s="253"/>
      <c r="C131" s="44"/>
      <c r="D131" s="31"/>
      <c r="E131" s="125">
        <f>SUM(E128:E130)</f>
        <v>0</v>
      </c>
      <c r="G131" s="115" t="s">
        <v>333</v>
      </c>
      <c r="H131" s="253"/>
      <c r="I131" s="44"/>
      <c r="J131" s="31"/>
      <c r="K131" s="125">
        <f>SUM(K128:K130)</f>
        <v>0</v>
      </c>
      <c r="M131" s="115" t="s">
        <v>333</v>
      </c>
      <c r="N131" s="253"/>
      <c r="O131" s="44"/>
      <c r="P131" s="31"/>
      <c r="Q131" s="125">
        <f>SUM(Q128:Q130)</f>
        <v>0</v>
      </c>
    </row>
    <row r="132" spans="1:17" ht="14.4" outlineLevel="1" thickBot="1" x14ac:dyDescent="0.35">
      <c r="A132" s="5" t="s">
        <v>279</v>
      </c>
      <c r="B132" s="10">
        <f>E131</f>
        <v>0</v>
      </c>
      <c r="C132" s="9">
        <v>0.1</v>
      </c>
      <c r="D132" s="9"/>
      <c r="E132" s="24">
        <f>ROUND(B132*C132,2)</f>
        <v>0</v>
      </c>
      <c r="G132" s="5" t="s">
        <v>279</v>
      </c>
      <c r="H132" s="10">
        <f>K131</f>
        <v>0</v>
      </c>
      <c r="I132" s="9">
        <v>0.1</v>
      </c>
      <c r="J132" s="9"/>
      <c r="K132" s="24">
        <f>ROUND(H132*I132,2)</f>
        <v>0</v>
      </c>
      <c r="M132" s="5" t="s">
        <v>279</v>
      </c>
      <c r="N132" s="10">
        <f>Q131</f>
        <v>0</v>
      </c>
      <c r="O132" s="9">
        <v>0.1</v>
      </c>
      <c r="P132" s="9"/>
      <c r="Q132" s="24">
        <f>ROUND(N132*O132,2)</f>
        <v>0</v>
      </c>
    </row>
    <row r="133" spans="1:17" outlineLevel="1" x14ac:dyDescent="0.3">
      <c r="A133" s="8" t="s">
        <v>64</v>
      </c>
      <c r="B133" s="8" t="s">
        <v>293</v>
      </c>
      <c r="C133" s="97">
        <f>'Overzicht BTA'!C106/100</f>
        <v>0</v>
      </c>
      <c r="D133" s="9"/>
      <c r="E133" s="24">
        <f>ROUND(E128*C133,2)</f>
        <v>0</v>
      </c>
      <c r="G133" s="8" t="s">
        <v>64</v>
      </c>
      <c r="H133" s="8" t="s">
        <v>293</v>
      </c>
      <c r="I133" s="97">
        <f>'Overzicht BTA'!I106/100</f>
        <v>0</v>
      </c>
      <c r="J133" s="9"/>
      <c r="K133" s="24">
        <f>ROUND(K128*I133,2)</f>
        <v>0</v>
      </c>
      <c r="M133" s="8" t="s">
        <v>64</v>
      </c>
      <c r="N133" s="8" t="s">
        <v>293</v>
      </c>
      <c r="O133" s="97">
        <f>'Overzicht BTA'!O106/100</f>
        <v>0</v>
      </c>
      <c r="P133" s="9"/>
      <c r="Q133" s="24">
        <f>ROUND(Q128*O133,2)</f>
        <v>0</v>
      </c>
    </row>
    <row r="134" spans="1:17" outlineLevel="1" x14ac:dyDescent="0.3">
      <c r="A134" s="8" t="s">
        <v>294</v>
      </c>
      <c r="B134" s="8" t="s">
        <v>295</v>
      </c>
      <c r="C134" s="9">
        <v>0.21</v>
      </c>
      <c r="D134" s="26"/>
      <c r="E134" s="47">
        <f>ROUND(E129*C134,2)</f>
        <v>0</v>
      </c>
      <c r="G134" s="8" t="s">
        <v>294</v>
      </c>
      <c r="H134" s="8" t="s">
        <v>295</v>
      </c>
      <c r="I134" s="9">
        <v>0.21</v>
      </c>
      <c r="J134" s="26"/>
      <c r="K134" s="47">
        <f>ROUND(K129*I134,2)</f>
        <v>0</v>
      </c>
      <c r="M134" s="8" t="s">
        <v>294</v>
      </c>
      <c r="N134" s="8" t="s">
        <v>295</v>
      </c>
      <c r="O134" s="9">
        <v>0.21</v>
      </c>
      <c r="P134" s="26"/>
      <c r="Q134" s="47">
        <f>ROUND(Q129*O134,2)</f>
        <v>0</v>
      </c>
    </row>
    <row r="135" spans="1:17" outlineLevel="1" x14ac:dyDescent="0.3">
      <c r="A135" s="79" t="s">
        <v>64</v>
      </c>
      <c r="B135" s="79" t="s">
        <v>281</v>
      </c>
      <c r="C135" s="26">
        <v>0.21</v>
      </c>
      <c r="D135" s="26"/>
      <c r="E135" s="47">
        <f>ROUND(E132*C135,2)</f>
        <v>0</v>
      </c>
      <c r="G135" s="79" t="s">
        <v>64</v>
      </c>
      <c r="H135" s="79" t="s">
        <v>281</v>
      </c>
      <c r="I135" s="26">
        <v>0.21</v>
      </c>
      <c r="J135" s="26"/>
      <c r="K135" s="47">
        <f>ROUND(K132*I135,2)</f>
        <v>0</v>
      </c>
      <c r="M135" s="79" t="s">
        <v>64</v>
      </c>
      <c r="N135" s="79" t="s">
        <v>281</v>
      </c>
      <c r="O135" s="26">
        <v>0.21</v>
      </c>
      <c r="P135" s="26"/>
      <c r="Q135" s="47">
        <f>ROUND(Q132*O135,2)</f>
        <v>0</v>
      </c>
    </row>
    <row r="136" spans="1:17" outlineLevel="1" x14ac:dyDescent="0.3">
      <c r="A136" s="48" t="s">
        <v>282</v>
      </c>
      <c r="B136" s="48"/>
      <c r="C136" s="48"/>
      <c r="D136" s="48"/>
      <c r="E136" s="502">
        <f>ROUND(E125+E126+E131+E132+E133+E134+E135,2)</f>
        <v>0</v>
      </c>
      <c r="G136" s="48" t="s">
        <v>282</v>
      </c>
      <c r="H136" s="48"/>
      <c r="I136" s="48"/>
      <c r="J136" s="48"/>
      <c r="K136" s="502">
        <f>ROUND(K125+K126+K131+K132+K133+K134+K135,2)</f>
        <v>0</v>
      </c>
      <c r="M136" s="48" t="s">
        <v>282</v>
      </c>
      <c r="N136" s="48"/>
      <c r="O136" s="48"/>
      <c r="P136" s="48"/>
      <c r="Q136" s="502">
        <f>ROUND(Q125+Q126+Q131+Q132+Q133+Q134+Q135,2)</f>
        <v>0</v>
      </c>
    </row>
    <row r="137" spans="1:17" ht="14.4" outlineLevel="1" thickBot="1" x14ac:dyDescent="0.35"/>
    <row r="138" spans="1:17" ht="14.4" outlineLevel="2" x14ac:dyDescent="0.3">
      <c r="A138" s="1014" t="s">
        <v>283</v>
      </c>
      <c r="B138" s="1015"/>
      <c r="C138" s="1015"/>
      <c r="D138" s="1016"/>
      <c r="E138" s="1016"/>
      <c r="F138"/>
      <c r="G138" s="1014" t="s">
        <v>283</v>
      </c>
      <c r="H138" s="1015"/>
      <c r="I138" s="1015"/>
      <c r="J138" s="1016"/>
      <c r="K138" s="1016"/>
      <c r="L138"/>
      <c r="M138" s="1014" t="s">
        <v>283</v>
      </c>
      <c r="N138" s="1015"/>
      <c r="O138" s="1015"/>
      <c r="P138" s="1016"/>
      <c r="Q138" s="1016"/>
    </row>
    <row r="139" spans="1:17" ht="14.4" outlineLevel="2" x14ac:dyDescent="0.3">
      <c r="A139" s="1025" t="s">
        <v>274</v>
      </c>
      <c r="B139" s="1025" t="s">
        <v>275</v>
      </c>
      <c r="C139" s="1025" t="s">
        <v>276</v>
      </c>
      <c r="D139" s="1025"/>
      <c r="E139" s="1025" t="s">
        <v>277</v>
      </c>
      <c r="F139"/>
      <c r="G139" s="1025" t="s">
        <v>274</v>
      </c>
      <c r="H139" s="1025" t="s">
        <v>275</v>
      </c>
      <c r="I139" s="1025" t="s">
        <v>276</v>
      </c>
      <c r="J139" s="1025"/>
      <c r="K139" s="1025" t="s">
        <v>277</v>
      </c>
      <c r="L139"/>
      <c r="M139" s="1025" t="s">
        <v>274</v>
      </c>
      <c r="N139" s="1025" t="s">
        <v>275</v>
      </c>
      <c r="O139" s="1025" t="s">
        <v>276</v>
      </c>
      <c r="P139" s="1025"/>
      <c r="Q139" s="1025" t="s">
        <v>277</v>
      </c>
    </row>
    <row r="140" spans="1:17" ht="14.4" outlineLevel="2" x14ac:dyDescent="0.3">
      <c r="A140" s="1026">
        <f>A117</f>
        <v>0</v>
      </c>
      <c r="B140" s="1027">
        <f>IF(B113=Bron!$E$40,55,0)</f>
        <v>0</v>
      </c>
      <c r="C140" s="1025">
        <f>C117</f>
        <v>2.3958200000000001</v>
      </c>
      <c r="D140" s="1025"/>
      <c r="E140" s="1028">
        <f>ROUND(A140*B140*C140,2)</f>
        <v>0</v>
      </c>
      <c r="F140"/>
      <c r="G140" s="1026">
        <f>G117</f>
        <v>0</v>
      </c>
      <c r="H140" s="1027">
        <f>IF(H113=Bron!$E$40,55,0)</f>
        <v>0</v>
      </c>
      <c r="I140" s="1025">
        <f>I117</f>
        <v>2.3958200000000001</v>
      </c>
      <c r="J140" s="1025"/>
      <c r="K140" s="1028">
        <f>ROUND(G140*H140*I140,2)</f>
        <v>0</v>
      </c>
      <c r="L140"/>
      <c r="M140" s="1026">
        <f>M117</f>
        <v>0</v>
      </c>
      <c r="N140" s="1027">
        <f>IF(N113=Bron!$E$40,55,0)</f>
        <v>0</v>
      </c>
      <c r="O140" s="1025">
        <f>O117</f>
        <v>2.3958200000000001</v>
      </c>
      <c r="P140" s="1025"/>
      <c r="Q140" s="1028">
        <f>ROUND(M140*N140*O140,2)</f>
        <v>0</v>
      </c>
    </row>
    <row r="141" spans="1:17" ht="14.4" outlineLevel="2" x14ac:dyDescent="0.3">
      <c r="A141" s="32" t="s">
        <v>285</v>
      </c>
      <c r="B141" s="1028">
        <f>'Bouwkost AK+VERB'!$E$52</f>
        <v>0</v>
      </c>
      <c r="C141" s="1029">
        <v>0.6</v>
      </c>
      <c r="D141" s="1025"/>
      <c r="E141" s="1028">
        <f>B141*C141</f>
        <v>0</v>
      </c>
      <c r="F141"/>
      <c r="G141" s="32" t="s">
        <v>285</v>
      </c>
      <c r="H141" s="1028">
        <f>'Bouwkost AK+VERB'!$N$52</f>
        <v>0</v>
      </c>
      <c r="I141" s="1029">
        <v>0.6</v>
      </c>
      <c r="J141" s="1025"/>
      <c r="K141" s="1028">
        <f>H141*I141</f>
        <v>0</v>
      </c>
      <c r="L141"/>
      <c r="M141" s="32" t="s">
        <v>285</v>
      </c>
      <c r="N141" s="1028">
        <f>'Bouwkost AK+VERB'!$Y$52</f>
        <v>0</v>
      </c>
      <c r="O141" s="1029">
        <v>0.6</v>
      </c>
      <c r="P141" s="1025"/>
      <c r="Q141" s="1028">
        <f>N141*O141</f>
        <v>0</v>
      </c>
    </row>
    <row r="142" spans="1:17" ht="14.4" outlineLevel="2" x14ac:dyDescent="0.3">
      <c r="A142" s="65" t="s">
        <v>286</v>
      </c>
      <c r="B142" s="1028">
        <f>'Bouwkost AK+VERB'!$E$58</f>
        <v>0</v>
      </c>
      <c r="C142" s="1029">
        <v>0.6</v>
      </c>
      <c r="D142" s="1025"/>
      <c r="E142" s="1028">
        <f>B142*C142</f>
        <v>0</v>
      </c>
      <c r="F142"/>
      <c r="G142" s="65" t="s">
        <v>286</v>
      </c>
      <c r="H142" s="1028">
        <f>'Bouwkost AK+VERB'!$N$58</f>
        <v>0</v>
      </c>
      <c r="I142" s="1029">
        <v>0.6</v>
      </c>
      <c r="J142" s="1025"/>
      <c r="K142" s="1028">
        <f>H142*I142</f>
        <v>0</v>
      </c>
      <c r="L142"/>
      <c r="M142" s="65" t="s">
        <v>286</v>
      </c>
      <c r="N142" s="1028">
        <f>'Bouwkost AK+VERB'!$Y$58</f>
        <v>0</v>
      </c>
      <c r="O142" s="1029">
        <v>0.6</v>
      </c>
      <c r="P142" s="1025"/>
      <c r="Q142" s="1028">
        <f>N142*O142</f>
        <v>0</v>
      </c>
    </row>
    <row r="143" spans="1:17" ht="14.4" outlineLevel="2" x14ac:dyDescent="0.3">
      <c r="A143" s="1246" t="s">
        <v>287</v>
      </c>
      <c r="B143" s="1241"/>
      <c r="C143" s="1005"/>
      <c r="E143" s="96">
        <f>MIN(E142:E142)</f>
        <v>0</v>
      </c>
      <c r="F143"/>
      <c r="G143" s="1246" t="s">
        <v>287</v>
      </c>
      <c r="H143" s="1241"/>
      <c r="I143" s="1005"/>
      <c r="K143" s="96">
        <f>MIN(K142:K142)</f>
        <v>0</v>
      </c>
      <c r="L143"/>
      <c r="M143" s="1246" t="s">
        <v>287</v>
      </c>
      <c r="N143" s="1241"/>
      <c r="O143" s="1005"/>
      <c r="Q143" s="96">
        <f>MIN(Q142:Q142)</f>
        <v>0</v>
      </c>
    </row>
    <row r="144" spans="1:17" customFormat="1" ht="14.4" outlineLevel="2" x14ac:dyDescent="0.3">
      <c r="A144" s="8" t="s">
        <v>279</v>
      </c>
      <c r="B144" s="8"/>
      <c r="C144" s="9">
        <v>0.1</v>
      </c>
      <c r="D144" s="9"/>
      <c r="E144" s="24">
        <f>ROUND(E143*C144,2)</f>
        <v>0</v>
      </c>
      <c r="G144" s="8" t="s">
        <v>279</v>
      </c>
      <c r="H144" s="8"/>
      <c r="I144" s="9">
        <v>0.1</v>
      </c>
      <c r="J144" s="9"/>
      <c r="K144" s="24">
        <f>ROUND(K143*I144,2)</f>
        <v>0</v>
      </c>
      <c r="M144" s="8" t="s">
        <v>279</v>
      </c>
      <c r="N144" s="8"/>
      <c r="O144" s="9">
        <v>0.1</v>
      </c>
      <c r="P144" s="9"/>
      <c r="Q144" s="24">
        <f>ROUND(Q143*O144,2)</f>
        <v>0</v>
      </c>
    </row>
    <row r="145" spans="1:17" customFormat="1" ht="14.4" outlineLevel="2" x14ac:dyDescent="0.3">
      <c r="A145" s="8" t="s">
        <v>64</v>
      </c>
      <c r="B145" s="8" t="s">
        <v>293</v>
      </c>
      <c r="C145" s="97">
        <f>IF(A137=Bron!$B$11,'Overzicht BTA'!C152,IF(A137=Bron!$B$12,'Overzicht BTA'!C151,0))</f>
        <v>0</v>
      </c>
      <c r="D145" s="9"/>
      <c r="E145" s="24">
        <f>ROUND(E143*C145,2)</f>
        <v>0</v>
      </c>
      <c r="G145" s="8" t="s">
        <v>64</v>
      </c>
      <c r="H145" s="8" t="s">
        <v>293</v>
      </c>
      <c r="I145" s="97">
        <f>IF(G137=Bron!$B$11,'Overzicht BTA'!I152,IF(G137=Bron!$B$12,'Overzicht BTA'!I151,0))</f>
        <v>0</v>
      </c>
      <c r="J145" s="9"/>
      <c r="K145" s="24">
        <f>ROUND(K143*I145,2)</f>
        <v>0</v>
      </c>
      <c r="M145" s="8" t="s">
        <v>64</v>
      </c>
      <c r="N145" s="8" t="s">
        <v>293</v>
      </c>
      <c r="O145" s="97">
        <f>IF(M137=Bron!$B$11,'Overzicht BTA'!O152,IF(M137=Bron!$B$12,'Overzicht BTA'!O151,0))</f>
        <v>0</v>
      </c>
      <c r="P145" s="9"/>
      <c r="Q145" s="24">
        <f>ROUND(Q143*O145,2)</f>
        <v>0</v>
      </c>
    </row>
    <row r="146" spans="1:17" customFormat="1" ht="15" outlineLevel="2" thickBot="1" x14ac:dyDescent="0.35">
      <c r="A146" s="8" t="s">
        <v>64</v>
      </c>
      <c r="B146" s="50" t="s">
        <v>281</v>
      </c>
      <c r="C146" s="9">
        <v>0.21</v>
      </c>
      <c r="D146" s="26"/>
      <c r="E146" s="27">
        <f>ROUND(E144*C146,2)</f>
        <v>0</v>
      </c>
      <c r="G146" s="8" t="s">
        <v>64</v>
      </c>
      <c r="H146" s="50" t="s">
        <v>281</v>
      </c>
      <c r="I146" s="9">
        <v>0.21</v>
      </c>
      <c r="J146" s="26"/>
      <c r="K146" s="27">
        <f>ROUND(K144*I146,2)</f>
        <v>0</v>
      </c>
      <c r="M146" s="8" t="s">
        <v>64</v>
      </c>
      <c r="N146" s="50" t="s">
        <v>281</v>
      </c>
      <c r="O146" s="9">
        <v>0.21</v>
      </c>
      <c r="P146" s="26"/>
      <c r="Q146" s="27">
        <f>ROUND(Q144*O146,2)</f>
        <v>0</v>
      </c>
    </row>
    <row r="147" spans="1:17" customFormat="1" ht="15" outlineLevel="2" thickTop="1" x14ac:dyDescent="0.3">
      <c r="A147" s="28" t="s">
        <v>282</v>
      </c>
      <c r="B147" s="29"/>
      <c r="C147" s="30"/>
      <c r="D147" s="31"/>
      <c r="E147" s="80">
        <f>SUM(E143:E146)</f>
        <v>0</v>
      </c>
      <c r="G147" s="28" t="s">
        <v>282</v>
      </c>
      <c r="H147" s="29"/>
      <c r="I147" s="30"/>
      <c r="J147" s="31"/>
      <c r="K147" s="80">
        <f>SUM(K143:K146)</f>
        <v>0</v>
      </c>
      <c r="M147" s="28" t="s">
        <v>282</v>
      </c>
      <c r="N147" s="29"/>
      <c r="O147" s="30"/>
      <c r="P147" s="31"/>
      <c r="Q147" s="80">
        <f>SUM(Q143:Q146)</f>
        <v>0</v>
      </c>
    </row>
    <row r="148" spans="1:17" ht="15" outlineLevel="2" thickBot="1" x14ac:dyDescent="0.35">
      <c r="A148" s="981"/>
      <c r="B148" s="981"/>
      <c r="C148" s="851"/>
      <c r="D148" s="852"/>
      <c r="E148" s="51"/>
      <c r="F148"/>
      <c r="G148" s="981"/>
      <c r="H148" s="981"/>
      <c r="I148" s="851"/>
      <c r="J148" s="852"/>
      <c r="K148" s="51"/>
      <c r="L148"/>
      <c r="M148" s="981"/>
      <c r="N148" s="981"/>
      <c r="O148" s="851"/>
      <c r="P148" s="852"/>
      <c r="Q148" s="51"/>
    </row>
    <row r="149" spans="1:17" ht="15" outlineLevel="1" thickBot="1" x14ac:dyDescent="0.35">
      <c r="A149" s="5" t="s">
        <v>282</v>
      </c>
      <c r="B149" s="6"/>
      <c r="C149" s="7"/>
      <c r="E149" s="1">
        <f>E147+E136</f>
        <v>0</v>
      </c>
      <c r="F149"/>
      <c r="G149" s="5" t="s">
        <v>282</v>
      </c>
      <c r="H149" s="6"/>
      <c r="I149" s="7"/>
      <c r="K149" s="1">
        <f>K147+K136</f>
        <v>0</v>
      </c>
      <c r="L149"/>
      <c r="M149" s="5" t="s">
        <v>282</v>
      </c>
      <c r="N149" s="6"/>
      <c r="O149" s="7"/>
      <c r="Q149" s="1">
        <f>Q147+Q136</f>
        <v>0</v>
      </c>
    </row>
    <row r="150" spans="1:17" ht="14.4" outlineLevel="1" thickBot="1" x14ac:dyDescent="0.35"/>
    <row r="151" spans="1:17" ht="14.4" outlineLevel="1" thickBot="1" x14ac:dyDescent="0.35">
      <c r="A151" s="5" t="s">
        <v>334</v>
      </c>
      <c r="B151" s="6"/>
      <c r="C151" s="130">
        <f>E123</f>
        <v>0</v>
      </c>
      <c r="D151" s="128" t="s">
        <v>289</v>
      </c>
      <c r="E151" s="492">
        <f>(E131)*10/6</f>
        <v>0</v>
      </c>
      <c r="G151" s="5" t="s">
        <v>334</v>
      </c>
      <c r="H151" s="6"/>
      <c r="I151" s="130">
        <f>K123</f>
        <v>0</v>
      </c>
      <c r="J151" s="128" t="s">
        <v>289</v>
      </c>
      <c r="K151" s="492">
        <f>(K131)*10/6</f>
        <v>0</v>
      </c>
      <c r="M151" s="5" t="s">
        <v>334</v>
      </c>
      <c r="N151" s="6"/>
      <c r="O151" s="130">
        <f>Q123</f>
        <v>0</v>
      </c>
      <c r="P151" s="128" t="s">
        <v>289</v>
      </c>
      <c r="Q151" s="492">
        <f>(Q131)*10/6</f>
        <v>0</v>
      </c>
    </row>
    <row r="152" spans="1:17" outlineLevel="1" x14ac:dyDescent="0.3"/>
    <row r="153" spans="1:17" outlineLevel="1" x14ac:dyDescent="0.3">
      <c r="A153" s="511" t="s">
        <v>290</v>
      </c>
      <c r="B153" s="8"/>
      <c r="C153" s="8"/>
      <c r="G153" s="511" t="s">
        <v>290</v>
      </c>
      <c r="H153" s="8"/>
      <c r="I153" s="8"/>
      <c r="M153" s="511" t="s">
        <v>290</v>
      </c>
      <c r="N153" s="8"/>
      <c r="O153" s="8"/>
    </row>
    <row r="154" spans="1:17" outlineLevel="1" x14ac:dyDescent="0.3">
      <c r="A154" s="8" t="s">
        <v>123</v>
      </c>
      <c r="B154" s="10">
        <f>'Bouwkost AK+VERB'!K24</f>
        <v>0</v>
      </c>
      <c r="C154" s="9" t="e">
        <f>ROUND(B154/$B$159,2)</f>
        <v>#DIV/0!</v>
      </c>
      <c r="G154" s="8" t="s">
        <v>123</v>
      </c>
      <c r="H154" s="10">
        <f>'Bouwkost AK+VERB'!V24</f>
        <v>0</v>
      </c>
      <c r="I154" s="9" t="e">
        <f>ROUND(H154/$H$159,2)</f>
        <v>#DIV/0!</v>
      </c>
      <c r="M154" s="8" t="s">
        <v>123</v>
      </c>
      <c r="N154" s="10">
        <f>'Bouwkost AK+VERB'!AG24</f>
        <v>0</v>
      </c>
      <c r="O154" s="9" t="e">
        <f>ROUND(N154/$N$159,2)</f>
        <v>#DIV/0!</v>
      </c>
    </row>
    <row r="155" spans="1:17" outlineLevel="1" x14ac:dyDescent="0.3">
      <c r="A155" s="8" t="s">
        <v>124</v>
      </c>
      <c r="B155" s="10">
        <f>'Bouwkost AK+VERB'!K31</f>
        <v>0</v>
      </c>
      <c r="C155" s="9" t="e">
        <f t="shared" ref="C155:C159" si="15">ROUND(B155/$B$159,2)</f>
        <v>#DIV/0!</v>
      </c>
      <c r="G155" s="8" t="s">
        <v>124</v>
      </c>
      <c r="H155" s="10">
        <f>'Bouwkost AK+VERB'!V31</f>
        <v>0</v>
      </c>
      <c r="I155" s="9" t="e">
        <f t="shared" ref="I155:I159" si="16">ROUND(H155/$H$159,2)</f>
        <v>#DIV/0!</v>
      </c>
      <c r="M155" s="8" t="s">
        <v>124</v>
      </c>
      <c r="N155" s="10">
        <f>'Bouwkost AK+VERB'!AG31</f>
        <v>0</v>
      </c>
      <c r="O155" s="9" t="e">
        <f t="shared" ref="O155:O159" si="17">ROUND(N155/$N$159,2)</f>
        <v>#DIV/0!</v>
      </c>
    </row>
    <row r="156" spans="1:17" outlineLevel="1" x14ac:dyDescent="0.3">
      <c r="A156" s="8" t="s">
        <v>125</v>
      </c>
      <c r="B156" s="10">
        <f>'Bouwkost AK+VERB'!K39</f>
        <v>0</v>
      </c>
      <c r="C156" s="9" t="e">
        <f t="shared" si="15"/>
        <v>#DIV/0!</v>
      </c>
      <c r="G156" s="8" t="s">
        <v>125</v>
      </c>
      <c r="H156" s="10">
        <f>'Bouwkost AK+VERB'!V39</f>
        <v>0</v>
      </c>
      <c r="I156" s="9" t="e">
        <f t="shared" si="16"/>
        <v>#DIV/0!</v>
      </c>
      <c r="M156" s="8" t="s">
        <v>125</v>
      </c>
      <c r="N156" s="10">
        <f>'Bouwkost AK+VERB'!AG39</f>
        <v>0</v>
      </c>
      <c r="O156" s="9" t="e">
        <f t="shared" si="17"/>
        <v>#DIV/0!</v>
      </c>
    </row>
    <row r="157" spans="1:17" outlineLevel="1" x14ac:dyDescent="0.3">
      <c r="A157" s="8" t="s">
        <v>126</v>
      </c>
      <c r="B157" s="10">
        <f>SUM(B154:B156)</f>
        <v>0</v>
      </c>
      <c r="C157" s="9" t="e">
        <f t="shared" si="15"/>
        <v>#DIV/0!</v>
      </c>
      <c r="G157" s="8" t="s">
        <v>126</v>
      </c>
      <c r="H157" s="10">
        <f>SUM(H154:H156)</f>
        <v>0</v>
      </c>
      <c r="I157" s="9" t="e">
        <f t="shared" si="16"/>
        <v>#DIV/0!</v>
      </c>
      <c r="M157" s="8" t="s">
        <v>126</v>
      </c>
      <c r="N157" s="10">
        <f>SUM(N154:N156)</f>
        <v>0</v>
      </c>
      <c r="O157" s="9" t="e">
        <f t="shared" si="17"/>
        <v>#DIV/0!</v>
      </c>
    </row>
    <row r="158" spans="1:17" ht="27.6" outlineLevel="1" x14ac:dyDescent="0.3">
      <c r="A158" s="8" t="s">
        <v>127</v>
      </c>
      <c r="B158" s="10">
        <f>'Bouwkost AK+VERB'!K49</f>
        <v>0</v>
      </c>
      <c r="C158" s="9" t="e">
        <f t="shared" si="15"/>
        <v>#DIV/0!</v>
      </c>
      <c r="G158" s="8" t="s">
        <v>127</v>
      </c>
      <c r="H158" s="10">
        <f>'Bouwkost AK+VERB'!V49</f>
        <v>0</v>
      </c>
      <c r="I158" s="9" t="e">
        <f t="shared" si="16"/>
        <v>#DIV/0!</v>
      </c>
      <c r="M158" s="8" t="s">
        <v>127</v>
      </c>
      <c r="N158" s="10">
        <f>'Bouwkost AK+VERB'!AG49</f>
        <v>0</v>
      </c>
      <c r="O158" s="9" t="e">
        <f t="shared" si="17"/>
        <v>#DIV/0!</v>
      </c>
    </row>
    <row r="159" spans="1:17" outlineLevel="1" x14ac:dyDescent="0.3">
      <c r="A159" s="8" t="s">
        <v>110</v>
      </c>
      <c r="B159" s="10">
        <f>IF(ISNUMBER(MATCH($A$2,'Overzicht BTA'!$B$51:$B$54,0)),IF(MATCH(Bron!$B$16,'uitgebreide raming_gewijzigd'!$B$2:$I$2,0)=1,'uitgebreide raming_gewijzigd'!$B56,IF(MATCH(Bron!$B$16,'uitgebreide raming_gewijzigd'!$B$2:$I$2,0)=3,'uitgebreide raming_gewijzigd'!$D56,IF(MATCH(Bron!$B$16,'uitgebreide raming_gewijzigd'!$B$2:$I$2,0)=5,'uitgebreide raming_gewijzigd'!$F56,IF(MATCH(Bron!$B$16,'uitgebreide raming_gewijzigd'!$B$2:$I$2,0)=7,'uitgebreide raming_gewijzigd'!$H56,0)))),0)</f>
        <v>0</v>
      </c>
      <c r="C159" s="9" t="e">
        <f t="shared" si="15"/>
        <v>#DIV/0!</v>
      </c>
      <c r="G159" s="8" t="s">
        <v>110</v>
      </c>
      <c r="H159" s="10">
        <f>H158+H157</f>
        <v>0</v>
      </c>
      <c r="I159" s="9" t="e">
        <f t="shared" si="16"/>
        <v>#DIV/0!</v>
      </c>
      <c r="M159" s="8" t="s">
        <v>110</v>
      </c>
      <c r="N159" s="10">
        <f>N158+N157</f>
        <v>0</v>
      </c>
      <c r="O159" s="9" t="e">
        <f t="shared" si="17"/>
        <v>#DIV/0!</v>
      </c>
    </row>
    <row r="160" spans="1:17" outlineLevel="1" x14ac:dyDescent="0.3">
      <c r="A160" s="23" t="s">
        <v>335</v>
      </c>
      <c r="B160" s="10">
        <f>IF(ISNUMBER(MATCH($A$2,'Overzicht BTA'!$B$51:$B$54,0)),IF(MATCH(Bron!$B$16,'uitgebreide raming_gewijzigd'!$B$2:$I$2,0)=1,'uitgebreide raming_gewijzigd'!$B57,IF(MATCH(Bron!$B$16,'uitgebreide raming_gewijzigd'!$B$2:$I$2,0)=3,'uitgebreide raming_gewijzigd'!$D57,IF(MATCH(Bron!$B$16,'uitgebreide raming_gewijzigd'!$B$2:$I$2,0)=5,'uitgebreide raming_gewijzigd'!$F57,IF(MATCH(Bron!$B$16,'uitgebreide raming_gewijzigd'!$B$2:$I$2,0)=7,'uitgebreide raming_gewijzigd'!$H57,0)))),0)</f>
        <v>0</v>
      </c>
      <c r="C160" s="40"/>
      <c r="G160" s="23" t="s">
        <v>335</v>
      </c>
      <c r="H160" s="10">
        <f>IF(ISNUMBER(MATCH($A$2,'Overzicht BTA'!$B$51:$B$54,0)),IF(MATCH(Bron!$B$16,'uitgebreide raming_gewijzigd'!$B$2:$I$2,0)=1,'uitgebreide raming_gewijzigd'!$B57,IF(MATCH(Bron!$B$16,'uitgebreide raming_gewijzigd'!$B$2:$I$2,0)=3,'uitgebreide raming_gewijzigd'!$D57,IF(MATCH(Bron!$B$16,'uitgebreide raming_gewijzigd'!$B$2:$I$2,0)=5,'uitgebreide raming_gewijzigd'!$F57,IF(MATCH(Bron!$B$16,'uitgebreide raming_gewijzigd'!$B$2:$I$2,0)=7,'uitgebreide raming_gewijzigd'!$H57,0)))),0)</f>
        <v>0</v>
      </c>
      <c r="I160" s="40"/>
      <c r="M160" s="23" t="s">
        <v>335</v>
      </c>
      <c r="N160" s="10">
        <f>IF(ISNUMBER(MATCH($A$2,'Overzicht BTA'!$B$51:$B$54,0)),IF(MATCH(Bron!$B$16,'uitgebreide raming_gewijzigd'!$B$2:$I$2,0)=1,'uitgebreide raming_gewijzigd'!$B57,IF(MATCH(Bron!$B$16,'uitgebreide raming_gewijzigd'!$B$2:$I$2,0)=3,'uitgebreide raming_gewijzigd'!$D57,IF(MATCH(Bron!$B$16,'uitgebreide raming_gewijzigd'!$B$2:$I$2,0)=5,'uitgebreide raming_gewijzigd'!$F57,IF(MATCH(Bron!$B$16,'uitgebreide raming_gewijzigd'!$B$2:$I$2,0)=7,'uitgebreide raming_gewijzigd'!$H57,0)))),0)</f>
        <v>0</v>
      </c>
      <c r="O160" s="40"/>
    </row>
    <row r="161" spans="1:15" outlineLevel="1" x14ac:dyDescent="0.3"/>
    <row r="162" spans="1:15" outlineLevel="1" x14ac:dyDescent="0.3">
      <c r="A162" s="511" t="s">
        <v>318</v>
      </c>
      <c r="B162" s="10"/>
      <c r="C162" s="22"/>
      <c r="G162" s="511" t="s">
        <v>318</v>
      </c>
      <c r="H162" s="10"/>
      <c r="I162" s="22"/>
      <c r="M162" s="511" t="s">
        <v>318</v>
      </c>
      <c r="N162" s="10"/>
      <c r="O162" s="22"/>
    </row>
    <row r="163" spans="1:15" outlineLevel="1" x14ac:dyDescent="0.3">
      <c r="A163" s="48" t="s">
        <v>120</v>
      </c>
      <c r="B163" s="10">
        <f>B107</f>
        <v>0</v>
      </c>
      <c r="C163" s="49" t="s">
        <v>19</v>
      </c>
      <c r="G163" s="48" t="s">
        <v>120</v>
      </c>
      <c r="H163" s="10">
        <f>H107</f>
        <v>0</v>
      </c>
      <c r="I163" s="49" t="s">
        <v>19</v>
      </c>
      <c r="M163" s="48" t="s">
        <v>120</v>
      </c>
      <c r="N163" s="10">
        <f>N107</f>
        <v>0</v>
      </c>
      <c r="O163" s="49" t="s">
        <v>19</v>
      </c>
    </row>
    <row r="164" spans="1:15" outlineLevel="1" x14ac:dyDescent="0.3">
      <c r="A164" s="48" t="s">
        <v>319</v>
      </c>
      <c r="B164" s="10">
        <f t="shared" ref="B164:B166" si="18">B108</f>
        <v>0</v>
      </c>
      <c r="C164" s="49" t="s">
        <v>320</v>
      </c>
      <c r="G164" s="48" t="s">
        <v>319</v>
      </c>
      <c r="H164" s="10">
        <f t="shared" ref="H164:H166" si="19">H108</f>
        <v>0</v>
      </c>
      <c r="I164" s="49" t="s">
        <v>320</v>
      </c>
      <c r="M164" s="48" t="s">
        <v>319</v>
      </c>
      <c r="N164" s="10">
        <f t="shared" ref="N164:N166" si="20">N108</f>
        <v>0</v>
      </c>
      <c r="O164" s="49" t="s">
        <v>320</v>
      </c>
    </row>
    <row r="165" spans="1:15" outlineLevel="1" x14ac:dyDescent="0.3">
      <c r="A165" s="48" t="s">
        <v>336</v>
      </c>
      <c r="B165" s="10">
        <f t="shared" si="18"/>
        <v>0</v>
      </c>
      <c r="C165" s="22"/>
      <c r="G165" s="48" t="s">
        <v>336</v>
      </c>
      <c r="H165" s="10">
        <f t="shared" si="19"/>
        <v>0</v>
      </c>
      <c r="I165" s="22"/>
      <c r="M165" s="48" t="s">
        <v>336</v>
      </c>
      <c r="N165" s="10">
        <f t="shared" si="20"/>
        <v>0</v>
      </c>
      <c r="O165" s="22"/>
    </row>
    <row r="166" spans="1:15" outlineLevel="1" x14ac:dyDescent="0.3">
      <c r="A166" s="48" t="s">
        <v>321</v>
      </c>
      <c r="B166" s="10">
        <f t="shared" si="18"/>
        <v>0</v>
      </c>
      <c r="C166" s="22"/>
      <c r="G166" s="48" t="s">
        <v>321</v>
      </c>
      <c r="H166" s="10">
        <f t="shared" si="19"/>
        <v>0</v>
      </c>
      <c r="I166" s="22"/>
      <c r="M166" s="48" t="s">
        <v>321</v>
      </c>
      <c r="N166" s="10">
        <f t="shared" si="20"/>
        <v>0</v>
      </c>
      <c r="O166" s="22"/>
    </row>
  </sheetData>
  <mergeCells count="32">
    <mergeCell ref="A143:B143"/>
    <mergeCell ref="G143:H143"/>
    <mergeCell ref="M143:N143"/>
    <mergeCell ref="G19:H19"/>
    <mergeCell ref="A19:B19"/>
    <mergeCell ref="M19:N19"/>
    <mergeCell ref="A87:B87"/>
    <mergeCell ref="G87:H87"/>
    <mergeCell ref="M87:N87"/>
    <mergeCell ref="A31:B31"/>
    <mergeCell ref="G31:H31"/>
    <mergeCell ref="M31:N31"/>
    <mergeCell ref="A56:Q56"/>
    <mergeCell ref="A125:B125"/>
    <mergeCell ref="G125:H125"/>
    <mergeCell ref="M125:N125"/>
    <mergeCell ref="A13:B13"/>
    <mergeCell ref="A15:B15"/>
    <mergeCell ref="G13:H13"/>
    <mergeCell ref="G15:H15"/>
    <mergeCell ref="M13:N13"/>
    <mergeCell ref="M15:N15"/>
    <mergeCell ref="A127:B127"/>
    <mergeCell ref="G127:H127"/>
    <mergeCell ref="M127:N127"/>
    <mergeCell ref="A112:Q112"/>
    <mergeCell ref="A69:B69"/>
    <mergeCell ref="G69:H69"/>
    <mergeCell ref="M69:N69"/>
    <mergeCell ref="A71:B71"/>
    <mergeCell ref="G71:H71"/>
    <mergeCell ref="M71:N7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60449" r:id="rId4" name="Check Box 1">
              <controlPr defaultSize="0" autoFill="0" autoLine="0" autoPict="0">
                <anchor moveWithCells="1">
                  <from>
                    <xdr:col>1</xdr:col>
                    <xdr:colOff>220980</xdr:colOff>
                    <xdr:row>0</xdr:row>
                    <xdr:rowOff>160020</xdr:rowOff>
                  </from>
                  <to>
                    <xdr:col>1</xdr:col>
                    <xdr:colOff>746760</xdr:colOff>
                    <xdr:row>2</xdr:row>
                    <xdr:rowOff>30480</xdr:rowOff>
                  </to>
                </anchor>
              </controlPr>
            </control>
          </mc:Choice>
        </mc:AlternateContent>
        <mc:AlternateContent xmlns:mc="http://schemas.openxmlformats.org/markup-compatibility/2006">
          <mc:Choice Requires="x14">
            <control shapeId="360450" r:id="rId5" name="Check Box 2">
              <controlPr defaultSize="0" autoFill="0" autoLine="0" autoPict="0">
                <anchor moveWithCells="1">
                  <from>
                    <xdr:col>7</xdr:col>
                    <xdr:colOff>342900</xdr:colOff>
                    <xdr:row>0</xdr:row>
                    <xdr:rowOff>160020</xdr:rowOff>
                  </from>
                  <to>
                    <xdr:col>17</xdr:col>
                    <xdr:colOff>220980</xdr:colOff>
                    <xdr:row>2</xdr:row>
                    <xdr:rowOff>30480</xdr:rowOff>
                  </to>
                </anchor>
              </controlPr>
            </control>
          </mc:Choice>
        </mc:AlternateContent>
        <mc:AlternateContent xmlns:mc="http://schemas.openxmlformats.org/markup-compatibility/2006">
          <mc:Choice Requires="x14">
            <control shapeId="360451" r:id="rId6" name="Check Box 3">
              <controlPr defaultSize="0" autoFill="0" autoLine="0" autoPict="0">
                <anchor moveWithCells="1">
                  <from>
                    <xdr:col>13</xdr:col>
                    <xdr:colOff>198120</xdr:colOff>
                    <xdr:row>0</xdr:row>
                    <xdr:rowOff>152400</xdr:rowOff>
                  </from>
                  <to>
                    <xdr:col>17</xdr:col>
                    <xdr:colOff>518160</xdr:colOff>
                    <xdr:row>2</xdr:row>
                    <xdr:rowOff>22860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8"/>
  <dimension ref="A1:T54"/>
  <sheetViews>
    <sheetView zoomScale="120" zoomScaleNormal="120" workbookViewId="0">
      <selection activeCell="E8" sqref="E8"/>
    </sheetView>
  </sheetViews>
  <sheetFormatPr defaultColWidth="9.109375" defaultRowHeight="13.8" outlineLevelRow="1" outlineLevelCol="1" x14ac:dyDescent="0.3"/>
  <cols>
    <col min="1" max="1" width="26.109375" style="18" customWidth="1" outlineLevel="1"/>
    <col min="2" max="2" width="21" style="18" bestFit="1" customWidth="1" outlineLevel="1"/>
    <col min="3" max="3" width="8.88671875" style="18" bestFit="1" customWidth="1" outlineLevel="1"/>
    <col min="4" max="4" width="5.6640625" style="18" bestFit="1" customWidth="1" outlineLevel="1"/>
    <col min="5" max="5" width="14.6640625" style="18" bestFit="1" customWidth="1" outlineLevel="1"/>
    <col min="6" max="6" width="2.88671875" style="18" customWidth="1"/>
    <col min="7" max="7" width="24.5546875" style="18" customWidth="1" outlineLevel="1"/>
    <col min="8" max="8" width="14.6640625" style="18" customWidth="1" outlineLevel="1"/>
    <col min="9" max="9" width="8" style="18" customWidth="1" outlineLevel="1"/>
    <col min="10" max="10" width="5.6640625" style="18" customWidth="1" outlineLevel="1"/>
    <col min="11" max="11" width="14.6640625" style="18" customWidth="1" outlineLevel="1"/>
    <col min="12" max="12" width="3.5546875" style="18" customWidth="1"/>
    <col min="13" max="13" width="24.5546875" style="18" customWidth="1" outlineLevel="1"/>
    <col min="14" max="14" width="20.109375" style="18" customWidth="1" outlineLevel="1"/>
    <col min="15" max="15" width="8" style="18" customWidth="1" outlineLevel="1"/>
    <col min="16" max="16" width="5.6640625" style="18" customWidth="1" outlineLevel="1"/>
    <col min="17" max="17" width="14.6640625" style="18" customWidth="1" outlineLevel="1"/>
    <col min="18" max="18" width="9.109375" style="18" customWidth="1"/>
    <col min="19" max="20" width="9.109375" style="18" hidden="1" customWidth="1"/>
    <col min="21" max="16384" width="9.109375" style="18"/>
  </cols>
  <sheetData>
    <row r="1" spans="1:20" s="54" customFormat="1" x14ac:dyDescent="0.3">
      <c r="A1" s="54" t="s">
        <v>23</v>
      </c>
      <c r="B1" s="54" t="str">
        <f>'Overzicht BTA'!C3</f>
        <v>Kies de zorgvorm</v>
      </c>
      <c r="G1" s="54" t="s">
        <v>23</v>
      </c>
      <c r="H1" s="54" t="str">
        <f>'Overzicht BTA'!H3</f>
        <v>Kies de zorgvorm</v>
      </c>
      <c r="M1" s="54" t="s">
        <v>23</v>
      </c>
      <c r="N1" s="54" t="str">
        <f>'Overzicht BTA'!N3</f>
        <v>Kies de zorgvorm</v>
      </c>
    </row>
    <row r="2" spans="1:20" x14ac:dyDescent="0.3">
      <c r="A2" s="137" t="s">
        <v>315</v>
      </c>
      <c r="B2" s="222"/>
      <c r="C2" s="222"/>
      <c r="D2" s="222"/>
      <c r="E2" s="223"/>
      <c r="G2" s="137" t="s">
        <v>315</v>
      </c>
      <c r="H2" s="222"/>
      <c r="I2" s="222"/>
      <c r="J2" s="222"/>
      <c r="K2" s="223"/>
      <c r="M2" s="137" t="s">
        <v>315</v>
      </c>
      <c r="N2" s="222"/>
      <c r="O2" s="222"/>
      <c r="P2" s="222"/>
      <c r="Q2" s="223"/>
    </row>
    <row r="3" spans="1:20" x14ac:dyDescent="0.3">
      <c r="A3" s="70" t="s">
        <v>304</v>
      </c>
      <c r="B3" s="32" t="s">
        <v>275</v>
      </c>
      <c r="C3" s="32" t="s">
        <v>276</v>
      </c>
      <c r="D3" s="256">
        <v>0.75</v>
      </c>
      <c r="E3" s="32" t="s">
        <v>277</v>
      </c>
      <c r="G3" s="70" t="s">
        <v>304</v>
      </c>
      <c r="H3" s="32" t="s">
        <v>275</v>
      </c>
      <c r="I3" s="32" t="s">
        <v>276</v>
      </c>
      <c r="J3" s="256"/>
      <c r="K3" s="32" t="s">
        <v>277</v>
      </c>
      <c r="M3" s="70" t="s">
        <v>304</v>
      </c>
      <c r="N3" s="32" t="s">
        <v>275</v>
      </c>
      <c r="O3" s="32" t="s">
        <v>276</v>
      </c>
      <c r="P3" s="256"/>
      <c r="Q3" s="32" t="s">
        <v>277</v>
      </c>
    </row>
    <row r="4" spans="1:20" x14ac:dyDescent="0.3">
      <c r="A4" s="479">
        <f>IF(ISNUMBER(MATCH(A2,'Overzicht BTA'!B7:B10,0)),IF(MATCH(Bron!$B$15,'Overzicht BTA'!B7:B10,0)=1,'Overzicht BTA'!D7,IF(MATCH(Bron!B$15,'Overzicht BTA'!B7:B10,0)=2,'Overzicht BTA'!D8,IF(MATCH(Bron!$B$15,'Overzicht BTA'!B7:B10,0)=3,'Overzicht BTA'!D9,IF(MATCH(Bron!$B$15,'Overzicht BTA'!B7:B10,0)=4,'Overzicht BTA'!D10,0)))),0)</f>
        <v>0</v>
      </c>
      <c r="B4" s="910">
        <f>VLOOKUP('Overzicht BTA'!$C$3,'Capaciteiten &amp; forfaits'!$B$3:$H$76,4,FALSE)</f>
        <v>0</v>
      </c>
      <c r="C4" s="257">
        <f>'Overzicht BTA'!$D$36</f>
        <v>2.3958200000000001</v>
      </c>
      <c r="D4" s="77">
        <f>IF('Overzicht BTA'!$C$22=TRUE,1,0.75)</f>
        <v>0.75</v>
      </c>
      <c r="E4" s="258">
        <f>ROUND(A4*B4*C4*D4,2)</f>
        <v>0</v>
      </c>
      <c r="G4" s="479">
        <f>IF(ISNUMBER(MATCH(G2,'Overzicht BTA'!H7:H10,0)),IF(MATCH(Bron!$B$15,'Overzicht BTA'!H7:H10,0)=1,'Overzicht BTA'!J7,IF(MATCH(Bron!B$15,'Overzicht BTA'!H7:H10,0)=2,'Overzicht BTA'!J8,IF(MATCH(Bron!$B$15,'Overzicht BTA'!H7:H10,0)=3,'Overzicht BTA'!J9,IF(MATCH(Bron!$B$15,'Overzicht BTA'!H7:H10,0)=4,'Overzicht BTA'!J10,0)))),0)</f>
        <v>0</v>
      </c>
      <c r="H4" s="910">
        <f>VLOOKUP('Overzicht BTA'!$H$3,'Capaciteiten &amp; forfaits'!$B$3:$H$76,4,FALSE)</f>
        <v>0</v>
      </c>
      <c r="I4" s="257">
        <f>'Overzicht BTA'!$D$36</f>
        <v>2.3958200000000001</v>
      </c>
      <c r="J4" s="77">
        <f>IF('Overzicht BTA'!$C$22=TRUE,1,0.75)</f>
        <v>0.75</v>
      </c>
      <c r="K4" s="258">
        <f>ROUND(G4*H4*I4*J4,2)</f>
        <v>0</v>
      </c>
      <c r="M4" s="479">
        <f>IF(ISNUMBER(MATCH(M2,'Overzicht BTA'!N7:N10,0)),IF(MATCH(Bron!$B$15,'Overzicht BTA'!N7:N10,0)=1,'Overzicht BTA'!P7,IF(MATCH(Bron!B$15,'Overzicht BTA'!N7:N10,0)=2,'Overzicht BTA'!P8,IF(MATCH(Bron!$B$15,'Overzicht BTA'!N7:N10,0)=3,'Overzicht BTA'!P9,IF(MATCH(Bron!$B$15,'Overzicht BTA'!N7:N10,0)=4,'Overzicht BTA'!P10,0)))),0)</f>
        <v>0</v>
      </c>
      <c r="N4" s="910">
        <f>VLOOKUP('Overzicht BTA'!$N$3,'Capaciteiten &amp; forfaits'!$B$3:$H$76,4,FALSE)</f>
        <v>0</v>
      </c>
      <c r="O4" s="257">
        <f>'Overzicht BTA'!$D$36</f>
        <v>2.3958200000000001</v>
      </c>
      <c r="P4" s="77">
        <f>IF('Overzicht BTA'!$C$22=TRUE,1,0.75)</f>
        <v>0.75</v>
      </c>
      <c r="Q4" s="258">
        <f>ROUND(M4*N4*O4*P4,2)</f>
        <v>0</v>
      </c>
    </row>
    <row r="5" spans="1:20" x14ac:dyDescent="0.3">
      <c r="A5" s="259" t="str">
        <f>IF(B5=B13,A13,A14)</f>
        <v>Aankoopbedrag</v>
      </c>
      <c r="B5" s="260">
        <f>IF(B14*0.6&gt;B13,B13,B14)</f>
        <v>0</v>
      </c>
      <c r="C5" s="261"/>
      <c r="D5" s="262">
        <f>IF(B5&lt;=B14*0.6,1,0.6)</f>
        <v>1</v>
      </c>
      <c r="E5" s="263">
        <f>ROUND(B5*D5,2)</f>
        <v>0</v>
      </c>
      <c r="F5" s="51"/>
      <c r="G5" s="259" t="str">
        <f>IF(H5=H13,G13,G14)</f>
        <v>Aankoopbedrag</v>
      </c>
      <c r="H5" s="260">
        <f>IF(H14*0.6&gt;H13,H13,H14)</f>
        <v>0</v>
      </c>
      <c r="I5" s="261"/>
      <c r="J5" s="262">
        <f>IF(H5&lt;=H14*0.6,1,0.6)</f>
        <v>1</v>
      </c>
      <c r="K5" s="263">
        <f>ROUND(H5*J5,2)</f>
        <v>0</v>
      </c>
      <c r="M5" s="259" t="str">
        <f>IF(N5=N13,M13,M14)</f>
        <v>Aankoopbedrag</v>
      </c>
      <c r="N5" s="260">
        <f>IF(N14*0.6&gt;N13,N13,N14)</f>
        <v>0</v>
      </c>
      <c r="O5" s="261"/>
      <c r="P5" s="262">
        <f>IF(N5&lt;=N14*0.6,1,0.6)</f>
        <v>1</v>
      </c>
      <c r="Q5" s="263">
        <f>ROUND(N5*P5,2)</f>
        <v>0</v>
      </c>
    </row>
    <row r="6" spans="1:20" ht="15" customHeight="1" x14ac:dyDescent="0.3">
      <c r="A6" s="264"/>
      <c r="B6" s="265"/>
      <c r="C6" s="266"/>
      <c r="D6" s="232"/>
      <c r="E6" s="267"/>
      <c r="F6" s="51"/>
      <c r="G6" s="264"/>
      <c r="H6" s="265"/>
      <c r="I6" s="266"/>
      <c r="J6" s="232"/>
      <c r="K6" s="267"/>
      <c r="M6" s="264"/>
      <c r="N6" s="265"/>
      <c r="O6" s="266"/>
      <c r="P6" s="232"/>
      <c r="Q6" s="267"/>
    </row>
    <row r="7" spans="1:20" x14ac:dyDescent="0.3">
      <c r="A7" s="1249" t="s">
        <v>316</v>
      </c>
      <c r="B7" s="1250"/>
      <c r="C7" s="266"/>
      <c r="D7" s="232"/>
      <c r="E7" s="600">
        <f>MIN(E4:E5)</f>
        <v>0</v>
      </c>
      <c r="F7" s="243"/>
      <c r="G7" s="1251" t="s">
        <v>316</v>
      </c>
      <c r="H7" s="1252"/>
      <c r="I7" s="601"/>
      <c r="J7" s="232"/>
      <c r="K7" s="600">
        <f>MIN(K4:K5)</f>
        <v>0</v>
      </c>
      <c r="M7" s="1251" t="s">
        <v>316</v>
      </c>
      <c r="N7" s="1252"/>
      <c r="O7" s="601"/>
      <c r="P7" s="232"/>
      <c r="Q7" s="600">
        <f>MIN(Q4:Q5)</f>
        <v>0</v>
      </c>
    </row>
    <row r="8" spans="1:20" ht="14.4" thickBot="1" x14ac:dyDescent="0.35">
      <c r="A8" s="259" t="s">
        <v>317</v>
      </c>
      <c r="B8" s="268">
        <f>MIN(B16,B15)</f>
        <v>0</v>
      </c>
      <c r="C8" s="777">
        <v>0.6</v>
      </c>
      <c r="D8" s="259"/>
      <c r="E8" s="911">
        <f>ROUND(B8*C8,2)</f>
        <v>0</v>
      </c>
      <c r="F8" s="243"/>
      <c r="G8" s="602" t="s">
        <v>317</v>
      </c>
      <c r="H8" s="603">
        <f>MIN(H16,H15)</f>
        <v>0</v>
      </c>
      <c r="I8" s="776">
        <v>0.6</v>
      </c>
      <c r="J8" s="602"/>
      <c r="K8" s="911">
        <f>ROUND(H8*I8,2)</f>
        <v>0</v>
      </c>
      <c r="M8" s="602" t="s">
        <v>317</v>
      </c>
      <c r="N8" s="603">
        <f>MIN(N16,N15)</f>
        <v>0</v>
      </c>
      <c r="O8" s="776">
        <v>0.6</v>
      </c>
      <c r="P8" s="602"/>
      <c r="Q8" s="911">
        <f>ROUND(N8*O8,2)</f>
        <v>0</v>
      </c>
      <c r="S8" s="18">
        <f>SUM(Q8,K8,E8)</f>
        <v>0</v>
      </c>
      <c r="T8" s="813">
        <f>S8+'AK+VERB'!S14</f>
        <v>0</v>
      </c>
    </row>
    <row r="9" spans="1:20" ht="14.4" thickTop="1" x14ac:dyDescent="0.3">
      <c r="A9" s="259" t="s">
        <v>282</v>
      </c>
      <c r="B9" s="259"/>
      <c r="C9" s="259"/>
      <c r="D9" s="259"/>
      <c r="E9" s="267">
        <f>SUM(E7:E8)</f>
        <v>0</v>
      </c>
      <c r="F9" s="246"/>
      <c r="G9" s="602" t="s">
        <v>282</v>
      </c>
      <c r="H9" s="602"/>
      <c r="I9" s="602"/>
      <c r="J9" s="602"/>
      <c r="K9" s="267">
        <f>SUM(K7:K8)</f>
        <v>0</v>
      </c>
      <c r="M9" s="602" t="s">
        <v>282</v>
      </c>
      <c r="N9" s="602"/>
      <c r="O9" s="602"/>
      <c r="P9" s="602"/>
      <c r="Q9" s="267">
        <f>SUM(Q7:Q8)</f>
        <v>0</v>
      </c>
    </row>
    <row r="10" spans="1:20" x14ac:dyDescent="0.3">
      <c r="C10" s="39"/>
      <c r="I10" s="39"/>
      <c r="O10" s="39"/>
    </row>
    <row r="12" spans="1:20" x14ac:dyDescent="0.3">
      <c r="A12" s="512" t="s">
        <v>318</v>
      </c>
      <c r="B12" s="471"/>
      <c r="C12" s="22"/>
      <c r="G12" s="512" t="s">
        <v>318</v>
      </c>
      <c r="H12" s="301"/>
      <c r="I12" s="22"/>
      <c r="M12" s="512" t="s">
        <v>318</v>
      </c>
      <c r="N12" s="301"/>
      <c r="O12" s="22"/>
    </row>
    <row r="13" spans="1:20" x14ac:dyDescent="0.3">
      <c r="A13" s="269" t="s">
        <v>120</v>
      </c>
      <c r="B13" s="471">
        <f>10/6*E4</f>
        <v>0</v>
      </c>
      <c r="C13" s="270" t="s">
        <v>19</v>
      </c>
      <c r="G13" s="269" t="s">
        <v>120</v>
      </c>
      <c r="H13" s="301">
        <f>IF(ISNUMBER(MATCH($G$2,'Overzicht BTA'!$H$7:$H$10,0)),IF(MATCH(Bron!$B$15,'uitgebreide raming_gewijzigd'!$B$29:$I$29,0)=1,'uitgebreide raming_gewijzigd'!$B30,IF(MATCH(Bron!$B$15,'uitgebreide raming_gewijzigd'!$B$29:$I$29,0)=3,'uitgebreide raming_gewijzigd'!$D30,IF(MATCH(Bron!$B$15,'uitgebreide raming_gewijzigd'!$B$29:$I$29,0)=5,'uitgebreide raming_gewijzigd'!$F30,IF(MATCH(Bron!$B$15,'uitgebreide raming_gewijzigd'!$B$29:$I$29,0)=7,'uitgebreide raming_gewijzigd'!$H30,0)))),0)</f>
        <v>0</v>
      </c>
      <c r="I13" s="270" t="s">
        <v>19</v>
      </c>
      <c r="M13" s="269" t="s">
        <v>120</v>
      </c>
      <c r="N13" s="301">
        <f>IF(ISNUMBER(MATCH($M$2,'Overzicht BTA'!$N$7:$N$10,0)),IF(MATCH(Bron!$B$15,'uitgebreide raming_gewijzigd'!$B$56:$I$56,0)=1,'uitgebreide raming_gewijzigd'!$B57,IF(MATCH(Bron!$B$15,'uitgebreide raming_gewijzigd'!$B$56:$I$56,0)=3,'uitgebreide raming_gewijzigd'!$D57,IF(MATCH(Bron!$B$15,'uitgebreide raming_gewijzigd'!$B$56:$I$56,0)=5,'uitgebreide raming_gewijzigd'!$F57,IF(MATCH(Bron!$B$15,'uitgebreide raming_gewijzigd'!$B$56:$I$56,0)=7,'uitgebreide raming_gewijzigd'!$H57,0)))),0)</f>
        <v>0</v>
      </c>
      <c r="O13" s="270" t="s">
        <v>19</v>
      </c>
    </row>
    <row r="14" spans="1:20" x14ac:dyDescent="0.3">
      <c r="A14" s="269" t="s">
        <v>319</v>
      </c>
      <c r="B14" s="489">
        <f>B13</f>
        <v>0</v>
      </c>
      <c r="C14" s="270" t="s">
        <v>320</v>
      </c>
      <c r="G14" s="269" t="s">
        <v>319</v>
      </c>
      <c r="H14" s="604">
        <v>0</v>
      </c>
      <c r="I14" s="270" t="s">
        <v>320</v>
      </c>
      <c r="M14" s="269" t="s">
        <v>319</v>
      </c>
      <c r="N14" s="605">
        <v>0</v>
      </c>
      <c r="O14" s="270" t="s">
        <v>320</v>
      </c>
      <c r="S14" s="51">
        <f>N14+H14+B14</f>
        <v>0</v>
      </c>
      <c r="T14" s="814">
        <f>S14+'AK+VERB'!S52</f>
        <v>0</v>
      </c>
    </row>
    <row r="15" spans="1:20" x14ac:dyDescent="0.3">
      <c r="A15" s="269" t="s">
        <v>317</v>
      </c>
      <c r="B15" s="471">
        <f>IF(ISNUMBER(MATCH($A$2,'Overzicht BTA'!$B$7:$B$10,0)),IF(MATCH(Bron!$B$15,'uitgebreide raming_gewijzigd'!$B$2:$I$2,0)=1,'uitgebreide raming_gewijzigd'!B4,IF(MATCH(Bron!$B$15,'uitgebreide raming_gewijzigd'!$B$2:$I$2,0)=3,'uitgebreide raming_gewijzigd'!D4,IF(MATCH(Bron!$B$15,'uitgebreide raming_gewijzigd'!$B$2:$I$2,0)=5,'uitgebreide raming_gewijzigd'!F4,IF(MATCH(Bron!$B$15,'uitgebreide raming_gewijzigd'!$B$2:$I$2,0)=7,'uitgebreide raming_gewijzigd'!H4,0)))),0)</f>
        <v>0</v>
      </c>
      <c r="C15" s="22"/>
      <c r="G15" s="269" t="s">
        <v>317</v>
      </c>
      <c r="H15" s="301">
        <f>IF(ISNUMBER(MATCH($G$2,'Overzicht BTA'!$H$7:$H$10,0)),IF(MATCH(Bron!$B$15,'uitgebreide raming_gewijzigd'!$B$29:$I$29,0)=1,'uitgebreide raming_gewijzigd'!$B32,IF(MATCH(Bron!$B$15,'uitgebreide raming_gewijzigd'!$B$29:$I$29,0)=3,'uitgebreide raming_gewijzigd'!$D32,IF(MATCH(Bron!$B$15,'uitgebreide raming_gewijzigd'!$B$29:$I$29,0)=5,'uitgebreide raming_gewijzigd'!$F32,IF(MATCH(Bron!$B$15,'uitgebreide raming_gewijzigd'!$B$29:$I$29,0)=7,'uitgebreide raming_gewijzigd'!$H32,0)))),0)</f>
        <v>0</v>
      </c>
      <c r="I15" s="22"/>
      <c r="M15" s="269" t="s">
        <v>317</v>
      </c>
      <c r="N15" s="301">
        <f>IF(ISNUMBER(MATCH($M$2,'Overzicht BTA'!$N$7:$N$10,0)),IF(MATCH(Bron!$B$15,'uitgebreide raming_gewijzigd'!$B$56:$I$56,0)=1,'uitgebreide raming_gewijzigd'!$B59,IF(MATCH(Bron!$B$15,'uitgebreide raming_gewijzigd'!$B$56:$I$56,0)=3,'uitgebreide raming_gewijzigd'!$D59,IF(MATCH(Bron!$B$15,'uitgebreide raming_gewijzigd'!$B$56:$I$56,0)=5,'uitgebreide raming_gewijzigd'!$F59,IF(MATCH(Bron!$B$15,'uitgebreide raming_gewijzigd'!$B$56:$I$56,0)=7,'uitgebreide raming_gewijzigd'!$H59,0)))),0)</f>
        <v>0</v>
      </c>
      <c r="O15" s="22"/>
    </row>
    <row r="16" spans="1:20" x14ac:dyDescent="0.3">
      <c r="A16" s="269" t="s">
        <v>321</v>
      </c>
      <c r="B16" s="271">
        <f>IF(B13=0,0,B15*(B14/B13))</f>
        <v>0</v>
      </c>
      <c r="C16" s="22"/>
      <c r="G16" s="269" t="s">
        <v>321</v>
      </c>
      <c r="H16" s="271">
        <f>IF(H13=0,0,H15*(H14/H13))</f>
        <v>0</v>
      </c>
      <c r="I16" s="22"/>
      <c r="M16" s="269" t="s">
        <v>321</v>
      </c>
      <c r="N16" s="271">
        <f>IF(N13=0,0,N15*(N14/N13))</f>
        <v>0</v>
      </c>
      <c r="O16" s="22"/>
    </row>
    <row r="17" spans="1:20" x14ac:dyDescent="0.3">
      <c r="A17" s="243"/>
      <c r="B17" s="821"/>
      <c r="G17" s="243"/>
      <c r="H17" s="821"/>
      <c r="M17" s="243"/>
      <c r="N17" s="821"/>
    </row>
    <row r="18" spans="1:20" ht="18" customHeight="1" x14ac:dyDescent="0.3">
      <c r="A18" s="1223" t="s">
        <v>322</v>
      </c>
      <c r="B18" s="1223"/>
      <c r="C18" s="1223"/>
      <c r="D18" s="1223"/>
      <c r="E18" s="1223"/>
      <c r="F18" s="1223"/>
      <c r="G18" s="1223"/>
      <c r="H18" s="1223"/>
      <c r="I18" s="1223"/>
      <c r="J18" s="1223"/>
      <c r="K18" s="1223"/>
      <c r="L18" s="1223"/>
      <c r="M18" s="1223"/>
      <c r="N18" s="1223"/>
      <c r="O18" s="1223"/>
      <c r="P18" s="1223"/>
      <c r="Q18" s="1223"/>
    </row>
    <row r="19" spans="1:20" hidden="1" outlineLevel="1" x14ac:dyDescent="0.3">
      <c r="A19" s="54" t="s">
        <v>23</v>
      </c>
      <c r="B19" s="54" t="str">
        <f>B1</f>
        <v>Kies de zorgvorm</v>
      </c>
      <c r="C19" s="54"/>
      <c r="D19" s="54"/>
      <c r="E19" s="54"/>
      <c r="F19" s="54"/>
      <c r="G19" s="54" t="s">
        <v>23</v>
      </c>
      <c r="H19" s="54" t="str">
        <f>H1</f>
        <v>Kies de zorgvorm</v>
      </c>
      <c r="I19" s="54"/>
      <c r="J19" s="54"/>
      <c r="K19" s="54"/>
      <c r="L19" s="54"/>
      <c r="M19" s="54" t="s">
        <v>23</v>
      </c>
      <c r="N19" s="54" t="str">
        <f>N1</f>
        <v>Kies de zorgvorm</v>
      </c>
      <c r="O19" s="54"/>
      <c r="P19" s="54"/>
      <c r="Q19" s="54"/>
    </row>
    <row r="20" spans="1:20" hidden="1" outlineLevel="1" x14ac:dyDescent="0.3">
      <c r="A20" s="137" t="s">
        <v>315</v>
      </c>
      <c r="B20" s="222"/>
      <c r="C20" s="222"/>
      <c r="D20" s="222"/>
      <c r="E20" s="223"/>
      <c r="G20" s="137" t="s">
        <v>315</v>
      </c>
      <c r="H20" s="222"/>
      <c r="I20" s="222"/>
      <c r="J20" s="222"/>
      <c r="K20" s="223"/>
      <c r="M20" s="137" t="s">
        <v>315</v>
      </c>
      <c r="N20" s="222"/>
      <c r="O20" s="222"/>
      <c r="P20" s="222"/>
      <c r="Q20" s="223"/>
    </row>
    <row r="21" spans="1:20" hidden="1" outlineLevel="1" x14ac:dyDescent="0.3">
      <c r="A21" s="70" t="s">
        <v>304</v>
      </c>
      <c r="B21" s="32" t="s">
        <v>275</v>
      </c>
      <c r="C21" s="32" t="s">
        <v>276</v>
      </c>
      <c r="D21" s="256">
        <v>0.75</v>
      </c>
      <c r="E21" s="32" t="s">
        <v>277</v>
      </c>
      <c r="G21" s="70" t="s">
        <v>304</v>
      </c>
      <c r="H21" s="32" t="s">
        <v>275</v>
      </c>
      <c r="I21" s="32" t="s">
        <v>276</v>
      </c>
      <c r="J21" s="256"/>
      <c r="K21" s="32" t="s">
        <v>277</v>
      </c>
      <c r="M21" s="70" t="s">
        <v>304</v>
      </c>
      <c r="N21" s="32" t="s">
        <v>275</v>
      </c>
      <c r="O21" s="32" t="s">
        <v>276</v>
      </c>
      <c r="P21" s="256"/>
      <c r="Q21" s="32" t="s">
        <v>277</v>
      </c>
    </row>
    <row r="22" spans="1:20" hidden="1" outlineLevel="1" x14ac:dyDescent="0.3">
      <c r="A22" s="479">
        <f>IF(ISNUMBER(MATCH(A2,'Overzicht BTA'!B51:B54,0)),IF(MATCH(Bron!$B$15,'Overzicht BTA'!B51:B54,0)=1,'Overzicht BTA'!D51,IF(MATCH(Bron!B$15,'Overzicht BTA'!B51:B54,0)=2,'Overzicht BTA'!D52,IF(MATCH(Bron!$B$15,'Overzicht BTA'!B51:B54,0)=3,'Overzicht BTA'!D53,IF(MATCH(Bron!$B$15,'Overzicht BTA'!B51:B54,0)=4,'Overzicht BTA'!D54,0)))),0)</f>
        <v>0</v>
      </c>
      <c r="B22" s="910">
        <f>VLOOKUP('Overzicht BTA'!$C$3,'Capaciteiten &amp; forfaits'!$B$3:$H$76,4,FALSE)</f>
        <v>0</v>
      </c>
      <c r="C22" s="257">
        <f>'Overzicht BTA'!$D$38</f>
        <v>2.3958200000000001</v>
      </c>
      <c r="D22" s="77">
        <f>IF('Overzicht BTA'!$C$22=TRUE,1,0.75)</f>
        <v>0.75</v>
      </c>
      <c r="E22" s="258">
        <f>ROUND(A22*B22*C22*D22,2)</f>
        <v>0</v>
      </c>
      <c r="G22" s="479">
        <f>IF(ISNUMBER(MATCH(G2,'Overzicht BTA'!H51:H54,0)),IF(MATCH(Bron!$B$15,'Overzicht BTA'!H51:H54,0)=1,'Overzicht BTA'!J51,IF(MATCH(Bron!B$15,'Overzicht BTA'!H51:H54,0)=2,'Overzicht BTA'!J52,IF(MATCH(Bron!$B$15,'Overzicht BTA'!H51:H54,0)=3,'Overzicht BTA'!J53,IF(MATCH(Bron!$B$15,'Overzicht BTA'!H51:H54,0)=4,'Overzicht BTA'!J54,0)))),0)</f>
        <v>0</v>
      </c>
      <c r="H22" s="910">
        <f>VLOOKUP('Overzicht BTA'!$H$3,'Capaciteiten &amp; forfaits'!$B$3:$H$76,4,FALSE)</f>
        <v>0</v>
      </c>
      <c r="I22" s="257">
        <f>'Overzicht BTA'!$D$38</f>
        <v>2.3958200000000001</v>
      </c>
      <c r="J22" s="77">
        <f>IF('Overzicht BTA'!$C$22=TRUE,1,0.75)</f>
        <v>0.75</v>
      </c>
      <c r="K22" s="258">
        <f>ROUND(G22*H22*I22*J22,2)</f>
        <v>0</v>
      </c>
      <c r="M22" s="479">
        <f>IF(ISNUMBER(MATCH(M2,'Overzicht BTA'!N51:N54,0)),IF(MATCH(Bron!$B$15,'Overzicht BTA'!N51:N54,0)=1,'Overzicht BTA'!P51,IF(MATCH(Bron!B$15,'Overzicht BTA'!N51:N54,0)=2,'Overzicht BTA'!P52,IF(MATCH(Bron!$B$15,'Overzicht BTA'!N51:N54,0)=3,'Overzicht BTA'!P53,IF(MATCH(Bron!$B$15,'Overzicht BTA'!N51:N54,0)=4,'Overzicht BTA'!P54,0)))),0)</f>
        <v>0</v>
      </c>
      <c r="N22" s="910">
        <f>VLOOKUP('Overzicht BTA'!$N$3,'Capaciteiten &amp; forfaits'!$B$3:$H$76,4,FALSE)</f>
        <v>0</v>
      </c>
      <c r="O22" s="257">
        <f>'Overzicht BTA'!$D$38</f>
        <v>2.3958200000000001</v>
      </c>
      <c r="P22" s="77">
        <f>IF('Overzicht BTA'!$C$22=TRUE,1,0.75)</f>
        <v>0.75</v>
      </c>
      <c r="Q22" s="258">
        <f>ROUND(M22*N22*O22*P22,2)</f>
        <v>0</v>
      </c>
    </row>
    <row r="23" spans="1:20" hidden="1" outlineLevel="1" x14ac:dyDescent="0.3">
      <c r="A23" s="259" t="str">
        <f>IF(B23=B31,A31,A32)</f>
        <v>Aankoopbedrag</v>
      </c>
      <c r="B23" s="260">
        <f>IF(B32*0.6&gt;B31,B31,B32)</f>
        <v>0</v>
      </c>
      <c r="C23" s="261"/>
      <c r="D23" s="262">
        <f>IF(B23=B31,1,0.6)</f>
        <v>1</v>
      </c>
      <c r="E23" s="263">
        <f>ROUND(B23*D23,2)</f>
        <v>0</v>
      </c>
      <c r="F23" s="51"/>
      <c r="G23" s="259" t="str">
        <f>IF(H23=H31,G31,G32)</f>
        <v>Aankoopbedrag</v>
      </c>
      <c r="H23" s="260">
        <f>IF(H32*0.6&gt;H31,H31,H32)</f>
        <v>0</v>
      </c>
      <c r="I23" s="261"/>
      <c r="J23" s="262">
        <f>IF(H23=H31,1,0.6)</f>
        <v>1</v>
      </c>
      <c r="K23" s="263">
        <f>ROUND(H23*J23,2)</f>
        <v>0</v>
      </c>
      <c r="M23" s="259" t="str">
        <f>IF(N23=N31,M31,M32)</f>
        <v>Aankoopbedrag</v>
      </c>
      <c r="N23" s="260">
        <f>IF(N32*0.6&gt;N31,N31,N32)</f>
        <v>0</v>
      </c>
      <c r="O23" s="261"/>
      <c r="P23" s="262">
        <f>IF(N23=N31,1,0.6)</f>
        <v>1</v>
      </c>
      <c r="Q23" s="263">
        <f>ROUND(N23*P23,2)</f>
        <v>0</v>
      </c>
    </row>
    <row r="24" spans="1:20" hidden="1" outlineLevel="1" x14ac:dyDescent="0.3">
      <c r="A24" s="264"/>
      <c r="B24" s="265"/>
      <c r="C24" s="266"/>
      <c r="D24" s="232"/>
      <c r="E24" s="267"/>
      <c r="F24" s="51"/>
      <c r="G24" s="264"/>
      <c r="H24" s="265"/>
      <c r="I24" s="266"/>
      <c r="J24" s="232"/>
      <c r="K24" s="267"/>
      <c r="M24" s="264"/>
      <c r="N24" s="265"/>
      <c r="O24" s="266"/>
      <c r="P24" s="232"/>
      <c r="Q24" s="267"/>
    </row>
    <row r="25" spans="1:20" hidden="1" outlineLevel="1" x14ac:dyDescent="0.3">
      <c r="A25" s="1249" t="s">
        <v>316</v>
      </c>
      <c r="B25" s="1250"/>
      <c r="C25" s="266"/>
      <c r="D25" s="232"/>
      <c r="E25" s="600">
        <f>MIN(E22:E23)</f>
        <v>0</v>
      </c>
      <c r="F25" s="243"/>
      <c r="G25" s="1249" t="s">
        <v>316</v>
      </c>
      <c r="H25" s="1250"/>
      <c r="I25" s="266"/>
      <c r="J25" s="232"/>
      <c r="K25" s="600">
        <f>MIN(K22:K23)</f>
        <v>0</v>
      </c>
      <c r="M25" s="1249" t="s">
        <v>316</v>
      </c>
      <c r="N25" s="1250"/>
      <c r="O25" s="266"/>
      <c r="P25" s="232"/>
      <c r="Q25" s="600">
        <f>MIN(Q22:Q23)</f>
        <v>0</v>
      </c>
    </row>
    <row r="26" spans="1:20" ht="14.4" hidden="1" outlineLevel="1" thickBot="1" x14ac:dyDescent="0.35">
      <c r="A26" s="259" t="s">
        <v>317</v>
      </c>
      <c r="B26" s="268">
        <f>MIN(B34,B33)</f>
        <v>0</v>
      </c>
      <c r="C26" s="777">
        <v>0.6</v>
      </c>
      <c r="D26" s="259"/>
      <c r="E26" s="911">
        <f>ROUND(B26*C26,2)</f>
        <v>0</v>
      </c>
      <c r="F26" s="243"/>
      <c r="G26" s="259" t="s">
        <v>317</v>
      </c>
      <c r="H26" s="268">
        <f>MIN(H34,H33)</f>
        <v>0</v>
      </c>
      <c r="I26" s="777">
        <v>0.6</v>
      </c>
      <c r="J26" s="259"/>
      <c r="K26" s="911">
        <f>ROUND(H26*I26,2)</f>
        <v>0</v>
      </c>
      <c r="M26" s="259" t="s">
        <v>317</v>
      </c>
      <c r="N26" s="268">
        <f>MIN(N34,N33)</f>
        <v>0</v>
      </c>
      <c r="O26" s="777">
        <v>0.6</v>
      </c>
      <c r="P26" s="259"/>
      <c r="Q26" s="911">
        <f>ROUND(N26*O26,2)</f>
        <v>0</v>
      </c>
    </row>
    <row r="27" spans="1:20" ht="14.4" hidden="1" outlineLevel="1" thickTop="1" x14ac:dyDescent="0.3">
      <c r="A27" s="259" t="s">
        <v>282</v>
      </c>
      <c r="B27" s="259"/>
      <c r="C27" s="259"/>
      <c r="D27" s="259"/>
      <c r="E27" s="267">
        <f>SUM(E25:E26)</f>
        <v>0</v>
      </c>
      <c r="F27" s="246"/>
      <c r="G27" s="259" t="s">
        <v>282</v>
      </c>
      <c r="H27" s="259"/>
      <c r="I27" s="259"/>
      <c r="J27" s="259"/>
      <c r="K27" s="267">
        <f>SUM(K25:K26)</f>
        <v>0</v>
      </c>
      <c r="M27" s="259" t="s">
        <v>282</v>
      </c>
      <c r="N27" s="259"/>
      <c r="O27" s="259"/>
      <c r="P27" s="259"/>
      <c r="Q27" s="267">
        <f>SUM(Q25:Q26)</f>
        <v>0</v>
      </c>
    </row>
    <row r="28" spans="1:20" hidden="1" outlineLevel="1" x14ac:dyDescent="0.3">
      <c r="C28" s="39"/>
      <c r="I28" s="39"/>
      <c r="O28" s="39"/>
    </row>
    <row r="29" spans="1:20" hidden="1" outlineLevel="1" x14ac:dyDescent="0.3"/>
    <row r="30" spans="1:20" hidden="1" outlineLevel="1" x14ac:dyDescent="0.3">
      <c r="A30" s="512" t="s">
        <v>318</v>
      </c>
      <c r="B30" s="34"/>
      <c r="C30" s="22"/>
      <c r="G30" s="512" t="s">
        <v>318</v>
      </c>
      <c r="H30" s="34"/>
      <c r="I30" s="22"/>
      <c r="M30" s="512" t="s">
        <v>318</v>
      </c>
      <c r="N30" s="34"/>
      <c r="O30" s="22"/>
    </row>
    <row r="31" spans="1:20" hidden="1" outlineLevel="1" x14ac:dyDescent="0.3">
      <c r="A31" s="269" t="s">
        <v>120</v>
      </c>
      <c r="B31" s="34">
        <f>B13</f>
        <v>0</v>
      </c>
      <c r="C31" s="270" t="s">
        <v>19</v>
      </c>
      <c r="G31" s="269" t="s">
        <v>120</v>
      </c>
      <c r="H31" s="34">
        <f>H13</f>
        <v>0</v>
      </c>
      <c r="I31" s="270" t="s">
        <v>19</v>
      </c>
      <c r="M31" s="269" t="s">
        <v>120</v>
      </c>
      <c r="N31" s="34">
        <f>N13</f>
        <v>0</v>
      </c>
      <c r="O31" s="270" t="s">
        <v>19</v>
      </c>
    </row>
    <row r="32" spans="1:20" hidden="1" outlineLevel="1" x14ac:dyDescent="0.3">
      <c r="A32" s="269" t="s">
        <v>319</v>
      </c>
      <c r="B32" s="34">
        <f t="shared" ref="B32:B34" si="0">B14</f>
        <v>0</v>
      </c>
      <c r="C32" s="270" t="s">
        <v>320</v>
      </c>
      <c r="G32" s="269" t="s">
        <v>319</v>
      </c>
      <c r="H32" s="34">
        <f t="shared" ref="H32:H34" si="1">H14</f>
        <v>0</v>
      </c>
      <c r="I32" s="270" t="s">
        <v>320</v>
      </c>
      <c r="M32" s="269" t="s">
        <v>319</v>
      </c>
      <c r="N32" s="34">
        <f t="shared" ref="N32:N34" si="2">N14</f>
        <v>0</v>
      </c>
      <c r="O32" s="270" t="s">
        <v>320</v>
      </c>
      <c r="S32" s="51">
        <f>N32+H32+B32</f>
        <v>0</v>
      </c>
      <c r="T32" s="814">
        <f>S32+'AK+VERB'!S99</f>
        <v>0</v>
      </c>
    </row>
    <row r="33" spans="1:17" hidden="1" outlineLevel="1" x14ac:dyDescent="0.3">
      <c r="A33" s="269" t="s">
        <v>317</v>
      </c>
      <c r="B33" s="34">
        <f t="shared" si="0"/>
        <v>0</v>
      </c>
      <c r="C33" s="22"/>
      <c r="G33" s="269" t="s">
        <v>317</v>
      </c>
      <c r="H33" s="34">
        <f t="shared" si="1"/>
        <v>0</v>
      </c>
      <c r="I33" s="22"/>
      <c r="M33" s="269" t="s">
        <v>317</v>
      </c>
      <c r="N33" s="34">
        <f t="shared" si="2"/>
        <v>0</v>
      </c>
      <c r="O33" s="22"/>
    </row>
    <row r="34" spans="1:17" hidden="1" outlineLevel="1" x14ac:dyDescent="0.3">
      <c r="A34" s="269" t="s">
        <v>321</v>
      </c>
      <c r="B34" s="34">
        <f t="shared" si="0"/>
        <v>0</v>
      </c>
      <c r="C34" s="22"/>
      <c r="G34" s="269" t="s">
        <v>321</v>
      </c>
      <c r="H34" s="34">
        <f t="shared" si="1"/>
        <v>0</v>
      </c>
      <c r="I34" s="22"/>
      <c r="M34" s="269" t="s">
        <v>321</v>
      </c>
      <c r="N34" s="34">
        <f t="shared" si="2"/>
        <v>0</v>
      </c>
      <c r="O34" s="22"/>
    </row>
    <row r="35" spans="1:17" collapsed="1" x14ac:dyDescent="0.3"/>
    <row r="37" spans="1:17" ht="18" customHeight="1" x14ac:dyDescent="0.3">
      <c r="A37" s="1223" t="s">
        <v>92</v>
      </c>
      <c r="B37" s="1223"/>
      <c r="C37" s="1223"/>
      <c r="D37" s="1223"/>
      <c r="E37" s="1223"/>
      <c r="F37" s="1223"/>
      <c r="G37" s="1223"/>
      <c r="H37" s="1223"/>
      <c r="I37" s="1223"/>
      <c r="J37" s="1223"/>
      <c r="K37" s="1223"/>
      <c r="L37" s="1223"/>
      <c r="M37" s="1223"/>
      <c r="N37" s="1223"/>
      <c r="O37" s="1223"/>
      <c r="P37" s="1223"/>
      <c r="Q37" s="1223"/>
    </row>
    <row r="38" spans="1:17" hidden="1" outlineLevel="1" x14ac:dyDescent="0.3">
      <c r="A38" s="54" t="s">
        <v>23</v>
      </c>
      <c r="B38" s="54" t="str">
        <f>B1</f>
        <v>Kies de zorgvorm</v>
      </c>
      <c r="C38" s="54"/>
      <c r="D38" s="54"/>
      <c r="E38" s="54"/>
      <c r="F38" s="54"/>
      <c r="G38" s="54" t="s">
        <v>23</v>
      </c>
      <c r="H38" s="54" t="str">
        <f>H1</f>
        <v>Kies de zorgvorm</v>
      </c>
      <c r="I38" s="54"/>
      <c r="J38" s="54"/>
      <c r="K38" s="54"/>
      <c r="L38" s="54"/>
      <c r="M38" s="54" t="s">
        <v>23</v>
      </c>
      <c r="N38" s="54" t="str">
        <f>N1</f>
        <v>Kies de zorgvorm</v>
      </c>
      <c r="O38" s="54"/>
      <c r="P38" s="54"/>
      <c r="Q38" s="54"/>
    </row>
    <row r="39" spans="1:17" hidden="1" outlineLevel="1" x14ac:dyDescent="0.3">
      <c r="A39" s="137" t="s">
        <v>315</v>
      </c>
      <c r="B39" s="222"/>
      <c r="C39" s="222"/>
      <c r="D39" s="222"/>
      <c r="E39" s="223"/>
      <c r="G39" s="137" t="s">
        <v>315</v>
      </c>
      <c r="H39" s="222"/>
      <c r="I39" s="222"/>
      <c r="J39" s="222"/>
      <c r="K39" s="223"/>
      <c r="M39" s="137" t="s">
        <v>315</v>
      </c>
      <c r="N39" s="222"/>
      <c r="O39" s="222"/>
      <c r="P39" s="222"/>
      <c r="Q39" s="223"/>
    </row>
    <row r="40" spans="1:17" hidden="1" outlineLevel="1" x14ac:dyDescent="0.3">
      <c r="A40" s="70" t="s">
        <v>304</v>
      </c>
      <c r="B40" s="32" t="s">
        <v>275</v>
      </c>
      <c r="C40" s="32" t="s">
        <v>276</v>
      </c>
      <c r="D40" s="256">
        <v>0.75</v>
      </c>
      <c r="E40" s="32" t="s">
        <v>277</v>
      </c>
      <c r="G40" s="70" t="s">
        <v>304</v>
      </c>
      <c r="H40" s="32" t="s">
        <v>275</v>
      </c>
      <c r="I40" s="32" t="s">
        <v>276</v>
      </c>
      <c r="J40" s="256"/>
      <c r="K40" s="32" t="s">
        <v>277</v>
      </c>
      <c r="M40" s="70" t="s">
        <v>304</v>
      </c>
      <c r="N40" s="32" t="s">
        <v>275</v>
      </c>
      <c r="O40" s="32" t="s">
        <v>276</v>
      </c>
      <c r="P40" s="256"/>
      <c r="Q40" s="32" t="s">
        <v>277</v>
      </c>
    </row>
    <row r="41" spans="1:17" hidden="1" outlineLevel="1" x14ac:dyDescent="0.3">
      <c r="A41" s="479">
        <f>A4</f>
        <v>0</v>
      </c>
      <c r="B41" s="910">
        <f>B4</f>
        <v>0</v>
      </c>
      <c r="C41" s="257">
        <f>'Overzicht BTA'!$D$38</f>
        <v>2.3958200000000001</v>
      </c>
      <c r="D41" s="77">
        <f>IF('Overzicht BTA'!$C$22=TRUE,1,0.75)</f>
        <v>0.75</v>
      </c>
      <c r="E41" s="258">
        <f>ROUND(A41*B41*C41*D41,2)</f>
        <v>0</v>
      </c>
      <c r="G41" s="479">
        <f>G4</f>
        <v>0</v>
      </c>
      <c r="H41" s="910">
        <f>H4</f>
        <v>0</v>
      </c>
      <c r="I41" s="257">
        <f>'Overzicht BTA'!$D$38</f>
        <v>2.3958200000000001</v>
      </c>
      <c r="J41" s="77">
        <f>IF('Overzicht BTA'!$C$22=TRUE,1,0.75)</f>
        <v>0.75</v>
      </c>
      <c r="K41" s="258">
        <f>ROUND(G41*H41*I41*J41,2)</f>
        <v>0</v>
      </c>
      <c r="M41" s="479">
        <f>M4</f>
        <v>0</v>
      </c>
      <c r="N41" s="910">
        <f>N4</f>
        <v>0</v>
      </c>
      <c r="O41" s="257">
        <f>'Overzicht BTA'!$D$38</f>
        <v>2.3958200000000001</v>
      </c>
      <c r="P41" s="77">
        <f>IF('Overzicht BTA'!$C$22=TRUE,1,0.75)</f>
        <v>0.75</v>
      </c>
      <c r="Q41" s="258">
        <f>ROUND(M41*N41*O41*P41,2)</f>
        <v>0</v>
      </c>
    </row>
    <row r="42" spans="1:17" hidden="1" outlineLevel="1" x14ac:dyDescent="0.3">
      <c r="A42" s="259" t="str">
        <f>IF(B42=B50,A50,A51)</f>
        <v>Aankoopbedrag</v>
      </c>
      <c r="B42" s="260">
        <f>IF(B51*0.6&gt;B50,B50,B51)</f>
        <v>0</v>
      </c>
      <c r="C42" s="261"/>
      <c r="D42" s="262">
        <f>IF(B42=B50,1,0.6)</f>
        <v>1</v>
      </c>
      <c r="E42" s="263">
        <f>ROUND(B42*D42,2)</f>
        <v>0</v>
      </c>
      <c r="F42" s="51"/>
      <c r="G42" s="259" t="str">
        <f>IF(H42=H50,G50,G51)</f>
        <v>Aankoopbedrag</v>
      </c>
      <c r="H42" s="260">
        <f>IF(H51*0.6&gt;H50,H50,H51)</f>
        <v>0</v>
      </c>
      <c r="I42" s="261"/>
      <c r="J42" s="262">
        <f>IF(H42=H50,1,0.6)</f>
        <v>1</v>
      </c>
      <c r="K42" s="263">
        <f>ROUND(H42*J42,2)</f>
        <v>0</v>
      </c>
      <c r="M42" s="259" t="str">
        <f>IF(N42=N50,M50,M51)</f>
        <v>Aankoopbedrag</v>
      </c>
      <c r="N42" s="260">
        <f>IF(N51*0.6&gt;N50,N50,N51)</f>
        <v>0</v>
      </c>
      <c r="O42" s="261"/>
      <c r="P42" s="262">
        <f>IF(N42=N50,1,0.6)</f>
        <v>1</v>
      </c>
      <c r="Q42" s="263">
        <f>ROUND(N42*P42,2)</f>
        <v>0</v>
      </c>
    </row>
    <row r="43" spans="1:17" hidden="1" outlineLevel="1" x14ac:dyDescent="0.3">
      <c r="A43" s="264"/>
      <c r="B43" s="265"/>
      <c r="C43" s="266"/>
      <c r="D43" s="232"/>
      <c r="E43" s="267"/>
      <c r="F43" s="51"/>
      <c r="G43" s="264"/>
      <c r="H43" s="265"/>
      <c r="I43" s="266"/>
      <c r="J43" s="232"/>
      <c r="K43" s="267"/>
      <c r="M43" s="264"/>
      <c r="N43" s="265"/>
      <c r="O43" s="266"/>
      <c r="P43" s="232"/>
      <c r="Q43" s="267"/>
    </row>
    <row r="44" spans="1:17" hidden="1" outlineLevel="1" x14ac:dyDescent="0.3">
      <c r="A44" s="1249" t="s">
        <v>316</v>
      </c>
      <c r="B44" s="1250"/>
      <c r="C44" s="266"/>
      <c r="D44" s="232"/>
      <c r="E44" s="600">
        <f>MIN(E41:E42)</f>
        <v>0</v>
      </c>
      <c r="F44" s="243"/>
      <c r="G44" s="1249" t="s">
        <v>316</v>
      </c>
      <c r="H44" s="1250"/>
      <c r="I44" s="266"/>
      <c r="J44" s="232"/>
      <c r="K44" s="600">
        <f>MIN(K41:K42)</f>
        <v>0</v>
      </c>
      <c r="M44" s="1249" t="s">
        <v>316</v>
      </c>
      <c r="N44" s="1250"/>
      <c r="O44" s="266"/>
      <c r="P44" s="232"/>
      <c r="Q44" s="600">
        <f>MIN(Q41:Q42)</f>
        <v>0</v>
      </c>
    </row>
    <row r="45" spans="1:17" ht="14.4" hidden="1" outlineLevel="1" thickBot="1" x14ac:dyDescent="0.35">
      <c r="A45" s="259" t="s">
        <v>317</v>
      </c>
      <c r="B45" s="268">
        <f>MIN(B53,B52)</f>
        <v>0</v>
      </c>
      <c r="C45" s="777">
        <v>0.6</v>
      </c>
      <c r="D45" s="259"/>
      <c r="E45" s="911">
        <f>ROUND(B45*C45,2)</f>
        <v>0</v>
      </c>
      <c r="F45" s="243"/>
      <c r="G45" s="259" t="s">
        <v>317</v>
      </c>
      <c r="H45" s="268">
        <f>MIN(H53,H52)</f>
        <v>0</v>
      </c>
      <c r="I45" s="777">
        <v>0.6</v>
      </c>
      <c r="J45" s="259"/>
      <c r="K45" s="911">
        <f>ROUND(H45*I45,2)</f>
        <v>0</v>
      </c>
      <c r="M45" s="259" t="s">
        <v>317</v>
      </c>
      <c r="N45" s="268">
        <f>MIN(N53,N52)</f>
        <v>0</v>
      </c>
      <c r="O45" s="777">
        <v>0.6</v>
      </c>
      <c r="P45" s="259"/>
      <c r="Q45" s="911">
        <f>ROUND(N45*O45,2)</f>
        <v>0</v>
      </c>
    </row>
    <row r="46" spans="1:17" ht="14.4" hidden="1" outlineLevel="1" thickTop="1" x14ac:dyDescent="0.3">
      <c r="A46" s="259" t="s">
        <v>282</v>
      </c>
      <c r="B46" s="259"/>
      <c r="C46" s="259"/>
      <c r="D46" s="259"/>
      <c r="E46" s="267">
        <f>SUM(E44:E45)</f>
        <v>0</v>
      </c>
      <c r="F46" s="246"/>
      <c r="G46" s="259" t="s">
        <v>282</v>
      </c>
      <c r="H46" s="259"/>
      <c r="I46" s="259"/>
      <c r="J46" s="259"/>
      <c r="K46" s="267">
        <f>SUM(K44:K45)</f>
        <v>0</v>
      </c>
      <c r="M46" s="259" t="s">
        <v>282</v>
      </c>
      <c r="N46" s="259"/>
      <c r="O46" s="259"/>
      <c r="P46" s="259"/>
      <c r="Q46" s="267">
        <f>SUM(Q44:Q45)</f>
        <v>0</v>
      </c>
    </row>
    <row r="47" spans="1:17" hidden="1" outlineLevel="1" x14ac:dyDescent="0.3">
      <c r="C47" s="39"/>
      <c r="I47" s="39"/>
      <c r="O47" s="39"/>
    </row>
    <row r="48" spans="1:17" hidden="1" outlineLevel="1" x14ac:dyDescent="0.3"/>
    <row r="49" spans="1:15" hidden="1" outlineLevel="1" x14ac:dyDescent="0.3">
      <c r="A49" s="512" t="s">
        <v>318</v>
      </c>
      <c r="B49" s="34"/>
      <c r="C49" s="22"/>
      <c r="G49" s="512" t="s">
        <v>318</v>
      </c>
      <c r="H49" s="34"/>
      <c r="I49" s="22"/>
      <c r="M49" s="512" t="s">
        <v>318</v>
      </c>
      <c r="N49" s="34"/>
      <c r="O49" s="22"/>
    </row>
    <row r="50" spans="1:15" hidden="1" outlineLevel="1" x14ac:dyDescent="0.3">
      <c r="A50" s="269" t="s">
        <v>120</v>
      </c>
      <c r="B50" s="34">
        <f t="shared" ref="B50:B52" si="3">B13</f>
        <v>0</v>
      </c>
      <c r="C50" s="270" t="s">
        <v>19</v>
      </c>
      <c r="G50" s="269" t="s">
        <v>120</v>
      </c>
      <c r="H50" s="34">
        <f t="shared" ref="H50:H52" si="4">H13</f>
        <v>0</v>
      </c>
      <c r="I50" s="270" t="s">
        <v>19</v>
      </c>
      <c r="M50" s="269" t="s">
        <v>120</v>
      </c>
      <c r="N50" s="34">
        <f t="shared" ref="N50:N52" si="5">N13</f>
        <v>0</v>
      </c>
      <c r="O50" s="270" t="s">
        <v>19</v>
      </c>
    </row>
    <row r="51" spans="1:15" hidden="1" outlineLevel="1" x14ac:dyDescent="0.3">
      <c r="A51" s="269" t="s">
        <v>319</v>
      </c>
      <c r="B51" s="34">
        <f t="shared" si="3"/>
        <v>0</v>
      </c>
      <c r="C51" s="270" t="s">
        <v>320</v>
      </c>
      <c r="G51" s="269" t="s">
        <v>319</v>
      </c>
      <c r="H51" s="34">
        <f t="shared" si="4"/>
        <v>0</v>
      </c>
      <c r="I51" s="270" t="s">
        <v>320</v>
      </c>
      <c r="M51" s="269" t="s">
        <v>319</v>
      </c>
      <c r="N51" s="34">
        <f t="shared" si="5"/>
        <v>0</v>
      </c>
      <c r="O51" s="270" t="s">
        <v>320</v>
      </c>
    </row>
    <row r="52" spans="1:15" hidden="1" outlineLevel="1" x14ac:dyDescent="0.3">
      <c r="A52" s="269" t="s">
        <v>317</v>
      </c>
      <c r="B52" s="34">
        <f t="shared" si="3"/>
        <v>0</v>
      </c>
      <c r="C52" s="22"/>
      <c r="G52" s="269" t="s">
        <v>317</v>
      </c>
      <c r="H52" s="34">
        <f t="shared" si="4"/>
        <v>0</v>
      </c>
      <c r="I52" s="22"/>
      <c r="M52" s="269" t="s">
        <v>317</v>
      </c>
      <c r="N52" s="34">
        <f t="shared" si="5"/>
        <v>0</v>
      </c>
      <c r="O52" s="22"/>
    </row>
    <row r="53" spans="1:15" hidden="1" outlineLevel="1" x14ac:dyDescent="0.3">
      <c r="A53" s="269" t="s">
        <v>321</v>
      </c>
      <c r="B53" s="271">
        <f>IF(B50=0,0,B52*(B51/B50))</f>
        <v>0</v>
      </c>
      <c r="C53" s="22"/>
      <c r="G53" s="269" t="s">
        <v>321</v>
      </c>
      <c r="H53" s="271">
        <f>IF(H50=0,0,H52*(H51/H50))</f>
        <v>0</v>
      </c>
      <c r="I53" s="22"/>
      <c r="M53" s="269" t="s">
        <v>321</v>
      </c>
      <c r="N53" s="271">
        <f>IF(N50=0,0,N52*(N51/N50))</f>
        <v>0</v>
      </c>
      <c r="O53" s="22"/>
    </row>
    <row r="54" spans="1:15" collapsed="1" x14ac:dyDescent="0.3"/>
  </sheetData>
  <mergeCells count="11">
    <mergeCell ref="A7:B7"/>
    <mergeCell ref="G7:H7"/>
    <mergeCell ref="M7:N7"/>
    <mergeCell ref="A44:B44"/>
    <mergeCell ref="G44:H44"/>
    <mergeCell ref="M44:N44"/>
    <mergeCell ref="A37:Q37"/>
    <mergeCell ref="A18:Q18"/>
    <mergeCell ref="A25:B25"/>
    <mergeCell ref="G25:H25"/>
    <mergeCell ref="M25:N25"/>
  </mergeCell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39B8F-6783-420F-941E-9AD18FEC0E3C}">
  <sheetPr codeName="Blad24"/>
  <dimension ref="A1:W75"/>
  <sheetViews>
    <sheetView zoomScale="85" zoomScaleNormal="85" workbookViewId="0">
      <pane ySplit="1" topLeftCell="A5" activePane="bottomLeft" state="frozen"/>
      <selection activeCell="D8" sqref="D8"/>
      <selection pane="bottomLeft" activeCell="T33" sqref="T33"/>
    </sheetView>
  </sheetViews>
  <sheetFormatPr defaultColWidth="9.109375" defaultRowHeight="13.2" outlineLevelRow="2" x14ac:dyDescent="0.25"/>
  <cols>
    <col min="1" max="1" width="43.88671875" style="59" customWidth="1"/>
    <col min="2" max="2" width="15.6640625" style="59" hidden="1" customWidth="1"/>
    <col min="3" max="3" width="6.5546875" style="59" hidden="1" customWidth="1"/>
    <col min="4" max="4" width="15.6640625" style="59" hidden="1" customWidth="1"/>
    <col min="5" max="5" width="5.33203125" style="59" hidden="1" customWidth="1"/>
    <col min="6" max="6" width="18.33203125" style="59" hidden="1" customWidth="1"/>
    <col min="7" max="7" width="7.6640625" style="59" hidden="1" customWidth="1"/>
    <col min="8" max="8" width="31" style="59" hidden="1" customWidth="1"/>
    <col min="9" max="9" width="5.33203125" style="59" hidden="1" customWidth="1"/>
    <col min="10" max="10" width="21.6640625" style="59" hidden="1" customWidth="1"/>
    <col min="11" max="11" width="7.6640625" style="59" hidden="1" customWidth="1"/>
    <col min="12" max="12" width="23.88671875" style="59" hidden="1" customWidth="1"/>
    <col min="13" max="13" width="7.6640625" style="59" hidden="1" customWidth="1"/>
    <col min="14" max="14" width="15.88671875" style="59" hidden="1" customWidth="1"/>
    <col min="15" max="15" width="7.6640625" style="59" hidden="1" customWidth="1"/>
    <col min="16" max="16" width="15.6640625" style="59" customWidth="1"/>
    <col min="17" max="17" width="7.6640625" style="59" bestFit="1" customWidth="1"/>
    <col min="18" max="18" width="15.6640625" style="59" bestFit="1" customWidth="1"/>
    <col min="19" max="19" width="21.6640625" style="59" bestFit="1" customWidth="1"/>
    <col min="20" max="20" width="25.88671875" style="59" customWidth="1"/>
    <col min="21" max="21" width="32.109375" style="59" hidden="1" customWidth="1"/>
    <col min="22" max="22" width="36.6640625" style="59" bestFit="1" customWidth="1"/>
    <col min="23" max="23" width="33.44140625" style="59" bestFit="1" customWidth="1"/>
    <col min="24" max="16384" width="9.109375" style="59"/>
  </cols>
  <sheetData>
    <row r="1" spans="1:18" ht="13.8" x14ac:dyDescent="0.3">
      <c r="A1" s="147" t="s">
        <v>337</v>
      </c>
      <c r="B1" s="486" t="s">
        <v>338</v>
      </c>
      <c r="C1" s="487"/>
      <c r="D1" s="486" t="s">
        <v>72</v>
      </c>
      <c r="E1" s="487"/>
      <c r="F1" s="486" t="s">
        <v>74</v>
      </c>
      <c r="G1" s="487"/>
      <c r="H1" s="486" t="s">
        <v>339</v>
      </c>
      <c r="I1" s="487"/>
      <c r="J1" s="486" t="s">
        <v>323</v>
      </c>
      <c r="K1" s="487"/>
      <c r="L1" s="486" t="s">
        <v>315</v>
      </c>
      <c r="M1" s="487"/>
      <c r="N1" s="486" t="s">
        <v>340</v>
      </c>
      <c r="O1" s="487"/>
      <c r="P1" s="486" t="s">
        <v>110</v>
      </c>
      <c r="Q1" s="480"/>
    </row>
    <row r="2" spans="1:18" ht="13.8" x14ac:dyDescent="0.3">
      <c r="A2" s="21" t="s">
        <v>341</v>
      </c>
      <c r="B2" s="482">
        <f>IF('Overzicht BTA'!E38=TRUE,'Overzicht BTA'!D57+'Overzicht BTA'!D58+'Overzicht BTA'!J57+'Overzicht BTA'!J58+'Overzicht BTA'!P57+'Overzicht BTA'!P58,(IF(OR('Overzicht BTA'!B7="Nieuwbouw 21%",'Overzicht BTA'!B7="Nieuwbouw 6-12-21%"),'Overzicht BTA'!C7,0)+IF(OR('Overzicht BTA'!B8="Nieuwbouw 21%",'Overzicht BTA'!B8="Nieuwbouw 6-12-21%"),'Overzicht BTA'!C8,0)+IF(OR('Overzicht BTA'!B9="Nieuwbouw 21%",'Overzicht BTA'!B9="Nieuwbouw 6-12-21%"),'Overzicht BTA'!C9,0)+IF(OR('Overzicht BTA'!B10="Nieuwbouw 21%",'Overzicht BTA'!B10="Nieuwbouw 6-12-21%"),'Overzicht BTA'!C10,0)+IF(OR('Overzicht BTA'!H7="Nieuwbouw 21%",'Overzicht BTA'!H7="Nieuwbouw 6-12-21%"),'Overzicht BTA'!I7,0)+IF(OR('Overzicht BTA'!H8="Nieuwbouw 21%",'Overzicht BTA'!H8="Nieuwbouw 6-12-21%"),'Overzicht BTA'!I8,0)+IF(OR('Overzicht BTA'!H9="Nieuwbouw 21%",'Overzicht BTA'!H9="Nieuwbouw 6-12-21%"),'Overzicht BTA'!I9,0)+IF(OR('Overzicht BTA'!H10="Nieuwbouw 21%",'Overzicht BTA'!H10="Nieuwbouw 6-12-21%"),'Overzicht BTA'!I10,0)+IF(OR('Overzicht BTA'!N7="Nieuwbouw 21%",'Overzicht BTA'!N7="Nieuwbouw 6-12-21%"),'Overzicht BTA'!O7,0)+IF(OR('Overzicht BTA'!N8="Nieuwbouw 21%",'Overzicht BTA'!N8="Nieuwbouw 6-12-21%"),'Overzicht BTA'!O8,0)+IF(OR('Overzicht BTA'!N9="Nieuwbouw 21%",'Overzicht BTA'!N9="Nieuwbouw 6-12-21%"),'Overzicht BTA'!O9,0)+IF(OR('Overzicht BTA'!N10="Nieuwbouw 21%",'Overzicht BTA'!N10="Nieuwbouw 6-12-21%"),'Overzicht BTA'!O10,0)))</f>
        <v>0</v>
      </c>
      <c r="C2" s="481"/>
      <c r="D2" s="483">
        <f>IF('Overzicht BTA'!E38=TRUE,'Overzicht BTA'!D59+'Overzicht BTA'!J59+'Overzicht BTA'!P59,(IF('Overzicht BTA'!B7="Uitbreiding",'Overzicht BTA'!C7,0)+IF('Overzicht BTA'!B8="Uitbreiding",'Overzicht BTA'!C8,0)+IF('Overzicht BTA'!B9="Uitbreiding",'Overzicht BTA'!C9,0)+IF('Overzicht BTA'!B10="Uitbreiding",'Overzicht BTA'!C10,0)+IF('Overzicht BTA'!H7="Uitbreiding",'Overzicht BTA'!I7,0)+IF('Overzicht BTA'!H8="Uitbreiding",'Overzicht BTA'!I8,0)+IF('Overzicht BTA'!H9="Uitbreiding",'Overzicht BTA'!I9,0)+IF('Overzicht BTA'!H10="Uitbreiding",'Overzicht BTA'!I10,0)+IF('Overzicht BTA'!N7="Uitbreiding",'Overzicht BTA'!O7,0)+IF('Overzicht BTA'!N8="Uitbreiding",'Overzicht BTA'!O8,0)+IF('Overzicht BTA'!N9="Uitbreiding",'Overzicht BTA'!O9,0)+IF('Overzicht BTA'!N10="Uitbreiding",'Overzicht BTA'!O10,0)))</f>
        <v>0</v>
      </c>
      <c r="E2" s="481"/>
      <c r="F2" s="483">
        <f>IF('Overzicht BTA'!E38=TRUE,'Overzicht BTA'!D61+'Overzicht BTA'!J61+'Overzicht BTA'!P61,(IF('Overzicht BTA'!B7="Verbouwing",'Overzicht BTA'!C7,0)+IF('Overzicht BTA'!B8="Verbouwing",'Overzicht BTA'!C8,0)+IF('Overzicht BTA'!B9="Verbouwing",'Overzicht BTA'!C9,0)+IF('Overzicht BTA'!B10="Verbouwing",'Overzicht BTA'!C10,0)+IF('Overzicht BTA'!H7="Verbouwing",'Overzicht BTA'!I7,0)+IF('Overzicht BTA'!H8="Verbouwing",'Overzicht BTA'!I8,0)+IF('Overzicht BTA'!H9="Verbouwing",'Overzicht BTA'!I9,0)+IF('Overzicht BTA'!H10="Verbouwing",'Overzicht BTA'!I10,0)+IF('Overzicht BTA'!N7="Verbouwing",'Overzicht BTA'!O7,0)+IF('Overzicht BTA'!N8="Verbouwing",'Overzicht BTA'!O8,0)+IF('Overzicht BTA'!N9="Verbouwing",'Overzicht BTA'!O9,0)+IF('Overzicht BTA'!N10="Verbouwing",'Overzicht BTA'!O10,0)))</f>
        <v>0</v>
      </c>
      <c r="G2" s="481"/>
      <c r="H2" s="483">
        <f>IF('Overzicht BTA'!E38=TRUE,'Overzicht BTA'!D60+'Overzicht BTA'!J60+'Overzicht BTA'!P60,(IF('Overzicht BTA'!B7="IER",'Overzicht BTA'!C7,0)+IF('Overzicht BTA'!B8="IER",'Overzicht BTA'!C8,0)+IF('Overzicht BTA'!B9="IER",'Overzicht BTA'!C9,0)+IF('Overzicht BTA'!B10="IER",'Overzicht BTA'!C10,0)+IF('Overzicht BTA'!H7="IER",'Overzicht BTA'!I7,0)+IF('Overzicht BTA'!H8="IER",'Overzicht BTA'!I8,0)+IF('Overzicht BTA'!H9="IER",'Overzicht BTA'!I9,0)+IF('Overzicht BTA'!H10="IER",'Overzicht BTA'!I10,0)+IF('Overzicht BTA'!N7="IER",'Overzicht BTA'!O7,0)+IF('Overzicht BTA'!N8="IER",'Overzicht BTA'!O8,0)+IF('Overzicht BTA'!N9="IER",'Overzicht BTA'!O9,0)+IF('Overzicht BTA'!N10="IER",'Overzicht BTA'!O10,0)))</f>
        <v>0</v>
      </c>
      <c r="I2" s="481"/>
      <c r="J2" s="483">
        <f>IF('Overzicht BTA'!B7="Aankoop met verbouwing",'Overzicht BTA'!C7,0)+IF('Overzicht BTA'!B8="Aankoop met verbouwing",'Overzicht BTA'!C8,0)+IF('Overzicht BTA'!B9="Aankoop met verbouwing",'Overzicht BTA'!C9,0)+IF('Overzicht BTA'!B10="Aankoop met verbouwing",'Overzicht BTA'!C10,0)+IF('Overzicht BTA'!H7="Aankoop met verbouwing",'Overzicht BTA'!I7,0)+IF('Overzicht BTA'!H8="Aankoop met verbouwing",'Overzicht BTA'!I8,0)+IF('Overzicht BTA'!H9="Aankoop met verbouwing",'Overzicht BTA'!I9,0)+IF('Overzicht BTA'!H10="Aankoop met verbouwing",'Overzicht BTA'!I10,0)+IF('Overzicht BTA'!N7="Aankoop met verbouwing",'Overzicht BTA'!O7,0)+IF('Overzicht BTA'!N8="Aankoop met verbouwing",'Overzicht BTA'!O8,0)+IF('Overzicht BTA'!N9="Aankoop met verbouwing",'Overzicht BTA'!O9,0)+IF('Overzicht BTA'!N10="Aankoop met verbouwing",'Overzicht BTA'!O10,0)</f>
        <v>0</v>
      </c>
      <c r="K2" s="481"/>
      <c r="L2" s="483">
        <f>IF('Overzicht BTA'!B7="Aankoop zonder verbouwing",'Overzicht BTA'!C7,0)+IF('Overzicht BTA'!B8="Aankoop zonder verbouwing",'Overzicht BTA'!C8,0)+IF('Overzicht BTA'!B9="Aankoop zonder verbouwing",'Overzicht BTA'!C9,0)+IF('Overzicht BTA'!B10="Aankoop zonder verbouwing",'Overzicht BTA'!C10,0)+IF('Overzicht BTA'!H7="Aankoop zonder verbouwing",'Overzicht BTA'!I7,0)+IF('Overzicht BTA'!H8="Aankoop zonder verbouwing",'Overzicht BTA'!I8,0)+IF('Overzicht BTA'!H9="Aankoop zonder verbouwing",'Overzicht BTA'!I9,0)+IF('Overzicht BTA'!H10="Aankoop zonder verbouwing",'Overzicht BTA'!I10,0)+IF('Overzicht BTA'!N7="Aankoop zonder verbouwing",'Overzicht BTA'!O7,0)+IF('Overzicht BTA'!N8="Aankoop zonder verbouwing",'Overzicht BTA'!O8,0)+IF('Overzicht BTA'!N9="Aankoop zonder verbouwing",'Overzicht BTA'!O9,0)+IF('Overzicht BTA'!N10="Aankoop zonder verbouwing",'Overzicht BTA'!O10,0)</f>
        <v>0</v>
      </c>
      <c r="M2" s="481"/>
      <c r="N2" s="483">
        <f>IF('Overzicht BTA'!E38=TRUE,'Overzicht BTA'!P62+'Overzicht BTA'!P63+'Overzicht BTA'!J62+'Overzicht BTA'!J63+'Overzicht BTA'!D62+'Overzicht BTA'!D63,(IF(OR('Overzicht BTA'!B7="Nieuwbouw light 21%",'Overzicht BTA'!B7="Nieuwbouw light 6-12-21%"),'Overzicht BTA'!C7,0)+IF(OR('Overzicht BTA'!B8="Nieuwbouw light 21%",'Overzicht BTA'!B8="Nieuwbouw light 6-12-21%"),'Overzicht BTA'!C8,0)+IF(OR('Overzicht BTA'!B9="Nieuwbouw light 21%",'Overzicht BTA'!B9="Nieuwbouw light 6-12-21%"),'Overzicht BTA'!C9,0)+IF(OR('Overzicht BTA'!B10="Nieuwbouw light 21%",'Overzicht BTA'!B10="Nieuwbouw light 6-12-21%"),'Overzicht BTA'!C10,0)+IF(OR('Overzicht BTA'!H7="Nieuwbouw light 21%",'Overzicht BTA'!H7="Nieuwbouw light 6-12-21%"),'Overzicht BTA'!I7,0)+IF(OR('Overzicht BTA'!H8="Nieuwbouw light 21%",'Overzicht BTA'!H8="Nieuwbouw light 6-12-21%"),'Overzicht BTA'!I8,0)+IF(OR('Overzicht BTA'!H9="Nieuwbouw light 21%",'Overzicht BTA'!H9="Nieuwbouw light 6-12-21%"),'Overzicht BTA'!I9,0)+IF(OR('Overzicht BTA'!H10="Nieuwbouw light 21%",'Overzicht BTA'!H10="Nieuwbouw light 6-12-21%"),'Overzicht BTA'!I10,0)+IF(OR('Overzicht BTA'!N7="Nieuwbouw light 21%",'Overzicht BTA'!N7="Nieuwbouwlight  6-12-21%"),'Overzicht BTA'!O7,0)+IF(OR('Overzicht BTA'!N8="Nieuwbouw light 21%",'Overzicht BTA'!N8="Nieuwbouw light 6-12-21%"),'Overzicht BTA'!O8,0)+IF(OR('Overzicht BTA'!N9="Nieuwbouw light 21%",'Overzicht BTA'!N9="Nieuwbouw light 6-12-21%"),'Overzicht BTA'!O9,0)+IF(OR('Overzicht BTA'!N10="Nieuwbouw light 21%",'Overzicht BTA'!N10="Nieuwbouw light 6-12-21%"),'Overzicht BTA'!O10,0)))</f>
        <v>0</v>
      </c>
      <c r="O2" s="481"/>
      <c r="P2" s="483">
        <f>B2+D2+F2+J2+H2+L2+N2</f>
        <v>0</v>
      </c>
      <c r="Q2" s="480"/>
    </row>
    <row r="3" spans="1:18" ht="13.8" x14ac:dyDescent="0.3">
      <c r="A3" s="21" t="s">
        <v>342</v>
      </c>
      <c r="B3" s="482">
        <f>IF('Overzicht BTA'!E38=TRUE,'Overzicht BTA'!K57+'Overzicht BTA'!K58+'Overzicht BTA'!Q57+'Overzicht BTA'!Q58+'Overzicht BTA'!E57+'Overzicht BTA'!E58,(IF(OR('Overzicht BTA'!B7="Nieuwbouw 21%",'Overzicht BTA'!B7="Nieuwbouw 6-12-21%"),'Overzicht BTA'!D7,0)+IF(OR('Overzicht BTA'!B8="Nieuwbouw 21%",'Overzicht BTA'!B8="Nieuwbouw 6-12-21%"),'Overzicht BTA'!D8,0)+IF(OR('Overzicht BTA'!B9="Nieuwbouw 21%",'Overzicht BTA'!B9="Nieuwbouw 6-12-21%"),'Overzicht BTA'!D9,0)+IF(OR('Overzicht BTA'!B10="Nieuwbouw 21%",'Overzicht BTA'!B10="Nieuwbouw 6-12-21%"),'Overzicht BTA'!D10,0)+IF(OR('Overzicht BTA'!H7="Nieuwbouw 21%",'Overzicht BTA'!H7="Nieuwbouw 6-12-21%"),'Overzicht BTA'!J7,0)+IF(OR('Overzicht BTA'!H8="Nieuwbouw 21%",'Overzicht BTA'!H8="Nieuwbouw 6-12-21%"),'Overzicht BTA'!J8,0)+IF(OR('Overzicht BTA'!H9="Nieuwbouw 21%",'Overzicht BTA'!H9="Nieuwbouw 6-12-21%"),'Overzicht BTA'!J9,0)+IF(OR('Overzicht BTA'!H10="Nieuwbouw 21%",'Overzicht BTA'!H10="Nieuwbouw 6-12-21%"),'Overzicht BTA'!J10,0)+IF(OR('Overzicht BTA'!N7="Nieuwbouw 21%",'Overzicht BTA'!N7="Nieuwbouw 6-12-21%"),'Overzicht BTA'!P7,0)+IF(OR('Overzicht BTA'!N8="Nieuwbouw 21%",'Overzicht BTA'!N8="Nieuwbouw 6-12-21%"),'Overzicht BTA'!P8,0)+IF(OR('Overzicht BTA'!N9="Nieuwbouw 21%",'Overzicht BTA'!N9="Nieuwbouw 6-12-21%"),'Overzicht BTA'!P9,0)+IF(OR('Overzicht BTA'!N10="Nieuwbouw 21%",'Overzicht BTA'!N10="Nieuwbouw 6-12-21%"),'Overzicht BTA'!P10,0)))</f>
        <v>0</v>
      </c>
      <c r="C3" s="481"/>
      <c r="D3" s="483">
        <f>IF('Overzicht BTA'!E38=TRUE,'Overzicht BTA'!K59+'Overzicht BTA'!Q59+'Overzicht BTA'!E58,(IF('Overzicht BTA'!B7="Uitbreiding",'Overzicht BTA'!D7,0)+IF('Overzicht BTA'!B8="Uitbreiding",'Overzicht BTA'!D8,0)+IF('Overzicht BTA'!B9="Uitbreiding",'Overzicht BTA'!D9,0)+IF('Overzicht BTA'!B10="Uitbreiding",'Overzicht BTA'!D10,0)+IF('Overzicht BTA'!H7="Uitbreiding",'Overzicht BTA'!J7,0)+IF('Overzicht BTA'!H8="Uitbreiding",'Overzicht BTA'!J8,0)+IF('Overzicht BTA'!H9="Uitbreiding",'Overzicht BTA'!J9,0)+IF('Overzicht BTA'!H10="Uitbreiding",'Overzicht BTA'!J10,0)+IF('Overzicht BTA'!N7="Uitbreiding",'Overzicht BTA'!P7,0)+IF('Overzicht BTA'!N8="Uitbreiding",'Overzicht BTA'!P8,0)+IF('Overzicht BTA'!N9="Uitbreiding",'Overzicht BTA'!P9,0)+IF('Overzicht BTA'!N10="Uitbreiding",'Overzicht BTA'!P10,0)))</f>
        <v>0</v>
      </c>
      <c r="E3" s="481"/>
      <c r="F3" s="483">
        <f>IF('Overzicht BTA'!E38=TRUE,'Overzicht BTA'!Q61+'Overzicht BTA'!E61+'Overzicht BTA'!K61,(IF('Overzicht BTA'!B7="Verbouwing",'Overzicht BTA'!D7,0)+IF('Overzicht BTA'!B8="Verbouwing",'Overzicht BTA'!D8,0)+IF('Overzicht BTA'!B9="Verbouwing",'Overzicht BTA'!D9,0)+IF('Overzicht BTA'!B10="Verbouwing",'Overzicht BTA'!D10,0)+IF('Overzicht BTA'!H7="Verbouwing",'Overzicht BTA'!J7,0)+IF('Overzicht BTA'!H8="Verbouwing",'Overzicht BTA'!J8,0)+IF('Overzicht BTA'!H9="Verbouwing",'Overzicht BTA'!J9,0)+IF('Overzicht BTA'!H10="Verbouwing",'Overzicht BTA'!J10,0)+IF('Overzicht BTA'!N7="Verbouwing",'Overzicht BTA'!P7,0)+IF('Overzicht BTA'!N8="Verbouwing",'Overzicht BTA'!P8,0)+IF('Overzicht BTA'!N9="Verbouwing",'Overzicht BTA'!P9,0)+IF('Overzicht BTA'!N10="Verbouwing",'Overzicht BTA'!P10,0)))</f>
        <v>0</v>
      </c>
      <c r="G3" s="481"/>
      <c r="H3" s="483">
        <f>IF('Overzicht BTA'!E37=TRUE,'Overzicht BTA'!D60+'Overzicht BTA'!J60+'Overzicht BTA'!P60,(IF('Overzicht BTA'!B7="IER",'Overzicht BTA'!D7,0)+IF('Overzicht BTA'!B8="IER",'Overzicht BTA'!D8,0)+IF('Overzicht BTA'!B9="IER",'Overzicht BTA'!D9,0)+IF('Overzicht BTA'!B10="IER",'Overzicht BTA'!D10,0)+IF('Overzicht BTA'!H7="IER",'Overzicht BTA'!J7,0)+IF('Overzicht BTA'!H8="IER",'Overzicht BTA'!J8,0)+IF('Overzicht BTA'!H9="IER",'Overzicht BTA'!J9,0)+IF('Overzicht BTA'!H10="IER",'Overzicht BTA'!J10,0)+IF('Overzicht BTA'!N7="IER",'Overzicht BTA'!P7,0)+IF('Overzicht BTA'!N8="IER",'Overzicht BTA'!P8,0)+IF('Overzicht BTA'!N9="IER",'Overzicht BTA'!P9,0)+IF('Overzicht BTA'!N10="IER",'Overzicht BTA'!P10,0)))</f>
        <v>0</v>
      </c>
      <c r="I3" s="481"/>
      <c r="J3" s="483">
        <f>IF('Overzicht BTA'!B7="Aankoop met verbouwing",'Overzicht BTA'!D7,0)+IF('Overzicht BTA'!B8="Aankoop met verbouwing",'Overzicht BTA'!D8,0)+IF('Overzicht BTA'!B9="Aankoop met verbouwing",'Overzicht BTA'!D9,0)+IF('Overzicht BTA'!B10="Aankoop met verbouwing",'Overzicht BTA'!D10,0)+IF('Overzicht BTA'!H7="Aankoop met verbouwing",'Overzicht BTA'!J7,0)+IF('Overzicht BTA'!H8="Aankoop met verbouwing",'Overzicht BTA'!J8,0)+IF('Overzicht BTA'!H9="Aankoop met verbouwing",'Overzicht BTA'!J9,0)+IF('Overzicht BTA'!H10="Aankoop met verbouwing",'Overzicht BTA'!J10,0)+IF('Overzicht BTA'!N7="Aankoop met verbouwing",'Overzicht BTA'!P7,0)+IF('Overzicht BTA'!N8="Aankoop met verbouwing",'Overzicht BTA'!P8,0)+IF('Overzicht BTA'!N9="Aankoop met verbouwing",'Overzicht BTA'!P9,0)+IF('Overzicht BTA'!N10="Aankoop met verbouwing",'Overzicht BTA'!P10,0)</f>
        <v>0</v>
      </c>
      <c r="K3" s="481"/>
      <c r="L3" s="483">
        <f>IF('Overzicht BTA'!B7="Aankoop zonder verbouwing",'Overzicht BTA'!D7,0)+IF('Overzicht BTA'!B8="Aankoop zonder verbouwing",'Overzicht BTA'!D8,0)+IF('Overzicht BTA'!B9="Aankoop zonder verbouwing",'Overzicht BTA'!D9,0)+IF('Overzicht BTA'!B10="Aankoop zonder verbouwing",'Overzicht BTA'!D10,0)+IF('Overzicht BTA'!H7="Aankoop zonder verbouwing",'Overzicht BTA'!J7,0)+IF('Overzicht BTA'!H8="Aankoop zonder verbouwing",'Overzicht BTA'!J8,0)+IF('Overzicht BTA'!H9="Aankoop zonder verbouwing",'Overzicht BTA'!J9,0)+IF('Overzicht BTA'!H10="Aankoop zonder verbouwing",'Overzicht BTA'!J10,0)+IF('Overzicht BTA'!N7="Aankoop zonder verbouwing",'Overzicht BTA'!P7,0)+IF('Overzicht BTA'!N8="Aankoop zonder verbouwing",'Overzicht BTA'!P8,0)+IF('Overzicht BTA'!N9="Aankoop zonder verbouwing",'Overzicht BTA'!P9,0)+IF('Overzicht BTA'!N10="Aankoop zonder verbouwing",'Overzicht BTA'!P10,0)</f>
        <v>0</v>
      </c>
      <c r="M3" s="481"/>
      <c r="N3" s="483">
        <f>IF('Overzicht BTA'!E38=TRUE,'Overzicht BTA'!E62+'Overzicht BTA'!E63+'Overzicht BTA'!K62+'Overzicht BTA'!K63+'Overzicht BTA'!Q62+'Overzicht BTA'!Q63,(IF(OR('Overzicht BTA'!B7="Nieuwbouw light 21%",'Overzicht BTA'!B7="Nieuwbouw light 6-12-21%"),'Overzicht BTA'!D7,0)+IF(OR('Overzicht BTA'!B8="Nieuwbouw light 21%",'Overzicht BTA'!B8="Nieuwbouw light 6-12-21%"),'Overzicht BTA'!D8,0)+IF(OR('Overzicht BTA'!B9="Nieuwbouw light 21%",'Overzicht BTA'!B9="Nieuwbouw light 6-12-21%"),'Overzicht BTA'!D9,0)+IF(OR('Overzicht BTA'!B10="Nieuwbouw light 21%",'Overzicht BTA'!B10="Nieuwbouw light 6-12-21%"),'Overzicht BTA'!D10,0)+IF(OR('Overzicht BTA'!H7="Nieuwbouw light 21%",'Overzicht BTA'!H7="Nieuwbouw light 6-12-21%"),'Overzicht BTA'!J7,0)+IF(OR('Overzicht BTA'!H8="Nieuwbouw light 21%",'Overzicht BTA'!H8="Nieuwbouw light 6-12-21%"),'Overzicht BTA'!J8,0)+IF(OR('Overzicht BTA'!H9="Nieuwbouw light 21%",'Overzicht BTA'!H9="Nieuwbouw light 6-12-21%"),'Overzicht BTA'!J9,0)+IF(OR('Overzicht BTA'!H10="Nieuwbouw light 21%",'Overzicht BTA'!H10="Nieuwbouw light 6-12-21%"),'Overzicht BTA'!J10,0)+IF(OR('Overzicht BTA'!N7="Nieuwbouw light 21%",'Overzicht BTA'!N7="Nieuwbouw light 6-12-21%"),'Overzicht BTA'!P7,0)+IF(OR('Overzicht BTA'!N8="Nieuwbouw light 21%",'Overzicht BTA'!N8="Nieuwbouw light 6-12-21%"),'Overzicht BTA'!P8,0)+IF(OR('Overzicht BTA'!N9="Nieuwbouw light 21%",'Overzicht BTA'!N9="Nieuwbouw light 6-12-21%"),'Overzicht BTA'!P9,0)+IF(OR('Overzicht BTA'!N10="Nieuwbouw light 21%",'Overzicht BTA'!N10="Nieuwbouw light 6-12-21%"),'Overzicht BTA'!P10,0)))</f>
        <v>0</v>
      </c>
      <c r="O3" s="481"/>
      <c r="P3" s="817">
        <f>N3+L3+J3+H3+F3+D3+B3</f>
        <v>0</v>
      </c>
      <c r="Q3" s="480"/>
    </row>
    <row r="4" spans="1:18" ht="13.8" outlineLevel="1" x14ac:dyDescent="0.3">
      <c r="A4" s="21"/>
      <c r="B4" s="93"/>
      <c r="C4" s="480"/>
      <c r="D4" s="320"/>
      <c r="E4" s="480"/>
      <c r="F4" s="320"/>
      <c r="G4" s="480"/>
      <c r="H4" s="320"/>
      <c r="I4" s="480"/>
      <c r="J4" s="320"/>
      <c r="K4" s="480"/>
      <c r="L4" s="320"/>
      <c r="M4" s="480"/>
      <c r="N4" s="320"/>
      <c r="O4" s="480"/>
      <c r="P4" s="320"/>
      <c r="Q4" s="484"/>
    </row>
    <row r="5" spans="1:18" ht="13.8" outlineLevel="1" x14ac:dyDescent="0.3">
      <c r="A5" s="147" t="s">
        <v>343</v>
      </c>
      <c r="B5" s="93"/>
      <c r="C5" s="480"/>
      <c r="D5" s="320"/>
      <c r="E5" s="480"/>
      <c r="F5" s="320"/>
      <c r="G5" s="480"/>
      <c r="H5" s="320"/>
      <c r="I5" s="480"/>
      <c r="J5" s="320"/>
      <c r="K5" s="480"/>
      <c r="L5" s="320"/>
      <c r="M5" s="480"/>
      <c r="N5" s="320"/>
      <c r="O5" s="480"/>
      <c r="P5" s="320"/>
      <c r="Q5" s="480"/>
    </row>
    <row r="6" spans="1:18" ht="13.8" outlineLevel="1" x14ac:dyDescent="0.3">
      <c r="A6" s="21" t="s">
        <v>344</v>
      </c>
      <c r="B6" s="485">
        <f>B7+B8</f>
        <v>0</v>
      </c>
      <c r="C6" s="320" t="e">
        <f>'Overzicht BTA'!D25</f>
        <v>#N/A</v>
      </c>
      <c r="D6" s="485">
        <f>D7+D8</f>
        <v>0</v>
      </c>
      <c r="E6" s="320" t="e">
        <f>'Overzicht BTA'!$D$25</f>
        <v>#N/A</v>
      </c>
      <c r="F6" s="485">
        <f>F7+F8</f>
        <v>0</v>
      </c>
      <c r="G6" s="320" t="e">
        <f>'Overzicht BTA'!$D$25</f>
        <v>#N/A</v>
      </c>
      <c r="H6" s="485">
        <f>H7+H8</f>
        <v>0</v>
      </c>
      <c r="I6" s="320" t="e">
        <f>'Overzicht BTA'!$D$25</f>
        <v>#N/A</v>
      </c>
      <c r="J6" s="485">
        <f>J7+J8</f>
        <v>0</v>
      </c>
      <c r="K6" s="320" t="e">
        <f>'Overzicht BTA'!$D$25</f>
        <v>#N/A</v>
      </c>
      <c r="L6" s="485">
        <f>L7+L8</f>
        <v>0</v>
      </c>
      <c r="M6" s="320" t="e">
        <f>'Overzicht BTA'!$D$25</f>
        <v>#N/A</v>
      </c>
      <c r="N6" s="485">
        <f>N7+N8</f>
        <v>0</v>
      </c>
      <c r="O6" s="320" t="e">
        <f>'Overzicht BTA'!$D$25</f>
        <v>#N/A</v>
      </c>
      <c r="P6" s="297">
        <f>B6+D6+F6+J6+H6+L6+N6</f>
        <v>0</v>
      </c>
      <c r="Q6" s="320" t="e">
        <f>'Overzicht BTA'!$D$25</f>
        <v>#N/A</v>
      </c>
      <c r="R6" s="60"/>
    </row>
    <row r="7" spans="1:18" ht="13.8" outlineLevel="1" x14ac:dyDescent="0.3">
      <c r="A7" s="21" t="s">
        <v>345</v>
      </c>
      <c r="B7" s="485">
        <f>IF(OR('Overzicht BTA'!B7="Nieuwbouw 21%",'Overzicht BTA'!B7="Nieuwbouw 6-12-21%"),'Overzicht BTA'!E7,0)+IF(OR('Overzicht BTA'!B8="Nieuwbouw 21%",'Overzicht BTA'!B8="Nieuwbouw 6-12-21%"),'Overzicht BTA'!E8,0)+IF(OR('Overzicht BTA'!B9="Nieuwbouw 21%",'Overzicht BTA'!B9="Nieuwbouw 6-12-21%"),'Overzicht BTA'!E9,0)+IF(OR('Overzicht BTA'!B10="Nieuwbouw 21%",'Overzicht BTA'!B10="Nieuwbouw 6-12-21%"),'Overzicht BTA'!E10,0)+IF(OR('Overzicht BTA'!H7="Nieuwbouw 21%",'Overzicht BTA'!H7="Nieuwbouw 6-12-21%"),'Overzicht BTA'!K7,0)+IF(OR('Overzicht BTA'!H8="Nieuwbouw 21%",'Overzicht BTA'!H8="Nieuwbouw 6-12-21%"),'Overzicht BTA'!K8,0)+IF(OR('Overzicht BTA'!H9="Nieuwbouw 21%",'Overzicht BTA'!H9="Nieuwbouw 6-12-21%"),'Overzicht BTA'!K9,0)+IF(OR('Overzicht BTA'!H10="Nieuwbouw 21%",'Overzicht BTA'!H10="Nieuwbouw 6-12-21%"),'Overzicht BTA'!K10,0)+IF(OR('Overzicht BTA'!N7="Nieuwbouw 21%",'Overzicht BTA'!N7="Nieuwbouw 6-12-21%"),'Overzicht BTA'!Q7,0)+IF(OR('Overzicht BTA'!N8="Nieuwbouw 21%",'Overzicht BTA'!N8="Nieuwbouw 6-12-21%"),'Overzicht BTA'!Q8,0)+IF(OR('Overzicht BTA'!N9="Nieuwbouw 21%",'Overzicht BTA'!N9="Nieuwbouw 6-12-21%"),'Overzicht BTA'!Q9,0)+IF(OR('Overzicht BTA'!N10="Nieuwbouw 21%",'Overzicht BTA'!N10="Nieuwbouw 6-12-21%"),'Overzicht BTA'!Q10,0)</f>
        <v>0</v>
      </c>
      <c r="C7" s="320" t="e">
        <f>'Overzicht BTA'!D26</f>
        <v>#N/A</v>
      </c>
      <c r="D7" s="485">
        <f>IF('Overzicht BTA'!B7="Uitbreiding",'Overzicht BTA'!E7,0)+IF('Overzicht BTA'!B8="Uitbreiding",'Overzicht BTA'!E8,0)+IF('Overzicht BTA'!B9="Uitbreiding",'Overzicht BTA'!E9,0)+IF('Overzicht BTA'!B10="Uitbreiding",'Overzicht BTA'!E10,0)+IF('Overzicht BTA'!H7="Uitbreiding",'Overzicht BTA'!K7,0)+IF('Overzicht BTA'!H8="Uitbreiding",'Overzicht BTA'!K8,0)+IF('Overzicht BTA'!H9="Uitbreiding",'Overzicht BTA'!K9,0)+IF('Overzicht BTA'!H10="Uitbreiding",'Overzicht BTA'!K10,0)+IF('Overzicht BTA'!N7="Uitbreiding",'Overzicht BTA'!Q7,0)+IF('Overzicht BTA'!N8="Uitbreiding",'Overzicht BTA'!Q8,0)+IF('Overzicht BTA'!N9="Uitbreiding",'Overzicht BTA'!Q9,0)+IF('Overzicht BTA'!N10="Uitbreiding",'Overzicht BTA'!Q10,0)</f>
        <v>0</v>
      </c>
      <c r="E7" s="320" t="e">
        <f>'Overzicht BTA'!$D$26</f>
        <v>#N/A</v>
      </c>
      <c r="F7" s="485">
        <f>IF('Overzicht BTA'!B7="Verbouwing",'Overzicht BTA'!E7,0)+IF('Overzicht BTA'!B8="Verbouwing",'Overzicht BTA'!E8,0)+IF('Overzicht BTA'!B9="Verbouwing",'Overzicht BTA'!E9,0)+IF('Overzicht BTA'!B10="Verbouwing",'Overzicht BTA'!E10,0)+IF('Overzicht BTA'!H7="Verbouwing",'Overzicht BTA'!K7,0)+IF('Overzicht BTA'!H8="Verbouwing",'Overzicht BTA'!K8,0)+IF('Overzicht BTA'!H9="Verbouwing",'Overzicht BTA'!K9,0)+IF('Overzicht BTA'!H10="Verbouwing",'Overzicht BTA'!K10,0)+IF('Overzicht BTA'!N7="Verbouwing",'Overzicht BTA'!Q7,0)+IF('Overzicht BTA'!N8="Verbouwing",'Overzicht BTA'!Q8,0)+IF('Overzicht BTA'!N9="Verbouwing",'Overzicht BTA'!Q9,0)+IF('Overzicht BTA'!N10="Verbouwing",'Overzicht BTA'!Q10,0)</f>
        <v>0</v>
      </c>
      <c r="G7" s="320" t="e">
        <f>'Overzicht BTA'!$D$26</f>
        <v>#N/A</v>
      </c>
      <c r="H7" s="485">
        <f>IF('Overzicht BTA'!B7="IER",'Overzicht BTA'!E7,0)+IF('Overzicht BTA'!B8="IER",'Overzicht BTA'!E8,0)+IF('Overzicht BTA'!B9="IER",'Overzicht BTA'!E9,0)+IF('Overzicht BTA'!B10="IER",'Overzicht BTA'!E10,0)+IF('Overzicht BTA'!H7="IER",'Overzicht BTA'!K7,0)+IF('Overzicht BTA'!H8="IER",'Overzicht BTA'!K8,0)+IF('Overzicht BTA'!H9="IER",'Overzicht BTA'!K9,0)+IF('Overzicht BTA'!H10="IER",'Overzicht BTA'!K10,0)+IF('Overzicht BTA'!N7="IER",'Overzicht BTA'!Q7,0)+IF('Overzicht BTA'!N8="IER",'Overzicht BTA'!Q8,0)+IF('Overzicht BTA'!N9="IER",'Overzicht BTA'!Q9,0)+IF('Overzicht BTA'!N10="IER",'Overzicht BTA'!Q10,0)</f>
        <v>0</v>
      </c>
      <c r="I7" s="320" t="e">
        <f>'Overzicht BTA'!$D$26</f>
        <v>#N/A</v>
      </c>
      <c r="J7" s="485">
        <f>IF('Overzicht BTA'!B7="Aankoop met verbouwing",'Overzicht BTA'!E7,0)+IF('Overzicht BTA'!B7="Aankoop met verbouwing",'Overzicht BTA'!E8,0)+IF('Overzicht BTA'!B7="Aankoop met verbouwing",'Overzicht BTA'!E9,0)+IF('Overzicht BTA'!B7="Aankoop met verbouwing",'Overzicht BTA'!E10,0)+IF('Overzicht BTA'!B7="Aankoop met verbouwing",'Overzicht BTA'!K7,0)+IF('Overzicht BTA'!B7="Aankoop met verbouwing",'Overzicht BTA'!K8,0)+IF('Overzicht BTA'!B7="Aankoop met verbouwing",'Overzicht BTA'!K9,0)+IF('Overzicht BTA'!B7="Aankoop met verbouwing",'Overzicht BTA'!K10,0)+IF('Overzicht BTA'!B7="Aankoop met verbouwing",'Overzicht BTA'!Q7,0)+IF('Overzicht BTA'!B7="Aankoop met verbouwing",'Overzicht BTA'!Q8,0)+IF('Overzicht BTA'!B7="Aankoop met verbouwing",'Overzicht BTA'!Q9,0)+IF('Overzicht BTA'!B7="Aankoop met verbouwing",'Overzicht BTA'!Q10,0)</f>
        <v>0</v>
      </c>
      <c r="K7" s="320" t="e">
        <f>'Overzicht BTA'!$D$26</f>
        <v>#N/A</v>
      </c>
      <c r="L7" s="485">
        <f>IF('Overzicht BTA'!B7="Aankoop zonder verbouwing",'Overzicht BTA'!E7,0)+IF('Overzicht BTA'!B7="Aankoop zonder verbouwing",'Overzicht BTA'!E8,0)+IF('Overzicht BTA'!B7="Aankoop zonder verbouwing",'Overzicht BTA'!E9,0)+IF('Overzicht BTA'!B7="Aankoop zonder verbouwing",'Overzicht BTA'!E10,0)+IF('Overzicht BTA'!B7="Aankoop zonder verbouwing",'Overzicht BTA'!K7,0)+IF('Overzicht BTA'!B7="Aankoop zonder verbouwing",'Overzicht BTA'!K8,0)+IF('Overzicht BTA'!B7="Aankoop zonder verbouwing",'Overzicht BTA'!K9,0)+IF('Overzicht BTA'!B7="Aankoop zonder verbouwing",'Overzicht BTA'!K10,0)+IF('Overzicht BTA'!B7="Aankoop zonder verbouwing",'Overzicht BTA'!Q7,0)+IF('Overzicht BTA'!B7="Aankoop zonder verbouwing",'Overzicht BTA'!Q8,0)+IF('Overzicht BTA'!B7="Aankoop zonder verbouwing",'Overzicht BTA'!Q9,0)+IF('Overzicht BTA'!B7="Aankoop zonder verbouwing",'Overzicht BTA'!Q10,0)</f>
        <v>0</v>
      </c>
      <c r="M7" s="320" t="e">
        <f>'Overzicht BTA'!$D$26</f>
        <v>#N/A</v>
      </c>
      <c r="N7" s="485">
        <f>IF(OR('Overzicht BTA'!B7="Nieuwbouw light 21%",'Overzicht BTA'!B7="Nieuwbouw light 6-12-21%"),'Overzicht BTA'!E7,0)+IF(OR('Overzicht BTA'!B8="Nieuwbouw light 21%",'Overzicht BTA'!B8="Nieuwbouw light 6-12-21%"),'Overzicht BTA'!E8,0)+IF(OR('Overzicht BTA'!B9="Nieuwbouw light 21%",'Overzicht BTA'!B9="Nieuwbouw light 6-12-21%"),'Overzicht BTA'!E9,0)+IF(OR('Overzicht BTA'!B10="Nieuwbouw light 21%",'Overzicht BTA'!B10="Nieuwbouw light 6-12-21%"),'Overzicht BTA'!E10,0)+IF(OR('Overzicht BTA'!H7="Nieuwbouw light 21%",'Overzicht BTA'!H7="Nieuwbouw light 6-12-21%"),'Overzicht BTA'!K7,0)+IF(OR('Overzicht BTA'!H8="Nieuwbouw light 21%",'Overzicht BTA'!H8="Nieuwbouw light 6-12-21%"),'Overzicht BTA'!K8,0)+IF(OR('Overzicht BTA'!H9="Nieuwbouw light 21%",'Overzicht BTA'!H9="Nieuwbouw light 6-12-21%"),'Overzicht BTA'!K9,0)+IF(OR('Overzicht BTA'!H10="Nieuwbouw light 21%",'Overzicht BTA'!H10="Nieuwbouw light 6-12-21%"),'Overzicht BTA'!K10,0)+IF(OR('Overzicht BTA'!N7="Nieuwbouw light 21%",'Overzicht BTA'!N7="Nieuwbouw light 6-12-21%"),'Overzicht BTA'!Q7,0)+IF(OR('Overzicht BTA'!N8="Nieuwbouw light 21%",'Overzicht BTA'!N8="Nieuwbouw light 6-12-21%"),'Overzicht BTA'!Q8,0)+IF(OR('Overzicht BTA'!N9="Nieuwbouw light 21%",'Overzicht BTA'!N9="Nieuwbouw light 6-12-21%"),'Overzicht BTA'!Q9,0)+IF(OR('Overzicht BTA'!N10="Nieuwbouw light 21%",'Overzicht BTA'!N10="Nieuwbouw light 6-12-21%"),'Overzicht BTA'!Q10,0)</f>
        <v>0</v>
      </c>
      <c r="O7" s="320" t="e">
        <f>'Overzicht BTA'!$D$26</f>
        <v>#N/A</v>
      </c>
      <c r="P7" s="297">
        <f t="shared" ref="P7:P8" si="0">B7+D7+F7+J7+H7+L7+N7</f>
        <v>0</v>
      </c>
      <c r="Q7" s="320" t="e">
        <f>'Overzicht BTA'!$D$26</f>
        <v>#N/A</v>
      </c>
    </row>
    <row r="8" spans="1:18" ht="13.8" outlineLevel="1" x14ac:dyDescent="0.3">
      <c r="A8" s="21" t="s">
        <v>346</v>
      </c>
      <c r="B8" s="485">
        <f>IF(OR('Overzicht BTA'!B7="Nieuwbouw 21%",'Overzicht BTA'!B7="Nieuwbouw 6-12-21%"),'Overzicht BTA'!F7,0)+IF(OR('Overzicht BTA'!B8="Nieuwbouw 21%",'Overzicht BTA'!B8="Nieuwbouw 6-12-21%"),'Overzicht BTA'!F8,0)+IF(OR('Overzicht BTA'!B9="Nieuwbouw 21%",'Overzicht BTA'!B9="Nieuwbouw 6-12-21%"),'Overzicht BTA'!F9,0)+IF(OR('Overzicht BTA'!B10="Nieuwbouw 21%",'Overzicht BTA'!B10="Nieuwbouw 6-12-21%"),'Overzicht BTA'!F10,0)+IF(OR('Overzicht BTA'!H7="Nieuwbouw 21%",'Overzicht BTA'!H7="Nieuwbouw 6-12-21%"),'Overzicht BTA'!L7,0)+IF(OR('Overzicht BTA'!H8="Nieuwbouw 21%",'Overzicht BTA'!H8="Nieuwbouw 6-12-21%"),'Overzicht BTA'!L8,0)+IF(OR('Overzicht BTA'!H9="Nieuwbouw 21%",'Overzicht BTA'!H9="Nieuwbouw 6-12-21%"),'Overzicht BTA'!L9,0)+IF(OR('Overzicht BTA'!H10="Nieuwbouw 21%",'Overzicht BTA'!H10="Nieuwbouw 6-12-21%"),'Overzicht BTA'!L10,0)+IF(OR('Overzicht BTA'!N7="Nieuwbouw 21%",'Overzicht BTA'!N7="Nieuwbouw 6-12-21%"),'Overzicht BTA'!R7,0)+IF(OR('Overzicht BTA'!N8="Nieuwbouw 21%",'Overzicht BTA'!N8="Nieuwbouw 6-12-21%"),'Overzicht BTA'!R8,0)+IF(OR('Overzicht BTA'!N9="Nieuwbouw 21%",'Overzicht BTA'!N9="Nieuwbouw 6-12-21%"),'Overzicht BTA'!R9,0)+IF(OR('Overzicht BTA'!N10="Nieuwbouw 21%",'Overzicht BTA'!N10="Nieuwbouw 6-12-21%"),'Overzicht BTA'!R10,0)</f>
        <v>0</v>
      </c>
      <c r="C8" s="320" t="e">
        <f>'Overzicht BTA'!D27</f>
        <v>#N/A</v>
      </c>
      <c r="D8" s="485">
        <f>IF('Overzicht BTA'!B7="Uitbreiding",'Overzicht BTA'!F7,0)+IF('Overzicht BTA'!B8="Uitbreiding",'Overzicht BTA'!F8,0)+IF('Overzicht BTA'!B9="Uitbreiding",'Overzicht BTA'!F9,0)+IF('Overzicht BTA'!B10="Uitbreiding",'Overzicht BTA'!F10,0)+IF('Overzicht BTA'!H7="Uitbreiding",'Overzicht BTA'!L7,0)+IF('Overzicht BTA'!H8="Uitbreiding",'Overzicht BTA'!L8,0)+IF('Overzicht BTA'!H9="Uitbreiding",'Overzicht BTA'!L9,0)+IF('Overzicht BTA'!H10="Uitbreiding",'Overzicht BTA'!L10,0)+IF('Overzicht BTA'!N7="Uitbreiding",'Overzicht BTA'!R7,0)+IF('Overzicht BTA'!N8="Uitbreiding",'Overzicht BTA'!R8,0)+IF('Overzicht BTA'!N9="Uitbreiding",'Overzicht BTA'!R9,0)+IF('Overzicht BTA'!N10="Uitbreiding",'Overzicht BTA'!R10,0)</f>
        <v>0</v>
      </c>
      <c r="E8" s="320" t="e">
        <f>'Overzicht BTA'!$D$27</f>
        <v>#N/A</v>
      </c>
      <c r="F8" s="485">
        <f>IF('Overzicht BTA'!B7="Verbouwing",'Overzicht BTA'!F7,0)+IF('Overzicht BTA'!B8="Verbouwing",'Overzicht BTA'!F8,0)+IF('Overzicht BTA'!B9="Verbouwing",'Overzicht BTA'!F9,0)+IF('Overzicht BTA'!B10="Verbouwing",'Overzicht BTA'!F10,0)+IF('Overzicht BTA'!H7="Verbouwing",'Overzicht BTA'!L7,0)+IF('Overzicht BTA'!H8="Verbouwing",'Overzicht BTA'!L8,0)+IF('Overzicht BTA'!H9="Verbouwing",'Overzicht BTA'!L9,0)+IF('Overzicht BTA'!H10="Verbouwing",'Overzicht BTA'!L10,0)+IF('Overzicht BTA'!N7="Verbouwing",'Overzicht BTA'!R7,0)+IF('Overzicht BTA'!N8="Verbouwing",'Overzicht BTA'!R8,0)+IF('Overzicht BTA'!N9="Verbouwing",'Overzicht BTA'!R9,0)+IF('Overzicht BTA'!N10="Verbouwing",'Overzicht BTA'!R10,0)</f>
        <v>0</v>
      </c>
      <c r="G8" s="320" t="e">
        <f>'Overzicht BTA'!$D$27</f>
        <v>#N/A</v>
      </c>
      <c r="H8" s="485">
        <f>IF('Overzicht BTA'!B7="IER",'Overzicht BTA'!F7,0)+IF('Overzicht BTA'!B8="IER",'Overzicht BTA'!F8,0)+IF('Overzicht BTA'!B9="IER",'Overzicht BTA'!F9,0)+IF('Overzicht BTA'!B10="IER",'Overzicht BTA'!F10,0)+IF('Overzicht BTA'!H7="IER",'Overzicht BTA'!L7,0)+IF('Overzicht BTA'!H8="IER",'Overzicht BTA'!L8,0)+IF('Overzicht BTA'!H9="IER",'Overzicht BTA'!L9,0)+IF('Overzicht BTA'!H10="IER",'Overzicht BTA'!L10,0)+IF('Overzicht BTA'!N7="IER",'Overzicht BTA'!R7,0)+IF('Overzicht BTA'!N8="IER",'Overzicht BTA'!R8,0)+IF('Overzicht BTA'!N9="IER",'Overzicht BTA'!R9,0)+IF('Overzicht BTA'!N10="IER",'Overzicht BTA'!R10,0)</f>
        <v>0</v>
      </c>
      <c r="I8" s="320" t="e">
        <f>'Overzicht BTA'!$D$27</f>
        <v>#N/A</v>
      </c>
      <c r="J8" s="485">
        <f>IF('Overzicht BTA'!B7="Aankoop met verbouwing",'Overzicht BTA'!F7,0)+IF('Overzicht BTA'!B8="Aankoop met verbouwing",'Overzicht BTA'!F8,0)+IF('Overzicht BTA'!B9="Aankoop met verbouwing",'Overzicht BTA'!F9,0)+IF('Overzicht BTA'!B10="Aankoop met verbouwing",'Overzicht BTA'!F10,0)+IF('Overzicht BTA'!H7="Aankoop met verbouwing",'Overzicht BTA'!L7,0)+IF('Overzicht BTA'!H8="Aankoop met verbouwing",'Overzicht BTA'!L8,0)+IF('Overzicht BTA'!H9="Aankoop met verbouwing",'Overzicht BTA'!L9,0)+IF('Overzicht BTA'!H10="Aankoop met verbouwing",'Overzicht BTA'!L10,0)+IF('Overzicht BTA'!N7="Aankoop met verbouwing",'Overzicht BTA'!R7,0)+IF('Overzicht BTA'!N8="Aankoop met verbouwing",'Overzicht BTA'!R8,0)+IF('Overzicht BTA'!N9="Aankoop met verbouwing",'Overzicht BTA'!R9,0)+IF('Overzicht BTA'!N10="Aankoop met verbouwing",'Overzicht BTA'!R10,0)</f>
        <v>0</v>
      </c>
      <c r="K8" s="320" t="e">
        <f>'Overzicht BTA'!$D$27</f>
        <v>#N/A</v>
      </c>
      <c r="L8" s="485">
        <f>IF('Overzicht BTA'!B7="Aankoop zonder verbouwing",'Overzicht BTA'!F7,0)+IF('Overzicht BTA'!B8="Aankoop zonder verbouwing",'Overzicht BTA'!F8,0)+IF('Overzicht BTA'!B9="Aankoop zonder verbouwing",'Overzicht BTA'!F9,0)+IF('Overzicht BTA'!B10="Aankoop zonder verbouwing",'Overzicht BTA'!F10,0)+IF('Overzicht BTA'!H7="Aankoop zonder verbouwing",'Overzicht BTA'!L7,0)+IF('Overzicht BTA'!H8="Aankoop zonder verbouwing",'Overzicht BTA'!L8,0)+IF('Overzicht BTA'!H9="Aankoop zonder verbouwing",'Overzicht BTA'!L9,0)+IF('Overzicht BTA'!H10="Aankoop zonder verbouwing",'Overzicht BTA'!L10,0)+IF('Overzicht BTA'!N7="Aankoop zonder verbouwing",'Overzicht BTA'!R7,0)+IF('Overzicht BTA'!N8="Aankoop zonder verbouwing",'Overzicht BTA'!R8,0)+IF('Overzicht BTA'!N9="Aankoop zonder verbouwing",'Overzicht BTA'!R9,0)+IF('Overzicht BTA'!N10="Aankoop zonder verbouwing",'Overzicht BTA'!R10,0)</f>
        <v>0</v>
      </c>
      <c r="M8" s="320" t="e">
        <f>'Overzicht BTA'!$D$27</f>
        <v>#N/A</v>
      </c>
      <c r="N8" s="485">
        <f>IF(OR('Overzicht BTA'!B7="Nieuwbouw light 21%",'Overzicht BTA'!B7="Nieuwbouw light 6-12-21%"),'Overzicht BTA'!F7,0)+IF(OR('Overzicht BTA'!B8="Nieuwbouw light 21%",'Overzicht BTA'!B8="Nieuwbouw light 6-12-21%"),'Overzicht BTA'!F8,0)+IF(OR('Overzicht BTA'!B9="Nieuwbouw light 21%",'Overzicht BTA'!B9="Nieuwbouw light 6-12-21%"),'Overzicht BTA'!F9,0)+IF(OR('Overzicht BTA'!B10="Nieuwbouw light 21%",'Overzicht BTA'!B10="Nieuwbouw light 6-12-21%"),'Overzicht BTA'!F10,0)+IF(OR('Overzicht BTA'!H7="Nieuwbouw light 21%",'Overzicht BTA'!H7="Nieuwbouw light 6-12-21%"),'Overzicht BTA'!L7,0)+IF(OR('Overzicht BTA'!H8="Nieuwbouw light 21%",'Overzicht BTA'!H8="Nieuwbouw light 6-12-21%"),'Overzicht BTA'!L8,0)+IF(OR('Overzicht BTA'!H9="Nieuwbouw light 21%",'Overzicht BTA'!H9="Nieuwbouw light 6-12-21%"),'Overzicht BTA'!L9,0)+IF(OR('Overzicht BTA'!H10="Nieuwbouw light 21%",'Overzicht BTA'!H10="Nieuwbouw light 6-12-21%"),'Overzicht BTA'!L10,0)+IF(OR('Overzicht BTA'!N7="Nieuwbouw light 21%",'Overzicht BTA'!N7="Nieuwbouw light 6-12-21%"),'Overzicht BTA'!R7,0)+IF(OR('Overzicht BTA'!N8="Nieuwbouw light 21%",'Overzicht BTA'!N8="Nieuwbouw light 6-12-21%"),'Overzicht BTA'!R8,0)+IF(OR('Overzicht BTA'!N9="Nieuwbouw light 21%",'Overzicht BTA'!N9="Nieuwbouw light 6-12-21%"),'Overzicht BTA'!R9,0)+IF(OR('Overzicht BTA'!N10="Nieuwbouw light 21%",'Overzicht BTA'!N10="Nieuwbouw light 6-12-21%"),'Overzicht BTA'!R10,0)</f>
        <v>0</v>
      </c>
      <c r="O8" s="320" t="e">
        <f>'Overzicht BTA'!$D$27</f>
        <v>#N/A</v>
      </c>
      <c r="P8" s="297">
        <f t="shared" si="0"/>
        <v>0</v>
      </c>
      <c r="Q8" s="320" t="e">
        <f>'Overzicht BTA'!$D$27</f>
        <v>#N/A</v>
      </c>
    </row>
    <row r="9" spans="1:18" ht="13.8" outlineLevel="1" x14ac:dyDescent="0.3">
      <c r="A9" s="21" t="s">
        <v>347</v>
      </c>
      <c r="B9" s="507" t="str">
        <f>IF(B6&gt;0,B2/B6,"")</f>
        <v/>
      </c>
      <c r="C9" s="22"/>
      <c r="D9" s="507" t="str">
        <f>IF(D6&gt;0,D2/D6,"")</f>
        <v/>
      </c>
      <c r="E9" s="22"/>
      <c r="F9" s="507" t="str">
        <f>IF(F6&gt;0,F2/F6,"")</f>
        <v/>
      </c>
      <c r="G9" s="22"/>
      <c r="H9" s="507" t="str">
        <f>IF(H6&gt;0,H2/H6,"")</f>
        <v/>
      </c>
      <c r="I9" s="22"/>
      <c r="J9" s="507" t="str">
        <f>IF(J6&gt;0,J2/J6,"")</f>
        <v/>
      </c>
      <c r="K9" s="22"/>
      <c r="L9" s="507" t="str">
        <f>IF(L6&gt;0,L2/L6,"")</f>
        <v/>
      </c>
      <c r="M9" s="22"/>
      <c r="N9" s="507" t="str">
        <f>IF(N6&gt;0,N2/N6,"")</f>
        <v/>
      </c>
      <c r="O9" s="22"/>
      <c r="P9" s="508" t="e">
        <f>P2/P6</f>
        <v>#DIV/0!</v>
      </c>
      <c r="Q9" s="18"/>
      <c r="R9" s="101"/>
    </row>
    <row r="10" spans="1:18" ht="13.8" x14ac:dyDescent="0.3">
      <c r="A10" s="18"/>
      <c r="B10" s="18"/>
      <c r="C10" s="18"/>
      <c r="D10" s="18"/>
      <c r="E10" s="18"/>
      <c r="F10" s="18"/>
      <c r="G10" s="18"/>
      <c r="H10" s="18"/>
      <c r="I10" s="18"/>
      <c r="J10" s="18"/>
      <c r="K10" s="18"/>
      <c r="L10" s="18"/>
      <c r="M10" s="18"/>
      <c r="N10" s="18"/>
      <c r="O10" s="18"/>
      <c r="P10" s="18"/>
      <c r="Q10" s="18"/>
    </row>
    <row r="11" spans="1:18" ht="13.8" x14ac:dyDescent="0.3">
      <c r="A11" s="147" t="s">
        <v>348</v>
      </c>
    </row>
    <row r="12" spans="1:18" ht="13.8" x14ac:dyDescent="0.3">
      <c r="A12" s="21" t="s">
        <v>120</v>
      </c>
      <c r="B12" s="503"/>
      <c r="C12" s="503"/>
      <c r="D12" s="503"/>
      <c r="E12" s="503"/>
      <c r="F12" s="503"/>
      <c r="G12" s="503"/>
      <c r="H12" s="503"/>
      <c r="I12" s="503"/>
      <c r="J12" s="81">
        <f>'AK+VERB'!B107+'AK+VERB'!H107+'AK+VERB'!N107</f>
        <v>0</v>
      </c>
      <c r="K12" s="503"/>
      <c r="L12" s="81">
        <f>AKzondVERB!B13+AKzondVERB!H13+AKzondVERB!N13</f>
        <v>0</v>
      </c>
      <c r="M12" s="503"/>
      <c r="N12" s="503"/>
      <c r="O12" s="503"/>
      <c r="P12" s="81">
        <f>J12+L12</f>
        <v>0</v>
      </c>
      <c r="Q12" s="503"/>
    </row>
    <row r="13" spans="1:18" ht="13.8" x14ac:dyDescent="0.3">
      <c r="A13" s="21" t="s">
        <v>349</v>
      </c>
      <c r="B13" s="81">
        <f>IF(OR('Overzicht BTA'!$B$7="Nieuwbouw 21%",'Overzicht BTA'!$B$7="Nieuwbouw 6-12-21%"),'uitgebreide raming_gewijzigd'!B6,0)+IF(OR('Overzicht BTA'!$B$8="Nieuwbouw 21%",'Overzicht BTA'!$B$8="Nieuwbouw 6-12-21%"),'uitgebreide raming_gewijzigd'!D6,0)+IF(OR('Overzicht BTA'!$B$9="Nieuwbouw 21%",'Overzicht BTA'!$B$9="Nieuwbouw 6-12-21%"),'uitgebreide raming_gewijzigd'!F6,0)+IF(OR('Overzicht BTA'!$B$10="Nieuwbouw 21%",'Overzicht BTA'!$B$10="Nieuwbouw 6-12-21%"),'uitgebreide raming_gewijzigd'!H6,0)+IF(OR('Overzicht BTA'!$H$7="Nieuwbouw 21%",'Overzicht BTA'!$H$7="Nieuwbouw 6-12-21%"),'uitgebreide raming_gewijzigd'!B33,0)+IF(OR('Overzicht BTA'!$H$8="Nieuwbouw 21%",'Overzicht BTA'!$H$8="Nieuwbouw 6-12-21%"),'uitgebreide raming_gewijzigd'!D33,0)+IF(OR('Overzicht BTA'!$H$9="Nieuwbouw 21%",'Overzicht BTA'!$H$9="Nieuwbouw 6-12-21%"),'uitgebreide raming_gewijzigd'!F33,0)+IF(OR('Overzicht BTA'!H10="Nieuwbouw 21%",'Overzicht BTA'!H10="Nieuwbouw 6-12-21%"),'uitgebreide raming_gewijzigd'!H33,0)+IF(OR('Overzicht BTA'!$N$7="Nieuwbouw 21%",'Overzicht BTA'!$N$7="Nieuwbouw 6-12-21%"),'uitgebreide raming_gewijzigd'!B60,0)+IF(OR('Overzicht BTA'!$N$8="Nieuwbouw 21%",'Overzicht BTA'!$N$8="Nieuwbouw 6-12-21%"),'uitgebreide raming_gewijzigd'!D60,0)+IF(OR('Overzicht BTA'!$N$9="Nieuwbouw 21%",'Overzicht BTA'!$N$9="Nieuwbouw 6-12-21%"),'uitgebreide raming_gewijzigd'!F60,0)+IF(OR('Overzicht BTA'!$N$10="Nieuwbouw 21%",'Overzicht BTA'!$N$10="Nieuwbouw 6-12-21%"),'uitgebreide raming_gewijzigd'!H60,0)</f>
        <v>0</v>
      </c>
      <c r="C13" s="82" t="e">
        <f>B13/B18</f>
        <v>#DIV/0!</v>
      </c>
      <c r="D13" s="81">
        <f>IF('Overzicht BTA'!$B$7="Uitbreiding",'uitgebreide raming_gewijzigd'!B6,0)+IF('Overzicht BTA'!$B$8="Uitbreiding",'uitgebreide raming_gewijzigd'!D6,0)+IF('Overzicht BTA'!$B$9="Uitbreiding",'uitgebreide raming_gewijzigd'!F6,0)+IF('Overzicht BTA'!$B$10="Uitbreiding",'uitgebreide raming_gewijzigd'!H6,0)+IF('Overzicht BTA'!$H$7="Uitbreiding",'uitgebreide raming_gewijzigd'!B33,0)+IF('Overzicht BTA'!$H$8="Uitbreiding",'uitgebreide raming_gewijzigd'!D33,0)+IF('Overzicht BTA'!$H$9="Uitbreiding",'uitgebreide raming_gewijzigd'!F33,0)+IF('Overzicht BTA'!$H$10="Uitbreiding",'uitgebreide raming_gewijzigd'!H33,0)+IF('Overzicht BTA'!$N$7="Uitbreiding",'uitgebreide raming_gewijzigd'!B60,0)+IF('Overzicht BTA'!$N$8="Uitbreiding",'uitgebreide raming_gewijzigd'!D60,0)+IF('Overzicht BTA'!$N$9="Uitbreiding",'uitgebreide raming_gewijzigd'!F60,0)+IF('Overzicht BTA'!$N$10="Uitbreiding",'uitgebreide raming_gewijzigd'!H60,0)</f>
        <v>0</v>
      </c>
      <c r="E13" s="82" t="e">
        <f>D13/D18</f>
        <v>#DIV/0!</v>
      </c>
      <c r="F13" s="81">
        <f>IF('Overzicht BTA'!$B$7="Verbouwing",'uitgebreide raming_gewijzigd'!B6,0)+IF('Overzicht BTA'!$B$8="Verbouwing",'uitgebreide raming_gewijzigd'!D6,0)+IF('Overzicht BTA'!$B$9="Verbouwing",'uitgebreide raming_gewijzigd'!F6,0)+IF('Overzicht BTA'!$B$10="Verbouwing",'uitgebreide raming_gewijzigd'!H6,0)+IF('Overzicht BTA'!$H$7="Verbouwing",'uitgebreide raming_gewijzigd'!B33,0)+IF('Overzicht BTA'!$H$8="Verbouwing",'uitgebreide raming_gewijzigd'!D33,0)+IF('Overzicht BTA'!$H$9="Verbouwing",'uitgebreide raming_gewijzigd'!F33,0)+IF('Overzicht BTA'!$H$10="Verbouwing",'uitgebreide raming_gewijzigd'!H33,0)+IF('Overzicht BTA'!$N$7="Verbouwing",'uitgebreide raming_gewijzigd'!B60,0)+IF('Overzicht BTA'!$N$8="Verbouwing",'uitgebreide raming_gewijzigd'!D60,0)+IF('Overzicht BTA'!$N$9="Verbouwing",'uitgebreide raming_gewijzigd'!F60,0)+IF('Overzicht BTA'!$N$10="Verbouwing",'uitgebreide raming_gewijzigd'!H60,0)</f>
        <v>0</v>
      </c>
      <c r="G13" s="82" t="e">
        <f>F13/F18</f>
        <v>#DIV/0!</v>
      </c>
      <c r="H13" s="81">
        <f>IF('Overzicht BTA'!$B$7="IER",'uitgebreide raming_gewijzigd'!B6,0)+IF('Overzicht BTA'!$B$8="IER",'uitgebreide raming_gewijzigd'!D6,0)+IF('Overzicht BTA'!$B$9="IER",'uitgebreide raming_gewijzigd'!F6,0)+IF('Overzicht BTA'!$B$10="IER",'uitgebreide raming_gewijzigd'!H6,0)+IF('Overzicht BTA'!$H$7="IER",'uitgebreide raming_gewijzigd'!B33,0)+IF('Overzicht BTA'!$H$8="IER",'uitgebreide raming_gewijzigd'!D33,0)+IF('Overzicht BTA'!$H$9="IER",'uitgebreide raming_gewijzigd'!F33,0)+IF('Overzicht BTA'!$H$10="IER",'uitgebreide raming_gewijzigd'!H33,0)+IF('Overzicht BTA'!$N$7="IER",'uitgebreide raming_gewijzigd'!B60,0)+IF('Overzicht BTA'!$N$8="IER",'uitgebreide raming_gewijzigd'!D60,0)+IF('Overzicht BTA'!$N$9="IER",'uitgebreide raming_gewijzigd'!F60,0)+IF('Overzicht BTA'!$N$10="IER",'uitgebreide raming_gewijzigd'!H60,0)</f>
        <v>0</v>
      </c>
      <c r="I13" s="82" t="e">
        <f>H13/H18</f>
        <v>#DIV/0!</v>
      </c>
      <c r="J13" s="81">
        <f>IF('Overzicht BTA'!$B$7="Aankoop met verbouwing",'uitgebreide raming_gewijzigd'!B6,0)+IF('Overzicht BTA'!$B$8="Aankoop met verbouwing",'uitgebreide raming_gewijzigd'!D6,0)+IF('Overzicht BTA'!$B$9="Aankoop met verbouwing",'uitgebreide raming_gewijzigd'!F6,0)+IF('Overzicht BTA'!$B$10="Aankoop met verbouwing",'uitgebreide raming_gewijzigd'!H6,0)+IF('Overzicht BTA'!$H$7="Aankoop met verbouwing",'uitgebreide raming_gewijzigd'!B33,0)+IF('Overzicht BTA'!$H$8="Aankoop met verbouwing",'uitgebreide raming_gewijzigd'!D33,0)+IF('Overzicht BTA'!$H$9="Aankoop met verbouwing",'uitgebreide raming_gewijzigd'!F33,0)+IF('Overzicht BTA'!HG$10="Aankoop met verbouwing",'uitgebreide raming_gewijzigd'!H33,0)+IF('Overzicht BTA'!$N$7="Aankoop met verbouwing",'uitgebreide raming_gewijzigd'!B60,0)+IF('Overzicht BTA'!$N$8="Aankoop met verbouwing",'uitgebreide raming_gewijzigd'!D60,0)+IF('Overzicht BTA'!$N$9="Aankoop met verbouwing",'uitgebreide raming_gewijzigd'!F60,0)+IF('Overzicht BTA'!$N$10="Aankoop met verbouwing",'uitgebreide raming_gewijzigd'!H60,0)</f>
        <v>0</v>
      </c>
      <c r="K13" s="82" t="e">
        <f>J13/J18</f>
        <v>#DIV/0!</v>
      </c>
      <c r="L13" s="81"/>
      <c r="M13" s="82"/>
      <c r="N13" s="81">
        <f>IF('Overzicht BTA'!$B$7=Bron!$B$13,'uitgebreide raming_gewijzigd'!B6,0)+IF('Overzicht BTA'!$B$8=Bron!$B$13,'uitgebreide raming_gewijzigd'!D6,0)+IF('Overzicht BTA'!$B$9=Bron!$B$13,'uitgebreide raming_gewijzigd'!F6,0)+IF('Overzicht BTA'!$B$10=Bron!$B$13,'uitgebreide raming_gewijzigd'!H6,0)+IF('Overzicht BTA'!$H$7=Bron!$B$13,'uitgebreide raming_gewijzigd'!B33,0)+IF('Overzicht BTA'!$H$8=Bron!$B$13,'uitgebreide raming_gewijzigd'!D33,0)+IF('Overzicht BTA'!$H$9=Bron!$B$13,'uitgebreide raming_gewijzigd'!F33,0)+IF('Overzicht BTA'!$H$10=Bron!$B$13,'uitgebreide raming_gewijzigd'!H33,0)+IF('Overzicht BTA'!$N$7=Bron!$B$13,'uitgebreide raming_gewijzigd'!B60,0)+IF('Overzicht BTA'!$N$8=Bron!$B$13,'uitgebreide raming_gewijzigd'!D60,0)+IF('Overzicht BTA'!$N$9=Bron!$B$13,'uitgebreide raming_gewijzigd'!F60,0)+IF('Overzicht BTA'!$N$10=Bron!$B$13,'uitgebreide raming_gewijzigd'!H60,0)+IF('Overzicht BTA'!$B$7=Bron!$B$14,'uitgebreide raming_gewijzigd'!B6,0)+IF('Overzicht BTA'!$B$8=Bron!$B$14,'uitgebreide raming_gewijzigd'!D6,0)+IF('Overzicht BTA'!$B$9=Bron!$B$14,'uitgebreide raming_gewijzigd'!F6,0)+IF('Overzicht BTA'!$B$10=Bron!$B$14,'uitgebreide raming_gewijzigd'!H6,0)+IF('Overzicht BTA'!$H$7=Bron!$B$14,'uitgebreide raming_gewijzigd'!B33,0)+IF('Overzicht BTA'!$H$8=Bron!$B$14,'uitgebreide raming_gewijzigd'!D33,0)+IF('Overzicht BTA'!$H$9=Bron!$B$14,'uitgebreide raming_gewijzigd'!F33,0)+IF('Overzicht BTA'!$H$10=Bron!$B$14,'uitgebreide raming_gewijzigd'!H33,0)+IF('Overzicht BTA'!$N$7=Bron!$B$14,'uitgebreide raming_gewijzigd'!B60,0)+IF('Overzicht BTA'!$N$8=Bron!$B$14,'uitgebreide raming_gewijzigd'!D60,0)+IF('Overzicht BTA'!$N$9=Bron!$B$14,'uitgebreide raming_gewijzigd'!F60,0)+IF('Overzicht BTA'!$N$10=Bron!$B$14,'uitgebreide raming_gewijzigd'!H60,0)</f>
        <v>0</v>
      </c>
      <c r="O13" s="82" t="e">
        <f>N13/N18</f>
        <v>#DIV/0!</v>
      </c>
      <c r="P13" s="81">
        <f>B13+D13+F13+H13+J13+N13</f>
        <v>0</v>
      </c>
      <c r="Q13" s="82" t="e">
        <f>P13/P18</f>
        <v>#DIV/0!</v>
      </c>
    </row>
    <row r="14" spans="1:18" ht="13.8" x14ac:dyDescent="0.3">
      <c r="A14" s="21" t="s">
        <v>350</v>
      </c>
      <c r="B14" s="81">
        <f>IF(OR('Overzicht BTA'!$B$7="Nieuwbouw 21%",'Overzicht BTA'!$B$7="Nieuwbouw 6-12-21%"),'uitgebreide raming_gewijzigd'!B7,0)+IF(OR('Overzicht BTA'!$B$8="Nieuwbouw 21%",'Overzicht BTA'!$B$8="Nieuwbouw 6-12-21%"),'uitgebreide raming_gewijzigd'!D7,0)+IF(OR('Overzicht BTA'!$B$9="Nieuwbouw 21%",'Overzicht BTA'!$B$9="Nieuwbouw 6-12-21%"),'uitgebreide raming_gewijzigd'!F7,0)+IF(OR('Overzicht BTA'!$B$10="Nieuwbouw 21%",'Overzicht BTA'!$B$10="Nieuwbouw 6-12-21%"),'uitgebreide raming_gewijzigd'!H7,0)+IF(OR('Overzicht BTA'!$H$7="Nieuwbouw 21%",'Overzicht BTA'!$H$7="Nieuwbouw 6-12-21%"),'uitgebreide raming_gewijzigd'!B34,0)+IF(OR('Overzicht BTA'!$H$8="Nieuwbouw 21%",'Overzicht BTA'!$H$8="Nieuwbouw 6-12-21%"),'uitgebreide raming_gewijzigd'!D34,0)+IF(OR('Overzicht BTA'!$H$9="Nieuwbouw 21%",'Overzicht BTA'!$H$9="Nieuwbouw 6-12-21%"),'uitgebreide raming_gewijzigd'!F34,0)+IF(OR('Overzicht BTA'!H11="Nieuwbouw 21%",'Overzicht BTA'!H11="Nieuwbouw 6-12-21%"),'uitgebreide raming_gewijzigd'!H34,0)+IF(OR('Overzicht BTA'!$N$7="Nieuwbouw 21%",'Overzicht BTA'!$N$7="Nieuwbouw 6-12-21%"),'uitgebreide raming_gewijzigd'!B61,0)+IF(OR('Overzicht BTA'!$N$8="Nieuwbouw 21%",'Overzicht BTA'!$N$8="Nieuwbouw 6-12-21%"),'uitgebreide raming_gewijzigd'!D61,0)+IF(OR('Overzicht BTA'!$N$9="Nieuwbouw 21%",'Overzicht BTA'!$N$9="Nieuwbouw 6-12-21%"),'uitgebreide raming_gewijzigd'!F61,0)+IF(OR('Overzicht BTA'!$N$10="Nieuwbouw 21%",'Overzicht BTA'!$N$10="Nieuwbouw 6-12-21%"),'uitgebreide raming_gewijzigd'!H61,0)</f>
        <v>0</v>
      </c>
      <c r="C14" s="82" t="e">
        <f>B14/B18</f>
        <v>#DIV/0!</v>
      </c>
      <c r="D14" s="81">
        <f>IF('Overzicht BTA'!$B$7="Uitbreiding",'uitgebreide raming_gewijzigd'!B7,0)+IF('Overzicht BTA'!$B$8="Uitbreiding",'uitgebreide raming_gewijzigd'!D7,0)+IF('Overzicht BTA'!$B$9="Uitbreiding",'uitgebreide raming_gewijzigd'!F7,0)+IF('Overzicht BTA'!$B$10="Uitbreiding",'uitgebreide raming_gewijzigd'!H7,0)+IF('Overzicht BTA'!$H$7="Uitbreiding",'uitgebreide raming_gewijzigd'!B34,0)+IF('Overzicht BTA'!$H$8="Uitbreiding",'uitgebreide raming_gewijzigd'!D34,0)+IF('Overzicht BTA'!$H$9="Uitbreiding",'uitgebreide raming_gewijzigd'!F34,0)+IF('Overzicht BTA'!$H$10="Uitbreiding",'uitgebreide raming_gewijzigd'!H34,0)+IF('Overzicht BTA'!$N$7="Uitbreiding",'uitgebreide raming_gewijzigd'!B61,0)+IF('Overzicht BTA'!$N$8="Uitbreiding",'uitgebreide raming_gewijzigd'!D61,0)+IF('Overzicht BTA'!$N$9="Uitbreiding",'uitgebreide raming_gewijzigd'!F61,0)+IF('Overzicht BTA'!$N$10="Uitbreiding",'uitgebreide raming_gewijzigd'!H61,0)</f>
        <v>0</v>
      </c>
      <c r="E14" s="82" t="e">
        <f>D14/D18</f>
        <v>#DIV/0!</v>
      </c>
      <c r="F14" s="81">
        <f>IF('Overzicht BTA'!$B$7="Verbouwing",'uitgebreide raming_gewijzigd'!B7,0)+IF('Overzicht BTA'!$B$8="Verbouwing",'uitgebreide raming_gewijzigd'!D7,0)+IF('Overzicht BTA'!$B$9="Verbouwing",'uitgebreide raming_gewijzigd'!F7,0)+IF('Overzicht BTA'!$B$10="Verbouwing",'uitgebreide raming_gewijzigd'!H7,0)+IF('Overzicht BTA'!$H$7="Verbouwing",'uitgebreide raming_gewijzigd'!B34,0)+IF('Overzicht BTA'!$H$8="Verbouwing",'uitgebreide raming_gewijzigd'!D34,0)+IF('Overzicht BTA'!$H$9="Verbouwing",'uitgebreide raming_gewijzigd'!F34,0)+IF('Overzicht BTA'!$H$10="Verbouwing",'uitgebreide raming_gewijzigd'!H34,0)+IF('Overzicht BTA'!$N$7="Verbouwing",'uitgebreide raming_gewijzigd'!B61,0)+IF('Overzicht BTA'!$N$8="Verbouwing",'uitgebreide raming_gewijzigd'!D61,0)+IF('Overzicht BTA'!$N$9="Verbouwing",'uitgebreide raming_gewijzigd'!F61,0)+IF('Overzicht BTA'!$N$10="Verbouwing",'uitgebreide raming_gewijzigd'!H61,0)</f>
        <v>0</v>
      </c>
      <c r="G14" s="82" t="e">
        <f>F14/F18</f>
        <v>#DIV/0!</v>
      </c>
      <c r="H14" s="81">
        <f>IF('Overzicht BTA'!$B$7="IER",'uitgebreide raming_gewijzigd'!B7,0)+IF('Overzicht BTA'!$B$8="IER",'uitgebreide raming_gewijzigd'!D7,0)+IF('Overzicht BTA'!$B$9="IER",'uitgebreide raming_gewijzigd'!F7,0)+IF('Overzicht BTA'!$B$10="IER",'uitgebreide raming_gewijzigd'!H7,0)+IF('Overzicht BTA'!$H$7="IER",'uitgebreide raming_gewijzigd'!B34,0)+IF('Overzicht BTA'!$H$8="IER",'uitgebreide raming_gewijzigd'!D34,0)+IF('Overzicht BTA'!$H$9="IER",'uitgebreide raming_gewijzigd'!F34,0)+IF('Overzicht BTA'!$H$10="IER",'uitgebreide raming_gewijzigd'!H34,0)+IF('Overzicht BTA'!$N$7="IER",'uitgebreide raming_gewijzigd'!B61,0)+IF('Overzicht BTA'!$N$8="IER",'uitgebreide raming_gewijzigd'!D61,0)+IF('Overzicht BTA'!$N$9="IER",'uitgebreide raming_gewijzigd'!F61,0)+IF('Overzicht BTA'!$N$10="IER",'uitgebreide raming_gewijzigd'!H61,0)</f>
        <v>0</v>
      </c>
      <c r="I14" s="82" t="e">
        <f>H14/H18</f>
        <v>#DIV/0!</v>
      </c>
      <c r="J14" s="81">
        <f>IF('Overzicht BTA'!$B$7="Aankoop met verbouwing",'uitgebreide raming_gewijzigd'!B7,0)+IF('Overzicht BTA'!$B$8="Aankoop met verbouwing",'uitgebreide raming_gewijzigd'!D7,0)+IF('Overzicht BTA'!$B$9="Aankoop met verbouwing",'uitgebreide raming_gewijzigd'!F7,0)+IF('Overzicht BTA'!$B$10="Aankoop met verbouwing",'uitgebreide raming_gewijzigd'!H7,0)+IF('Overzicht BTA'!$H$7="Aankoop met verbouwing",'uitgebreide raming_gewijzigd'!B34,0)+IF('Overzicht BTA'!$H$8="Aankoop met verbouwing",'uitgebreide raming_gewijzigd'!D34,0)+IF('Overzicht BTA'!$H$9="Aankoop met verbouwing",'uitgebreide raming_gewijzigd'!F34,0)+IF('Overzicht BTA'!HG$10="Aankoop met verbouwing",'uitgebreide raming_gewijzigd'!H34,0)+IF('Overzicht BTA'!$N$7="Aankoop met verbouwing",'uitgebreide raming_gewijzigd'!B61,0)+IF('Overzicht BTA'!$N$8="Aankoop met verbouwing",'uitgebreide raming_gewijzigd'!D61,0)+IF('Overzicht BTA'!$N$9="Aankoop met verbouwing",'uitgebreide raming_gewijzigd'!F61,0)+IF('Overzicht BTA'!$N$10="Aankoop met verbouwing",'uitgebreide raming_gewijzigd'!H61,0)</f>
        <v>0</v>
      </c>
      <c r="K14" s="82" t="e">
        <f>J14/J18</f>
        <v>#DIV/0!</v>
      </c>
      <c r="L14" s="81"/>
      <c r="M14" s="82"/>
      <c r="N14" s="81">
        <f>IF('Overzicht BTA'!$B$7=Bron!$B$13,'uitgebreide raming_gewijzigd'!B7,0)+IF('Overzicht BTA'!$B$8=Bron!$B$13,'uitgebreide raming_gewijzigd'!D7,0)+IF('Overzicht BTA'!$B$9=Bron!$B$13,'uitgebreide raming_gewijzigd'!F7,0)+IF('Overzicht BTA'!$B$10=Bron!$B$13,'uitgebreide raming_gewijzigd'!H7,0)+IF('Overzicht BTA'!$H$7=Bron!$B$13,'uitgebreide raming_gewijzigd'!B34,0)+IF('Overzicht BTA'!$H$8=Bron!$B$13,'uitgebreide raming_gewijzigd'!D34,0)+IF('Overzicht BTA'!$H$9=Bron!$B$13,'uitgebreide raming_gewijzigd'!F34,0)+IF('Overzicht BTA'!$H$10=Bron!$B$13,'uitgebreide raming_gewijzigd'!H34,0)+IF('Overzicht BTA'!$N$7=Bron!$B$13,'uitgebreide raming_gewijzigd'!B61,0)+IF('Overzicht BTA'!$N$8=Bron!$B$13,'uitgebreide raming_gewijzigd'!D61,0)+IF('Overzicht BTA'!$N$9=Bron!$B$13,'uitgebreide raming_gewijzigd'!F61,0)+IF('Overzicht BTA'!$N$10=Bron!$B$13,'uitgebreide raming_gewijzigd'!H61,0)+IF('Overzicht BTA'!$B$7=Bron!$B$14,'uitgebreide raming_gewijzigd'!B7,0)+IF('Overzicht BTA'!$B$8=Bron!$B$14,'uitgebreide raming_gewijzigd'!D7,0)+IF('Overzicht BTA'!$B$9=Bron!$B$14,'uitgebreide raming_gewijzigd'!F7,0)+IF('Overzicht BTA'!$B$10=Bron!$B$14,'uitgebreide raming_gewijzigd'!H7,0)+IF('Overzicht BTA'!$H$7=Bron!$B$14,'uitgebreide raming_gewijzigd'!B34,0)+IF('Overzicht BTA'!$H$8=Bron!$B$14,'uitgebreide raming_gewijzigd'!D34,0)+IF('Overzicht BTA'!$H$9=Bron!$B$14,'uitgebreide raming_gewijzigd'!F34,0)+IF('Overzicht BTA'!$H$10=Bron!$B$14,'uitgebreide raming_gewijzigd'!H34,0)+IF('Overzicht BTA'!$N$7=Bron!$B$14,'uitgebreide raming_gewijzigd'!B61,0)+IF('Overzicht BTA'!$N$8=Bron!$B$14,'uitgebreide raming_gewijzigd'!D61,0)+IF('Overzicht BTA'!$N$9=Bron!$B$14,'uitgebreide raming_gewijzigd'!F61,0)+IF('Overzicht BTA'!$N$10=Bron!$B$14,'uitgebreide raming_gewijzigd'!H61,0)</f>
        <v>0</v>
      </c>
      <c r="O14" s="82" t="e">
        <f>N14/N18</f>
        <v>#DIV/0!</v>
      </c>
      <c r="P14" s="81">
        <f t="shared" ref="P14:P17" si="1">B14+D14+F14+H14+J14+N14</f>
        <v>0</v>
      </c>
      <c r="Q14" s="82" t="e">
        <f>P14/P18</f>
        <v>#DIV/0!</v>
      </c>
    </row>
    <row r="15" spans="1:18" ht="13.8" x14ac:dyDescent="0.3">
      <c r="A15" s="21" t="s">
        <v>351</v>
      </c>
      <c r="B15" s="81">
        <f>IF(OR('Overzicht BTA'!$B$7="Nieuwbouw 21%",'Overzicht BTA'!$B$7="Nieuwbouw 6-12-21%"),'uitgebreide raming_gewijzigd'!B8,0)+IF(OR('Overzicht BTA'!$B$8="Nieuwbouw 21%",'Overzicht BTA'!$B$8="Nieuwbouw 6-12-21%"),'uitgebreide raming_gewijzigd'!D8,0)+IF(OR('Overzicht BTA'!$B$9="Nieuwbouw 21%",'Overzicht BTA'!$B$9="Nieuwbouw 6-12-21%"),'uitgebreide raming_gewijzigd'!F8,0)+IF(OR('Overzicht BTA'!$B$10="Nieuwbouw 21%",'Overzicht BTA'!$B$10="Nieuwbouw 6-12-21%"),'uitgebreide raming_gewijzigd'!H8,0)+IF(OR('Overzicht BTA'!$H$7="Nieuwbouw 21%",'Overzicht BTA'!$H$7="Nieuwbouw 6-12-21%"),'uitgebreide raming_gewijzigd'!B35,0)+IF(OR('Overzicht BTA'!$H$8="Nieuwbouw 21%",'Overzicht BTA'!$H$8="Nieuwbouw 6-12-21%"),'uitgebreide raming_gewijzigd'!D35,0)+IF(OR('Overzicht BTA'!$H$9="Nieuwbouw 21%",'Overzicht BTA'!$H$9="Nieuwbouw 6-12-21%"),'uitgebreide raming_gewijzigd'!F35,0)+IF(OR('Overzicht BTA'!H12="Nieuwbouw 21%",'Overzicht BTA'!H12="Nieuwbouw 6-12-21%"),'uitgebreide raming_gewijzigd'!H35,0)+IF(OR('Overzicht BTA'!$N$7="Nieuwbouw 21%",'Overzicht BTA'!$N$7="Nieuwbouw 6-12-21%"),'uitgebreide raming_gewijzigd'!B62,0)+IF(OR('Overzicht BTA'!$N$8="Nieuwbouw 21%",'Overzicht BTA'!$N$8="Nieuwbouw 6-12-21%"),'uitgebreide raming_gewijzigd'!D62,0)+IF(OR('Overzicht BTA'!$N$9="Nieuwbouw 21%",'Overzicht BTA'!$N$9="Nieuwbouw 6-12-21%"),'uitgebreide raming_gewijzigd'!F62,0)+IF(OR('Overzicht BTA'!$N$10="Nieuwbouw 21%",'Overzicht BTA'!$N$10="Nieuwbouw 6-12-21%"),'uitgebreide raming_gewijzigd'!H62,0)</f>
        <v>0</v>
      </c>
      <c r="C15" s="82" t="e">
        <f>B15/B18</f>
        <v>#DIV/0!</v>
      </c>
      <c r="D15" s="81">
        <f>IF('Overzicht BTA'!$B$7="Uitbreiding",'uitgebreide raming_gewijzigd'!B8,0)+IF('Overzicht BTA'!$B$8="Uitbreiding",'uitgebreide raming_gewijzigd'!D8,0)+IF('Overzicht BTA'!$B$9="Uitbreiding",'uitgebreide raming_gewijzigd'!F8,0)+IF('Overzicht BTA'!$B$10="Uitbreiding",'uitgebreide raming_gewijzigd'!H8,0)+IF('Overzicht BTA'!$H$7="Uitbreiding",'uitgebreide raming_gewijzigd'!B35,0)+IF('Overzicht BTA'!$H$8="Uitbreiding",'uitgebreide raming_gewijzigd'!D35,0)+IF('Overzicht BTA'!$H$9="Uitbreiding",'uitgebreide raming_gewijzigd'!F35,0)+IF('Overzicht BTA'!$H$10="Uitbreiding",'uitgebreide raming_gewijzigd'!H35,0)+IF('Overzicht BTA'!$N$7="Uitbreiding",'uitgebreide raming_gewijzigd'!B62,0)+IF('Overzicht BTA'!$N$8="Uitbreiding",'uitgebreide raming_gewijzigd'!D62,0)+IF('Overzicht BTA'!$N$9="Uitbreiding",'uitgebreide raming_gewijzigd'!F62,0)+IF('Overzicht BTA'!$N$10="Uitbreiding",'uitgebreide raming_gewijzigd'!H62,0)</f>
        <v>0</v>
      </c>
      <c r="E15" s="82" t="e">
        <f>D15/D18</f>
        <v>#DIV/0!</v>
      </c>
      <c r="F15" s="81">
        <f>IF('Overzicht BTA'!$B$7="Verbouwing",'uitgebreide raming_gewijzigd'!B8,0)+IF('Overzicht BTA'!$B$8="Verbouwing",'uitgebreide raming_gewijzigd'!D8,0)+IF('Overzicht BTA'!$B$9="Verbouwing",'uitgebreide raming_gewijzigd'!F8,0)+IF('Overzicht BTA'!$B$10="Verbouwing",'uitgebreide raming_gewijzigd'!H8,0)+IF('Overzicht BTA'!$H$7="Verbouwing",'uitgebreide raming_gewijzigd'!B35,0)+IF('Overzicht BTA'!$H$8="Verbouwing",'uitgebreide raming_gewijzigd'!D35,0)+IF('Overzicht BTA'!$H$9="Verbouwing",'uitgebreide raming_gewijzigd'!F35,0)+IF('Overzicht BTA'!$H$10="Verbouwing",'uitgebreide raming_gewijzigd'!H35,0)+IF('Overzicht BTA'!$N$7="Verbouwing",'uitgebreide raming_gewijzigd'!B62,0)+IF('Overzicht BTA'!$N$8="Verbouwing",'uitgebreide raming_gewijzigd'!D62,0)+IF('Overzicht BTA'!$N$9="Verbouwing",'uitgebreide raming_gewijzigd'!F62,0)+IF('Overzicht BTA'!$N$10="Verbouwing",'uitgebreide raming_gewijzigd'!H62,0)</f>
        <v>0</v>
      </c>
      <c r="G15" s="82" t="e">
        <f>F15/F18</f>
        <v>#DIV/0!</v>
      </c>
      <c r="H15" s="81">
        <f>IF('Overzicht BTA'!$B$7="IER",'uitgebreide raming_gewijzigd'!B8,0)+IF('Overzicht BTA'!$B$8="IER",'uitgebreide raming_gewijzigd'!D8,0)+IF('Overzicht BTA'!$B$9="IER",'uitgebreide raming_gewijzigd'!F8,0)+IF('Overzicht BTA'!$B$10="IER",'uitgebreide raming_gewijzigd'!H8,0)+IF('Overzicht BTA'!$H$7="IER",'uitgebreide raming_gewijzigd'!B35,0)+IF('Overzicht BTA'!$H$8="IER",'uitgebreide raming_gewijzigd'!D35,0)+IF('Overzicht BTA'!$H$9="IER",'uitgebreide raming_gewijzigd'!F35,0)+IF('Overzicht BTA'!$H$10="IER",'uitgebreide raming_gewijzigd'!H35,0)+IF('Overzicht BTA'!$N$7="IER",'uitgebreide raming_gewijzigd'!B62,0)+IF('Overzicht BTA'!$N$8="IER",'uitgebreide raming_gewijzigd'!D62,0)+IF('Overzicht BTA'!$N$9="IER",'uitgebreide raming_gewijzigd'!F62,0)+IF('Overzicht BTA'!$N$10="IER",'uitgebreide raming_gewijzigd'!H62,0)</f>
        <v>0</v>
      </c>
      <c r="I15" s="82" t="e">
        <f>H15/H18</f>
        <v>#DIV/0!</v>
      </c>
      <c r="J15" s="81">
        <f>IF('Overzicht BTA'!$B$7="Aankoop met verbouwing",'uitgebreide raming_gewijzigd'!B8,0)+IF('Overzicht BTA'!$B$8="Aankoop met verbouwing",'uitgebreide raming_gewijzigd'!D8,0)+IF('Overzicht BTA'!$B$9="Aankoop met verbouwing",'uitgebreide raming_gewijzigd'!F8,0)+IF('Overzicht BTA'!$B$10="Aankoop met verbouwing",'uitgebreide raming_gewijzigd'!H8,0)+IF('Overzicht BTA'!$H$7="Aankoop met verbouwing",'uitgebreide raming_gewijzigd'!B35,0)+IF('Overzicht BTA'!$H$8="Aankoop met verbouwing",'uitgebreide raming_gewijzigd'!D35,0)+IF('Overzicht BTA'!$H$9="Aankoop met verbouwing",'uitgebreide raming_gewijzigd'!F35,0)+IF('Overzicht BTA'!HG$10="Aankoop met verbouwing",'uitgebreide raming_gewijzigd'!H35,0)+IF('Overzicht BTA'!$N$7="Aankoop met verbouwing",'uitgebreide raming_gewijzigd'!B62,0)+IF('Overzicht BTA'!$N$8="Aankoop met verbouwing",'uitgebreide raming_gewijzigd'!D62,0)+IF('Overzicht BTA'!$N$9="Aankoop met verbouwing",'uitgebreide raming_gewijzigd'!F62,0)+IF('Overzicht BTA'!$N$10="Aankoop met verbouwing",'uitgebreide raming_gewijzigd'!H62,0)</f>
        <v>0</v>
      </c>
      <c r="K15" s="82" t="e">
        <f>J15/J18</f>
        <v>#DIV/0!</v>
      </c>
      <c r="L15" s="81"/>
      <c r="M15" s="82"/>
      <c r="N15" s="81">
        <f>IF('Overzicht BTA'!$B$7=Bron!$B$13,'uitgebreide raming_gewijzigd'!B8,0)+IF('Overzicht BTA'!$B$8=Bron!$B$13,'uitgebreide raming_gewijzigd'!D8,0)+IF('Overzicht BTA'!$B$9=Bron!$B$13,'uitgebreide raming_gewijzigd'!F8,0)+IF('Overzicht BTA'!$B$10=Bron!$B$13,'uitgebreide raming_gewijzigd'!H8,0)+IF('Overzicht BTA'!$H$7=Bron!$B$13,'uitgebreide raming_gewijzigd'!B35,0)+IF('Overzicht BTA'!$H$8=Bron!$B$13,'uitgebreide raming_gewijzigd'!D35,0)+IF('Overzicht BTA'!$H$9=Bron!$B$13,'uitgebreide raming_gewijzigd'!F35,0)+IF('Overzicht BTA'!$H$10=Bron!$B$13,'uitgebreide raming_gewijzigd'!H35,0)+IF('Overzicht BTA'!$N$7=Bron!$B$13,'uitgebreide raming_gewijzigd'!B62,0)+IF('Overzicht BTA'!$N$8=Bron!$B$13,'uitgebreide raming_gewijzigd'!D62,0)+IF('Overzicht BTA'!$N$9=Bron!$B$13,'uitgebreide raming_gewijzigd'!F62,0)+IF('Overzicht BTA'!$N$10=Bron!$B$13,'uitgebreide raming_gewijzigd'!H62,0)+IF('Overzicht BTA'!$B$7=Bron!$B$14,'uitgebreide raming_gewijzigd'!B8,0)+IF('Overzicht BTA'!$B$8=Bron!$B$14,'uitgebreide raming_gewijzigd'!D8,0)+IF('Overzicht BTA'!$B$9=Bron!$B$14,'uitgebreide raming_gewijzigd'!F8,0)+IF('Overzicht BTA'!$B$10=Bron!$B$14,'uitgebreide raming_gewijzigd'!H8,0)+IF('Overzicht BTA'!$H$7=Bron!$B$14,'uitgebreide raming_gewijzigd'!B35,0)+IF('Overzicht BTA'!$H$8=Bron!$B$14,'uitgebreide raming_gewijzigd'!D35,0)+IF('Overzicht BTA'!$H$9=Bron!$B$14,'uitgebreide raming_gewijzigd'!F35,0)+IF('Overzicht BTA'!$H$10=Bron!$B$14,'uitgebreide raming_gewijzigd'!H35,0)+IF('Overzicht BTA'!$N$7=Bron!$B$14,'uitgebreide raming_gewijzigd'!B62,0)+IF('Overzicht BTA'!$N$8=Bron!$B$14,'uitgebreide raming_gewijzigd'!D62,0)+IF('Overzicht BTA'!$N$9=Bron!$B$14,'uitgebreide raming_gewijzigd'!F62,0)+IF('Overzicht BTA'!$N$10=Bron!$B$14,'uitgebreide raming_gewijzigd'!H62,0)</f>
        <v>0</v>
      </c>
      <c r="O15" s="82" t="e">
        <f>N15/N18</f>
        <v>#DIV/0!</v>
      </c>
      <c r="P15" s="81">
        <f t="shared" si="1"/>
        <v>0</v>
      </c>
      <c r="Q15" s="82" t="e">
        <f>P15/P18</f>
        <v>#DIV/0!</v>
      </c>
    </row>
    <row r="16" spans="1:18" ht="13.8" x14ac:dyDescent="0.3">
      <c r="A16" s="21" t="s">
        <v>352</v>
      </c>
      <c r="B16" s="83">
        <f>SUM(B13:B15)</f>
        <v>0</v>
      </c>
      <c r="C16" s="82" t="e">
        <f>B16/B18</f>
        <v>#DIV/0!</v>
      </c>
      <c r="D16" s="83">
        <f>SUM(D13:D15)</f>
        <v>0</v>
      </c>
      <c r="E16" s="82" t="e">
        <f>D16/D18</f>
        <v>#DIV/0!</v>
      </c>
      <c r="F16" s="83">
        <f>SUM(F13:F15)</f>
        <v>0</v>
      </c>
      <c r="G16" s="82" t="e">
        <f>F16/F18</f>
        <v>#DIV/0!</v>
      </c>
      <c r="H16" s="83">
        <f>SUM(H13:H15)</f>
        <v>0</v>
      </c>
      <c r="I16" s="82" t="e">
        <f>H16/H18</f>
        <v>#DIV/0!</v>
      </c>
      <c r="J16" s="83">
        <f>SUM(J13:J15)</f>
        <v>0</v>
      </c>
      <c r="K16" s="82" t="e">
        <f>J16/J18</f>
        <v>#DIV/0!</v>
      </c>
      <c r="L16" s="83"/>
      <c r="M16" s="82"/>
      <c r="N16" s="83">
        <f>SUM(N13:N15)</f>
        <v>0</v>
      </c>
      <c r="O16" s="82" t="e">
        <f>N16/N18</f>
        <v>#DIV/0!</v>
      </c>
      <c r="P16" s="83">
        <f>P13+P14+P15</f>
        <v>0</v>
      </c>
      <c r="Q16" s="82" t="e">
        <f>P16/P18</f>
        <v>#DIV/0!</v>
      </c>
    </row>
    <row r="17" spans="1:20" ht="13.8" x14ac:dyDescent="0.3">
      <c r="A17" s="21" t="s">
        <v>353</v>
      </c>
      <c r="B17" s="81">
        <f>IF(OR('Overzicht BTA'!$B$7="Nieuwbouw 21%",'Overzicht BTA'!$B$7="Nieuwbouw 6-12-21%"),'uitgebreide raming_gewijzigd'!B10,0)+IF(OR('Overzicht BTA'!$B$8="Nieuwbouw 21%",'Overzicht BTA'!$B$8="Nieuwbouw 6-12-21%"),'uitgebreide raming_gewijzigd'!D10,0)+IF(OR('Overzicht BTA'!$B$9="Nieuwbouw 21%",'Overzicht BTA'!$B$9="Nieuwbouw 6-12-21%"),'uitgebreide raming_gewijzigd'!F10,0)+IF(OR('Overzicht BTA'!$B$10="Nieuwbouw 21%",'Overzicht BTA'!$B$10="Nieuwbouw 6-12-21%"),'uitgebreide raming_gewijzigd'!H10,0)+IF(OR('Overzicht BTA'!$H$7="Nieuwbouw 21%",'Overzicht BTA'!$H$7="Nieuwbouw 6-12-21%"),'uitgebreide raming_gewijzigd'!B37,0)+IF(OR('Overzicht BTA'!$H$8="Nieuwbouw 21%",'Overzicht BTA'!$H$8="Nieuwbouw 6-12-21%"),'uitgebreide raming_gewijzigd'!D37,0)+IF(OR('Overzicht BTA'!$H$9="Nieuwbouw 21%",'Overzicht BTA'!$H$9="Nieuwbouw 6-12-21%"),'uitgebreide raming_gewijzigd'!F37,0)+IF(OR('Overzicht BTA'!H14="Nieuwbouw 21%",'Overzicht BTA'!H14="Nieuwbouw 6-12-21%"),'uitgebreide raming_gewijzigd'!H37,0)+IF(OR('Overzicht BTA'!$N$7="Nieuwbouw 21%",'Overzicht BTA'!$N$7="Nieuwbouw 6-12-21%"),'uitgebreide raming_gewijzigd'!B64,0)+IF(OR('Overzicht BTA'!$N$8="Nieuwbouw 21%",'Overzicht BTA'!$N$8="Nieuwbouw 6-12-21%"),'uitgebreide raming_gewijzigd'!D64,0)+IF(OR('Overzicht BTA'!$N$9="Nieuwbouw 21%",'Overzicht BTA'!$N$9="Nieuwbouw 6-12-21%"),'uitgebreide raming_gewijzigd'!F64,0)+IF(OR('Overzicht BTA'!$N$10="Nieuwbouw 21%",'Overzicht BTA'!$N$10="Nieuwbouw 6-12-21%"),'uitgebreide raming_gewijzigd'!H64,0)</f>
        <v>0</v>
      </c>
      <c r="C17" s="82" t="e">
        <f>B17/B18</f>
        <v>#DIV/0!</v>
      </c>
      <c r="D17" s="81">
        <f>IF('Overzicht BTA'!$B$7="Uitbreiding",'uitgebreide raming_gewijzigd'!B10,0)+IF('Overzicht BTA'!$B$8="Uitbreiding",'uitgebreide raming_gewijzigd'!D10,0)+IF('Overzicht BTA'!$B$9="Uitbreiding",'uitgebreide raming_gewijzigd'!F10,0)+IF('Overzicht BTA'!$B$10="Uitbreiding",'uitgebreide raming_gewijzigd'!H10,0)+IF('Overzicht BTA'!$H$7="Uitbreiding",'uitgebreide raming_gewijzigd'!B37,0)+IF('Overzicht BTA'!$H$8="Uitbreiding",'uitgebreide raming_gewijzigd'!D37,0)+IF('Overzicht BTA'!$H$9="Uitbreiding",'uitgebreide raming_gewijzigd'!F37,0)+IF('Overzicht BTA'!$H$10="Uitbreiding",'uitgebreide raming_gewijzigd'!H37,0)+IF('Overzicht BTA'!$N$7="Uitbreiding",'uitgebreide raming_gewijzigd'!B64,0)+IF('Overzicht BTA'!$N$8="Uitbreiding",'uitgebreide raming_gewijzigd'!D64,0)+IF('Overzicht BTA'!$N$9="Uitbreiding",'uitgebreide raming_gewijzigd'!F64,0)+IF('Overzicht BTA'!$N$10="Uitbreiding",'uitgebreide raming_gewijzigd'!H64,0)</f>
        <v>0</v>
      </c>
      <c r="E17" s="82" t="e">
        <f>D17/D18</f>
        <v>#DIV/0!</v>
      </c>
      <c r="F17" s="81">
        <f>IF('Overzicht BTA'!$B$7="Verbouwing",'uitgebreide raming_gewijzigd'!B10,0)+IF('Overzicht BTA'!$B$8="Verbouwing",'uitgebreide raming_gewijzigd'!D10,0)+IF('Overzicht BTA'!$B$9="Verbouwing",'uitgebreide raming_gewijzigd'!F10,0)+IF('Overzicht BTA'!$B$10="Verbouwing",'uitgebreide raming_gewijzigd'!H10,0)+IF('Overzicht BTA'!$H$7="Verbouwing",'uitgebreide raming_gewijzigd'!B37,0)+IF('Overzicht BTA'!$H$8="Verbouwing",'uitgebreide raming_gewijzigd'!D37,0)+IF('Overzicht BTA'!$H$9="Verbouwing",'uitgebreide raming_gewijzigd'!F37,0)+IF('Overzicht BTA'!$H$10="Verbouwing",'uitgebreide raming_gewijzigd'!H37,0)+IF('Overzicht BTA'!$N$7="Verbouwing",'uitgebreide raming_gewijzigd'!B64,0)+IF('Overzicht BTA'!$N$8="Verbouwing",'uitgebreide raming_gewijzigd'!D64,0)+IF('Overzicht BTA'!$N$9="Verbouwing",'uitgebreide raming_gewijzigd'!F64,0)+IF('Overzicht BTA'!$N$10="Verbouwing",'uitgebreide raming_gewijzigd'!H64,0)</f>
        <v>0</v>
      </c>
      <c r="G17" s="82" t="e">
        <f>F17/F18</f>
        <v>#DIV/0!</v>
      </c>
      <c r="H17" s="81">
        <f>IF('Overzicht BTA'!$B$7="IER",'uitgebreide raming_gewijzigd'!B10,0)+IF('Overzicht BTA'!$B$8="IER",'uitgebreide raming_gewijzigd'!D10,0)+IF('Overzicht BTA'!$B$9="IER",'uitgebreide raming_gewijzigd'!F10,0)+IF('Overzicht BTA'!$B$10="IER",'uitgebreide raming_gewijzigd'!H10,0)+IF('Overzicht BTA'!$H$7="IER",'uitgebreide raming_gewijzigd'!B37,0)+IF('Overzicht BTA'!$H$8="IER",'uitgebreide raming_gewijzigd'!D37,0)+IF('Overzicht BTA'!$H$9="IER",'uitgebreide raming_gewijzigd'!F37,0)+IF('Overzicht BTA'!$H$10="IER",'uitgebreide raming_gewijzigd'!H37,0)+IF('Overzicht BTA'!$N$7="IER",'uitgebreide raming_gewijzigd'!B64,0)+IF('Overzicht BTA'!$N$8="IER",'uitgebreide raming_gewijzigd'!D64,0)+IF('Overzicht BTA'!$N$9="IER",'uitgebreide raming_gewijzigd'!F64,0)+IF('Overzicht BTA'!$N$10="IER",'uitgebreide raming_gewijzigd'!H64,0)</f>
        <v>0</v>
      </c>
      <c r="I17" s="82" t="e">
        <f>H17/H18</f>
        <v>#DIV/0!</v>
      </c>
      <c r="J17" s="81">
        <f>IF('Overzicht BTA'!$B$7="Aankoop met verbouwing",'uitgebreide raming_gewijzigd'!B10,0)+IF('Overzicht BTA'!$B$8="Aankoop met verbouwing",'uitgebreide raming_gewijzigd'!D10,0)+IF('Overzicht BTA'!$B$9="Aankoop met verbouwing",'uitgebreide raming_gewijzigd'!F10,0)+IF('Overzicht BTA'!$B$10="Aankoop met verbouwing",'uitgebreide raming_gewijzigd'!H10,0)+IF('Overzicht BTA'!$H$7="Aankoop met verbouwing",'uitgebreide raming_gewijzigd'!B37,0)+IF('Overzicht BTA'!$H$8="Aankoop met verbouwing",'uitgebreide raming_gewijzigd'!D37,0)+IF('Overzicht BTA'!$H$9="Aankoop met verbouwing",'uitgebreide raming_gewijzigd'!F37,0)+IF('Overzicht BTA'!HG$10="Aankoop met verbouwing",'uitgebreide raming_gewijzigd'!H37,0)+IF('Overzicht BTA'!$N$7="Aankoop met verbouwing",'uitgebreide raming_gewijzigd'!B64,0)+IF('Overzicht BTA'!$N$8="Aankoop met verbouwing",'uitgebreide raming_gewijzigd'!D64,0)+IF('Overzicht BTA'!$N$9="Aankoop met verbouwing",'uitgebreide raming_gewijzigd'!F64,0)+IF('Overzicht BTA'!$N$10="Aankoop met verbouwing",'uitgebreide raming_gewijzigd'!H64,0)</f>
        <v>0</v>
      </c>
      <c r="K17" s="82" t="e">
        <f>J17/J18</f>
        <v>#DIV/0!</v>
      </c>
      <c r="L17" s="81"/>
      <c r="M17" s="82"/>
      <c r="N17" s="81">
        <f>IF('Overzicht BTA'!$B$7=Bron!$B$13,'uitgebreide raming_gewijzigd'!B10,0)+IF('Overzicht BTA'!$B$8=Bron!$B$13,'uitgebreide raming_gewijzigd'!D10,0)+IF('Overzicht BTA'!$B$9=Bron!$B$13,'uitgebreide raming_gewijzigd'!F10,0)+IF('Overzicht BTA'!$B$10=Bron!$B$13,'uitgebreide raming_gewijzigd'!H10,0)+IF('Overzicht BTA'!$H$7=Bron!$B$13,'uitgebreide raming_gewijzigd'!B37,0)+IF('Overzicht BTA'!$H$8=Bron!$B$13,'uitgebreide raming_gewijzigd'!D37,0)+IF('Overzicht BTA'!$H$9=Bron!$B$13,'uitgebreide raming_gewijzigd'!F37,0)+IF('Overzicht BTA'!$H$10=Bron!$B$13,'uitgebreide raming_gewijzigd'!H37,0)+IF('Overzicht BTA'!$N$7=Bron!$B$13,'uitgebreide raming_gewijzigd'!B64,0)+IF('Overzicht BTA'!$N$8=Bron!$B$13,'uitgebreide raming_gewijzigd'!D64,0)+IF('Overzicht BTA'!$N$9=Bron!$B$13,'uitgebreide raming_gewijzigd'!F64,0)+IF('Overzicht BTA'!$N$10=Bron!$B$13,'uitgebreide raming_gewijzigd'!H64,0)+IF('Overzicht BTA'!$B$7=Bron!$B$14,'uitgebreide raming_gewijzigd'!B10,0)+IF('Overzicht BTA'!$B$8=Bron!$B$14,'uitgebreide raming_gewijzigd'!D10,0)+IF('Overzicht BTA'!$B$9=Bron!$B$14,'uitgebreide raming_gewijzigd'!F10,0)+IF('Overzicht BTA'!$B$10=Bron!$B$14,'uitgebreide raming_gewijzigd'!H10,0)+IF('Overzicht BTA'!$H$7=Bron!$B$14,'uitgebreide raming_gewijzigd'!B37,0)+IF('Overzicht BTA'!$H$8=Bron!$B$14,'uitgebreide raming_gewijzigd'!D37,0)+IF('Overzicht BTA'!$H$9=Bron!$B$14,'uitgebreide raming_gewijzigd'!F37,0)+IF('Overzicht BTA'!$H$10=Bron!$B$14,'uitgebreide raming_gewijzigd'!H37,0)+IF('Overzicht BTA'!$N$7=Bron!$B$14,'uitgebreide raming_gewijzigd'!B64,0)+IF('Overzicht BTA'!$N$8=Bron!$B$14,'uitgebreide raming_gewijzigd'!D64,0)+IF('Overzicht BTA'!$N$9=Bron!$B$14,'uitgebreide raming_gewijzigd'!F64,0)+IF('Overzicht BTA'!$N$10=Bron!$B$14,'uitgebreide raming_gewijzigd'!H64,0)</f>
        <v>0</v>
      </c>
      <c r="O17" s="82" t="e">
        <f>N17/N18</f>
        <v>#DIV/0!</v>
      </c>
      <c r="P17" s="81">
        <f t="shared" si="1"/>
        <v>0</v>
      </c>
      <c r="Q17" s="82" t="e">
        <f>P17/P18</f>
        <v>#DIV/0!</v>
      </c>
    </row>
    <row r="18" spans="1:20" ht="13.8" x14ac:dyDescent="0.3">
      <c r="A18" s="21" t="s">
        <v>354</v>
      </c>
      <c r="B18" s="83">
        <f>B17+B16</f>
        <v>0</v>
      </c>
      <c r="C18" s="82" t="e">
        <f>B18/B18</f>
        <v>#DIV/0!</v>
      </c>
      <c r="D18" s="83">
        <f>D17+D16</f>
        <v>0</v>
      </c>
      <c r="E18" s="82" t="e">
        <f>D18/D18</f>
        <v>#DIV/0!</v>
      </c>
      <c r="F18" s="83">
        <f>F17+F16</f>
        <v>0</v>
      </c>
      <c r="G18" s="82" t="e">
        <f>F18/F18</f>
        <v>#DIV/0!</v>
      </c>
      <c r="H18" s="83">
        <f>H17+H16</f>
        <v>0</v>
      </c>
      <c r="I18" s="82" t="e">
        <f>H18/H18</f>
        <v>#DIV/0!</v>
      </c>
      <c r="J18" s="83">
        <f>J17+J16</f>
        <v>0</v>
      </c>
      <c r="K18" s="82" t="e">
        <f>J18/J18</f>
        <v>#DIV/0!</v>
      </c>
      <c r="L18" s="83"/>
      <c r="M18" s="82"/>
      <c r="N18" s="83">
        <f>N17+N16</f>
        <v>0</v>
      </c>
      <c r="O18" s="82" t="e">
        <f>N18/N18</f>
        <v>#DIV/0!</v>
      </c>
      <c r="P18" s="83">
        <f>P16+P17</f>
        <v>0</v>
      </c>
      <c r="Q18" s="82" t="e">
        <f>P18/P18</f>
        <v>#DIV/0!</v>
      </c>
    </row>
    <row r="19" spans="1:20" ht="13.8" x14ac:dyDescent="0.3">
      <c r="A19" s="18"/>
      <c r="B19" s="144"/>
      <c r="C19" s="145"/>
      <c r="D19" s="144"/>
      <c r="E19" s="145"/>
      <c r="F19" s="144"/>
      <c r="G19" s="145"/>
      <c r="H19" s="144"/>
      <c r="I19" s="145"/>
      <c r="J19" s="144"/>
      <c r="K19" s="145"/>
      <c r="L19" s="144"/>
      <c r="M19" s="145"/>
      <c r="N19" s="144"/>
      <c r="O19" s="145"/>
      <c r="P19" s="144"/>
      <c r="Q19" s="145"/>
    </row>
    <row r="20" spans="1:20" ht="13.8" x14ac:dyDescent="0.3">
      <c r="A20" s="147" t="s">
        <v>355</v>
      </c>
      <c r="B20" s="18"/>
      <c r="C20" s="18"/>
      <c r="D20" s="18"/>
      <c r="E20" s="18"/>
      <c r="F20" s="18"/>
      <c r="G20" s="18"/>
      <c r="H20" s="18"/>
      <c r="I20" s="18"/>
      <c r="J20" s="18"/>
      <c r="K20" s="18"/>
      <c r="L20" s="18"/>
      <c r="M20" s="18"/>
      <c r="N20" s="18"/>
      <c r="O20" s="18"/>
      <c r="P20" s="18"/>
      <c r="Q20" s="18"/>
    </row>
    <row r="21" spans="1:20" ht="13.8" x14ac:dyDescent="0.3">
      <c r="A21" s="21"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c r="L21" s="151"/>
      <c r="M21" s="152"/>
      <c r="N21" s="151" t="e">
        <f>N16/N2</f>
        <v>#DIV/0!</v>
      </c>
      <c r="O21" s="152" t="s">
        <v>278</v>
      </c>
      <c r="P21" s="151" t="e">
        <f>P16/P2</f>
        <v>#DIV/0!</v>
      </c>
      <c r="Q21" s="152" t="s">
        <v>278</v>
      </c>
    </row>
    <row r="22" spans="1:20" ht="13.8" x14ac:dyDescent="0.3">
      <c r="A22" s="21"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c r="L22" s="151"/>
      <c r="M22" s="152"/>
      <c r="N22" s="151" t="e">
        <f>N18/N2</f>
        <v>#DIV/0!</v>
      </c>
      <c r="O22" s="152" t="s">
        <v>278</v>
      </c>
      <c r="P22" s="151" t="e">
        <f>P18/P2</f>
        <v>#DIV/0!</v>
      </c>
      <c r="Q22" s="152" t="s">
        <v>278</v>
      </c>
    </row>
    <row r="23" spans="1:20" ht="13.8" x14ac:dyDescent="0.3">
      <c r="A23" s="21"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c r="L23" s="151"/>
      <c r="M23" s="152"/>
      <c r="N23" s="151" t="e">
        <f>N17/N2</f>
        <v>#DIV/0!</v>
      </c>
      <c r="O23" s="152" t="s">
        <v>278</v>
      </c>
      <c r="P23" s="151" t="e">
        <f>P17/P2</f>
        <v>#DIV/0!</v>
      </c>
      <c r="Q23" s="152" t="s">
        <v>278</v>
      </c>
    </row>
    <row r="24" spans="1:20" ht="13.8" x14ac:dyDescent="0.3">
      <c r="A24" s="85" t="s">
        <v>359</v>
      </c>
      <c r="B24" s="500">
        <f>(MAX(IF(OR(ISNUMBER(MATCH(Bron!A8,'Overzicht project'!$C$48:$C$51,0)),ISNUMBER(MATCH(Bron!A9,'Overzicht project'!$C$48:$C$51,0))),VLOOKUP('Overzicht project'!$C$40,'Capaciteiten &amp; forfaits'!$B$1:$H$69,4,FALSE),550),IF(OR(ISNUMBER(MATCH(Bron!A8,'Overzicht project'!$C$55:$C$59,0)),ISNUMBER(MATCH(Bron!A9,'Overzicht project'!$C$55:$C$59,0))),VLOOKUP('Overzicht project'!$C$41,'Capaciteiten &amp; forfaits'!$B$1:$H$69,4,FALSE),550),IF(OR(ISNUMBER(MATCH(Bron!A8,'Overzicht project'!$C$60:$C$64,0)),ISNUMBER(MATCH(Bron!A9,'Overzicht project'!$C$60:$C$64,0))),VLOOKUP('Overzicht project'!$C$41,'Capaciteiten &amp; forfaits'!$B$1:$H$69,4,FALSE),550)-50)*'Overzicht BTA'!D36*10/6)</f>
        <v>2196.1683333333335</v>
      </c>
      <c r="C24" s="84" t="s">
        <v>278</v>
      </c>
      <c r="D24" s="500">
        <f>(MAX(IF(ISNUMBER(MATCH(Bron!$A10,'Overzicht project'!$C$48:$C$51,0)),VLOOKUP('Overzicht project'!$C$40,'Capaciteiten &amp; forfaits'!$B$1:$H$69,6,FALSE),500),IF(ISNUMBER(MATCH(Bron!$A10,'Overzicht project'!$C$55:$C$59,0)),VLOOKUP('Overzicht project'!$C$41,'Capaciteiten &amp; forfaits'!$B$1:$H$69,6,FALSE),500),IF(ISNUMBER(MATCH(Bron!$A10,'Overzicht project'!$C$60:$C$64,0)),VLOOKUP('Overzicht project'!$C$41,'Capaciteiten &amp; forfaits'!$B$1:$H$69,6,FALSE),500))*'Overzicht BTA'!$D$36*10/6)</f>
        <v>1996.5166666666667</v>
      </c>
      <c r="E24" s="84" t="s">
        <v>278</v>
      </c>
      <c r="F24" s="500">
        <f>(MAX(IF(ISNUMBER(MATCH(Bron!$A11,'Overzicht project'!$C$48:$C$51,0)),VLOOKUP('Overzicht project'!$C$40,'Capaciteiten &amp; forfaits'!$B$1:$H$69,6,FALSE),500),IF(ISNUMBER(MATCH(Bron!$A11,'Overzicht project'!$C$55:$C$59,0)),VLOOKUP('Overzicht project'!$C$41,'Capaciteiten &amp; forfaits'!$B$1:$H$69,6,FALSE),500),IF(ISNUMBER(MATCH(Bron!$A11,'Overzicht project'!$C$60:$C$64,0)),VLOOKUP('Overzicht project'!$C$41,'Capaciteiten &amp; forfaits'!$B$1:$H$69,6,FALSE),500))*'Overzicht BTA'!$D$36*10/6)</f>
        <v>1996.5166666666667</v>
      </c>
      <c r="G24" s="84" t="s">
        <v>278</v>
      </c>
      <c r="H24" s="500">
        <f>(MAX(IF(ISNUMBER(MATCH(Bron!$A12,'Overzicht project'!$C$48:$C$51,0)),VLOOKUP('Overzicht project'!$C$40,'Capaciteiten &amp; forfaits'!$B$1:$H$69,6,FALSE),500),IF(ISNUMBER(MATCH(Bron!$A12,'Overzicht project'!$C$55:$C$59,0)),VLOOKUP('Overzicht project'!$C$41,'Capaciteiten &amp; forfaits'!$B$1:$H$69,6,FALSE),500),IF(ISNUMBER(MATCH(Bron!$A12,'Overzicht project'!$C$60:$C$64,0)),VLOOKUP('Overzicht project'!$C$41,'Capaciteiten &amp; forfaits'!$B$1:$H$69,6,FALSE),500))*'Overzicht BTA'!$D$36*10/6)</f>
        <v>1996.5166666666667</v>
      </c>
      <c r="I24" s="84" t="s">
        <v>278</v>
      </c>
      <c r="J24" s="500">
        <f>(MAX(IF(ISNUMBER(MATCH(Bron!$A16,'Overzicht project'!$C$48:$C$51,0)),VLOOKUP('Overzicht project'!$C$40,'Capaciteiten &amp; forfaits'!$B$1:$H$69,6,FALSE),500),IF(ISNUMBER(MATCH(Bron!$A16,'Overzicht project'!$C$55:$C$59,0)),VLOOKUP('Overzicht project'!$C$41,'Capaciteiten &amp; forfaits'!$B$1:$H$69,6,FALSE),500),IF(ISNUMBER(MATCH(Bron!$A16,'Overzicht project'!$C$60:$C$64,0)),VLOOKUP('Overzicht project'!$C$41,'Capaciteiten &amp; forfaits'!$B$1:$H$69,6,FALSE),500))*'Overzicht BTA'!$D$36*10/6)</f>
        <v>1996.5166666666667</v>
      </c>
      <c r="K24" s="84" t="s">
        <v>278</v>
      </c>
      <c r="L24" s="500"/>
      <c r="M24" s="84"/>
      <c r="N24" s="500">
        <f>(MAX(IF(OR(ISNUMBER(MATCH(Bron!A13,'Overzicht project'!$C$48:$C$51,0)),ISNUMBER(MATCH(Bron!A14,'Overzicht project'!$C$48:$C$51,0))),VLOOKUP('Overzicht project'!$C$40,'Capaciteiten &amp; forfaits'!$B$1:$H$69,4,FALSE),550),IF(OR(ISNUMBER(MATCH(Bron!A13,'Overzicht project'!$C$55:$C$59,0)),ISNUMBER(MATCH(Bron!A14,'Overzicht project'!$C$55:$C$59,0))),VLOOKUP('Overzicht project'!$C$41,'Capaciteiten &amp; forfaits'!$B$1:$H$69,4,FALSE),550),IF(OR(ISNUMBER(MATCH(Bron!A13,'Overzicht project'!$C$60:$C$64,0)),ISNUMBER(MATCH(Bron!A14,'Overzicht project'!$C$60:$C$64,0))),VLOOKUP('Overzicht project'!$C$41,'Capaciteiten &amp; forfaits'!$B$1:$H$69,4,FALSE),550))*0.65*'Overzicht BTA'!D36*10/6)</f>
        <v>1427.5094166666668</v>
      </c>
      <c r="O24" s="84" t="s">
        <v>278</v>
      </c>
      <c r="P24" s="500">
        <f>AVERAGE(N24,J24,H24,F24,D24,B24)</f>
        <v>1934.9574027777778</v>
      </c>
      <c r="Q24" s="84" t="s">
        <v>278</v>
      </c>
      <c r="S24" s="1107"/>
      <c r="T24" s="101"/>
    </row>
    <row r="25" spans="1:20" ht="13.8" x14ac:dyDescent="0.3">
      <c r="A25" s="87" t="s">
        <v>360</v>
      </c>
      <c r="B25" s="429" t="e">
        <f>B21/B24</f>
        <v>#DIV/0!</v>
      </c>
      <c r="C25" s="21"/>
      <c r="D25" s="429" t="e">
        <f>D21/D24</f>
        <v>#DIV/0!</v>
      </c>
      <c r="E25" s="21"/>
      <c r="F25" s="429" t="e">
        <f>F21/F24</f>
        <v>#DIV/0!</v>
      </c>
      <c r="G25" s="21"/>
      <c r="H25" s="429" t="e">
        <f>H21/H24</f>
        <v>#DIV/0!</v>
      </c>
      <c r="I25" s="21"/>
      <c r="J25" s="429" t="e">
        <f>J21/J24</f>
        <v>#DIV/0!</v>
      </c>
      <c r="K25" s="21"/>
      <c r="L25" s="429"/>
      <c r="M25" s="21"/>
      <c r="N25" s="429" t="e">
        <f>N21/N24</f>
        <v>#DIV/0!</v>
      </c>
      <c r="O25" s="21"/>
      <c r="P25" s="429" t="e">
        <f>P21/P24</f>
        <v>#DIV/0!</v>
      </c>
      <c r="Q25" s="21"/>
    </row>
    <row r="26" spans="1:20" ht="13.8" x14ac:dyDescent="0.3">
      <c r="A26" s="85" t="s">
        <v>361</v>
      </c>
      <c r="B26" s="500">
        <f>B24+B28</f>
        <v>2395.8200000000002</v>
      </c>
      <c r="C26" s="84" t="s">
        <v>278</v>
      </c>
      <c r="D26" s="500">
        <f>D24+D28</f>
        <v>2196.1683333333331</v>
      </c>
      <c r="E26" s="84" t="s">
        <v>278</v>
      </c>
      <c r="F26" s="500">
        <f>F24+F28</f>
        <v>2196.1683333333331</v>
      </c>
      <c r="G26" s="84" t="s">
        <v>278</v>
      </c>
      <c r="H26" s="500">
        <f>H24+H28</f>
        <v>2196.1683333333331</v>
      </c>
      <c r="I26" s="84" t="s">
        <v>278</v>
      </c>
      <c r="J26" s="500">
        <f>J24+J28</f>
        <v>2196.1683333333331</v>
      </c>
      <c r="K26" s="84" t="s">
        <v>278</v>
      </c>
      <c r="L26" s="500"/>
      <c r="M26" s="84"/>
      <c r="N26" s="500">
        <f>N24+N28</f>
        <v>1627.1610833333334</v>
      </c>
      <c r="O26" s="84" t="s">
        <v>278</v>
      </c>
      <c r="P26" s="500">
        <f>AVERAGE(N26,J26,H26,F26,D26,B26)</f>
        <v>2134.6090694444442</v>
      </c>
      <c r="Q26" s="84" t="s">
        <v>278</v>
      </c>
    </row>
    <row r="27" spans="1:20" ht="13.8" x14ac:dyDescent="0.3">
      <c r="A27" s="87" t="s">
        <v>360</v>
      </c>
      <c r="B27" s="429" t="e">
        <f>B22/B26</f>
        <v>#DIV/0!</v>
      </c>
      <c r="C27" s="21"/>
      <c r="D27" s="88" t="e">
        <f>D22/D26</f>
        <v>#DIV/0!</v>
      </c>
      <c r="E27" s="21"/>
      <c r="F27" s="88" t="e">
        <f>F22/F26</f>
        <v>#DIV/0!</v>
      </c>
      <c r="G27" s="21"/>
      <c r="H27" s="88" t="e">
        <f>H22/H26</f>
        <v>#DIV/0!</v>
      </c>
      <c r="I27" s="21"/>
      <c r="J27" s="88" t="e">
        <f>J22/J26</f>
        <v>#DIV/0!</v>
      </c>
      <c r="K27" s="21"/>
      <c r="L27" s="88"/>
      <c r="M27" s="21"/>
      <c r="N27" s="88" t="e">
        <f>N22/N26</f>
        <v>#DIV/0!</v>
      </c>
      <c r="O27" s="21"/>
      <c r="P27" s="88" t="e">
        <f>P22/P26</f>
        <v>#DIV/0!</v>
      </c>
      <c r="Q27" s="21"/>
    </row>
    <row r="28" spans="1:20" ht="13.8" x14ac:dyDescent="0.3">
      <c r="A28" s="85" t="s">
        <v>362</v>
      </c>
      <c r="B28" s="500">
        <f>'Capaciteiten &amp; forfaits'!$H$5*'Overzicht BTA'!$D$37*10/6</f>
        <v>199.65166666666664</v>
      </c>
      <c r="C28" s="84" t="s">
        <v>278</v>
      </c>
      <c r="D28" s="500">
        <f>'Capaciteiten &amp; forfaits'!$H$5*'Overzicht BTA'!$D$37*10/6</f>
        <v>199.65166666666664</v>
      </c>
      <c r="E28" s="84" t="s">
        <v>278</v>
      </c>
      <c r="F28" s="500">
        <f>'Capaciteiten &amp; forfaits'!$H$5*'Overzicht BTA'!$D$37*10/6</f>
        <v>199.65166666666664</v>
      </c>
      <c r="G28" s="84" t="s">
        <v>278</v>
      </c>
      <c r="H28" s="500">
        <f>'Capaciteiten &amp; forfaits'!$H$5*'Overzicht BTA'!$D$37*10/6</f>
        <v>199.65166666666664</v>
      </c>
      <c r="I28" s="84" t="s">
        <v>278</v>
      </c>
      <c r="J28" s="500">
        <f>'Capaciteiten &amp; forfaits'!$H$5*'Overzicht BTA'!$D$37*10/6</f>
        <v>199.65166666666664</v>
      </c>
      <c r="K28" s="84" t="s">
        <v>278</v>
      </c>
      <c r="L28" s="500"/>
      <c r="M28" s="84"/>
      <c r="N28" s="500">
        <f>'Capaciteiten &amp; forfaits'!$H$5*'Overzicht BTA'!$D$37*10/6</f>
        <v>199.65166666666664</v>
      </c>
      <c r="O28" s="84" t="s">
        <v>278</v>
      </c>
      <c r="P28" s="500">
        <f>AVERAGE(N28,J28,H28,F28,D28,B28)</f>
        <v>199.65166666666664</v>
      </c>
      <c r="Q28" s="84" t="s">
        <v>278</v>
      </c>
    </row>
    <row r="29" spans="1:20" ht="13.8" x14ac:dyDescent="0.3">
      <c r="A29" s="87" t="s">
        <v>360</v>
      </c>
      <c r="B29" s="88" t="e">
        <f>B23/B28</f>
        <v>#DIV/0!</v>
      </c>
      <c r="C29" s="21"/>
      <c r="D29" s="88" t="e">
        <f>D23/D28</f>
        <v>#DIV/0!</v>
      </c>
      <c r="E29" s="21"/>
      <c r="F29" s="88" t="e">
        <f>F23/F28</f>
        <v>#DIV/0!</v>
      </c>
      <c r="G29" s="21"/>
      <c r="H29" s="88" t="e">
        <f>H23/H28</f>
        <v>#DIV/0!</v>
      </c>
      <c r="I29" s="21"/>
      <c r="J29" s="88" t="e">
        <f>J23/J28</f>
        <v>#DIV/0!</v>
      </c>
      <c r="K29" s="21"/>
      <c r="L29" s="88"/>
      <c r="M29" s="21"/>
      <c r="N29" s="88" t="e">
        <f>N23/N28</f>
        <v>#DIV/0!</v>
      </c>
      <c r="O29" s="21"/>
      <c r="P29" s="88" t="e">
        <f>P23/P28</f>
        <v>#DIV/0!</v>
      </c>
      <c r="Q29" s="21"/>
    </row>
    <row r="30" spans="1:20" ht="13.8" x14ac:dyDescent="0.3">
      <c r="A30" s="142"/>
      <c r="B30" s="252"/>
      <c r="C30" s="18"/>
      <c r="D30" s="252"/>
      <c r="E30" s="18"/>
      <c r="F30" s="252"/>
      <c r="G30" s="18"/>
      <c r="H30" s="252"/>
      <c r="I30" s="18"/>
      <c r="J30" s="252"/>
      <c r="K30" s="18"/>
      <c r="L30" s="252"/>
      <c r="M30" s="18"/>
      <c r="N30" s="252"/>
      <c r="O30" s="18"/>
      <c r="P30" s="252"/>
      <c r="Q30" s="18"/>
    </row>
    <row r="31" spans="1:20" ht="13.8" outlineLevel="1" x14ac:dyDescent="0.3">
      <c r="A31" s="509" t="s">
        <v>322</v>
      </c>
      <c r="B31" s="252"/>
      <c r="C31" s="18"/>
      <c r="D31" s="252"/>
      <c r="E31" s="18"/>
      <c r="F31" s="252"/>
      <c r="G31" s="18"/>
      <c r="H31" s="252"/>
      <c r="I31" s="18"/>
      <c r="J31" s="252"/>
      <c r="K31" s="18"/>
      <c r="L31" s="252"/>
      <c r="M31" s="18"/>
      <c r="N31" s="252"/>
      <c r="O31" s="18"/>
      <c r="P31" s="252"/>
      <c r="Q31" s="18"/>
    </row>
    <row r="32" spans="1:20" ht="13.8" outlineLevel="2" x14ac:dyDescent="0.3">
      <c r="A32" s="142" t="s">
        <v>363</v>
      </c>
      <c r="B32" s="254">
        <f>'NB 21%'!A37*('NB 21%'!B37-50)*'NB 21%'!C37+'NB 21%'!G37*('NB 21%'!H37-50)*'NB 21%'!I37+'NB 21%'!M37*('NB 21%'!N37-50)*'NB 21%'!O37+'NB 6-12-21%'!A48*('NB 6-12-21%'!B48-50)*'NB 6-12-21%'!C48+'NB 6-12-21%'!G48*('NB 6-12-21%'!H48-50)*'NB 6-12-21%'!I48+'NB 6-12-21%'!M48*('NB 6-12-21%'!N48-50)*'NB 6-12-21%'!O48+'NB 6-12-21%'!A56*('NB 6-12-21%'!B56-50)*'NB 6-12-21%'!C56+'NB 6-12-21%'!G56*('NB 6-12-21%'!H56-50)*'NB 6-12-21%'!I56+'NB 6-12-21%'!M56*('NB 6-12-21%'!N56-50)*'NB 6-12-21%'!O56</f>
        <v>0</v>
      </c>
      <c r="C32" s="18"/>
      <c r="D32" s="255">
        <f>IF(AND('Overzicht BTA'!D60=0,'Overzicht BTA'!D61=0),UITB!E49,samen!E66)+IF(AND('Overzicht BTA'!J60=0,'Overzicht BTA'!J61=0),UITB!K49,samen!K66)+IF(AND('Overzicht BTA'!P60=0,'Overzicht BTA'!P61=0),UITB!Q49,samen!Q66)</f>
        <v>0</v>
      </c>
      <c r="E32" s="51"/>
      <c r="F32" s="255">
        <f>IF('Overzicht BTA'!D59=0,IF(VERB!A2=Bron!$B$11,VERB!E56,0)+IF(VERB!G2=Bron!$B$11,VERB!K56,0)+IF(VERB!M2=Bron!$B$11,VERB!Q56,0),IF(samen!A2=Bron!$B$11,samen!E57,0)+IF(samen!G2=Bron!$B$11,samen!K57,0)+IF(samen!M2=Bron!$B$11,samen!Q57,0))</f>
        <v>0</v>
      </c>
      <c r="G32" s="51"/>
      <c r="H32" s="255">
        <f>IF('Overzicht BTA'!D59=0,IF(VERB!A2=Bron!$B$12,VERB!E56,0)+IF(VERB!G2=Bron!$B$12,VERB!K56,0)+IF(VERB!M2=Bron!$B$11,VERB!Q56,0),IF(samen!A2=Bron!$B$12,samen!E57,0)+IF(samen!G2=Bron!$B$12,samen!K57,0)+IF(samen!M2=Bron!$B$12,samen!Q57,0))</f>
        <v>0</v>
      </c>
      <c r="I32" s="51"/>
      <c r="J32" s="255">
        <f>'AK+VERB'!E72+'AK+VERB'!K72+'AK+VERB'!Q72</f>
        <v>0</v>
      </c>
      <c r="K32" s="51"/>
      <c r="M32" s="51"/>
      <c r="N32" s="255">
        <f>'NB 21% light'!A50*('NB 21% light'!B50-50)*'NB 21% light'!C50+'NB 21% light'!G50*('NB 21% light'!H50-50)*'NB 21% light'!I50+'NB 21% light'!M50*('NB 21% light'!N50-50)*'NB 21% light'!O50+('NB 6-12-21% light'!A47+'NB 6-12-21% light'!A55)*('NB 6-12-21% light'!B47-50)*'NB 6-12-21% light'!C47+('NB 6-12-21% light'!G47+'NB 6-12-21% light'!G55)*('NB 6-12-21% light'!H47-50)*'NB 6-12-21% light'!I47+('NB 6-12-21% light'!M47+'NB 6-12-21% light'!M55)*('NB 6-12-21% light'!N47-50)*'NB 6-12-21% light'!O47</f>
        <v>0</v>
      </c>
      <c r="O32" s="51"/>
      <c r="P32" s="687">
        <f>SUM(B32:N32)</f>
        <v>0</v>
      </c>
      <c r="Q32" s="18"/>
      <c r="R32" s="686"/>
    </row>
    <row r="33" spans="1:23" ht="13.8" outlineLevel="2" x14ac:dyDescent="0.3">
      <c r="A33" s="142" t="s">
        <v>364</v>
      </c>
      <c r="B33" s="622">
        <f>'NB 21%'!D56+'NB 21%'!J56+'NB 21%'!P56+'NB 6-12-21%'!E76+'NB 6-12-21%'!K76+'NB 6-12-21%'!Q76</f>
        <v>0</v>
      </c>
      <c r="C33" s="18"/>
      <c r="D33" s="623">
        <f>UITB!E76+UITB!K76+UITB!Q76+samen!E70+IF(samen!A66=0,0,samen!E80*(samen!A66/(samen!A74)))+samen!K70+IF(samen!G66=0,0,samen!K80*(samen!G66/(samen!G74)))+samen!Q70+IF(samen!M66=0,0,samen!Q80*(samen!M66/(samen!M74)))+samen!E87*IFERROR(samen!A66/samen!A84,0)+samen!K87*IFERROR(samen!G66/samen!G84,0)+samen!Q87*IFERROR(samen!M66/samen!M84,0)</f>
        <v>0</v>
      </c>
      <c r="E33" s="51"/>
      <c r="F33" s="623">
        <f>IF('Overzicht BTA'!D59=0,IF(VERB!A50=Bron!$B$11,VERB!E83,0)+IF(VERB!G50=Bron!$B$11,VERB!K83,0)+IF(VERB!M50=Bron!$B$11,VERB!Q83,0),IF(samen!A51=Bron!$B$11,IF(samen!A74=0,0,samen!E61+samen!E80*(samen!A54/samen!A74)),0)+IF(samen!G51=Bron!$B$11,IF(samen!G74=0,0,samen!K61+samen!K80*(samen!G54/samen!G74)),0)+IF(samen!M51=Bron!$B$11,IF(samen!M74=0,0,samen!Q61+samen!Q80*(samen!M54/samen!M74)),0))+samen!E87*IFERROR(samen!A54/samen!A84,0)+samen!K87*IFERROR(samen!G54/samen!G84,0)+samen!Q87*IFERROR(samen!M54/samen!M84,0)</f>
        <v>0</v>
      </c>
      <c r="G33" s="51"/>
      <c r="H33" s="623">
        <f>IF('Overzicht BTA'!D59=0,IF(VERB!A50=Bron!$B$12,VERB!E83,0)+IF(VERB!G50=Bron!$B$12,VERB!K83,0)+IF(VERB!M50=Bron!$B$12,VERB!Q83,0),IF(samen!A51=Bron!$B$12,IF(samen!A74=0,0,samen!E61+samen!E80*(samen!A54/samen!A74)),0)+IF(samen!G51=Bron!$B$12,IF(samen!G74=0,0,samen!K61+samen!K80*(samen!G54/samen!G74)),0)+IF(samen!M51=Bron!$B$12,IF(samen!M74=0,0,samen!Q61+samen!Q80*(samen!M54/samen!M74)),0))+samen!E87*IFERROR(samen!A54/samen!A84,0)+samen!K87*IFERROR(samen!G54/samen!G84,0)+samen!Q87*IFERROR(samen!M54/samen!M84,0)</f>
        <v>0</v>
      </c>
      <c r="I33" s="51"/>
      <c r="J33" s="623">
        <f>'AK+VERB'!E75+'AK+VERB'!K75+'AK+VERB'!Q75+'AK+VERB'!E76+'AK+VERB'!E77+'AK+VERB'!E78+'AK+VERB'!E79+'AK+VERB'!K76+'AK+VERB'!K77+'AK+VERB'!K79+'AK+VERB'!K78+'AK+VERB'!Q76+'AK+VERB'!Q77+'AK+VERB'!Q78+'AK+VERB'!Q79+'AK+VERB'!E87+'AK+VERB'!K87+'AK+VERB'!Q87</f>
        <v>0</v>
      </c>
      <c r="K33" s="51"/>
      <c r="M33" s="51"/>
      <c r="N33" s="623">
        <f>'NB 6-12-21% light'!E75+'NB 6-12-21% light'!K75+'NB 6-12-21% light'!Q75+'NB 21% light'!D77+'NB 21% light'!J77+'NB 21% light'!P77</f>
        <v>0</v>
      </c>
      <c r="O33" s="51"/>
      <c r="P33" s="255">
        <f>J33+F33+D33+B33+H33+N33</f>
        <v>0</v>
      </c>
      <c r="Q33" s="18"/>
    </row>
    <row r="34" spans="1:23" ht="13.8" outlineLevel="2" x14ac:dyDescent="0.3">
      <c r="A34" s="142" t="s">
        <v>365</v>
      </c>
      <c r="B34" s="254"/>
      <c r="C34" s="18"/>
      <c r="D34" s="255"/>
      <c r="E34" s="51"/>
      <c r="F34" s="255"/>
      <c r="G34" s="51"/>
      <c r="H34" s="255"/>
      <c r="I34" s="51"/>
      <c r="J34" s="255">
        <f>'AK+VERB'!E69+'AK+VERB'!K69+'AK+VERB'!Q69</f>
        <v>0</v>
      </c>
      <c r="K34" s="51"/>
      <c r="L34" s="255">
        <f>AKzondVERB!E25+AKzondVERB!K25+AKzondVERB!Q25</f>
        <v>0</v>
      </c>
      <c r="M34" s="51"/>
      <c r="N34" s="255"/>
      <c r="O34" s="51"/>
      <c r="P34" s="255">
        <f>J34+L34</f>
        <v>0</v>
      </c>
      <c r="Q34" s="18"/>
    </row>
    <row r="35" spans="1:23" ht="13.8" outlineLevel="2" x14ac:dyDescent="0.3">
      <c r="A35" s="142" t="s">
        <v>366</v>
      </c>
      <c r="B35" s="254"/>
      <c r="C35" s="18"/>
      <c r="D35" s="255"/>
      <c r="E35" s="51"/>
      <c r="F35" s="255"/>
      <c r="G35" s="51"/>
      <c r="H35" s="255"/>
      <c r="I35" s="51"/>
      <c r="J35" s="255">
        <f>'AK+VERB'!E69+'AK+VERB'!E70+'AK+VERB'!K69+'AK+VERB'!K70+'AK+VERB'!Q69+'AK+VERB'!Q70</f>
        <v>0</v>
      </c>
      <c r="K35" s="51"/>
      <c r="L35" s="255">
        <f>AKzondVERB!E27+AKzondVERB!K27+AKzondVERB!Q27</f>
        <v>0</v>
      </c>
      <c r="M35" s="51"/>
      <c r="N35" s="255"/>
      <c r="O35" s="51"/>
      <c r="P35" s="255">
        <f>J35+L35</f>
        <v>0</v>
      </c>
      <c r="Q35" s="18"/>
    </row>
    <row r="36" spans="1:23" ht="13.8" outlineLevel="2" x14ac:dyDescent="0.3">
      <c r="A36" s="509" t="s">
        <v>367</v>
      </c>
      <c r="B36" s="254"/>
      <c r="C36" s="18"/>
      <c r="D36" s="255"/>
      <c r="E36" s="51"/>
      <c r="F36" s="255"/>
      <c r="G36" s="51"/>
      <c r="H36" s="255"/>
      <c r="I36" s="51"/>
      <c r="J36" s="255"/>
      <c r="K36" s="51"/>
      <c r="L36" s="255"/>
      <c r="M36" s="51"/>
      <c r="N36" s="255"/>
      <c r="O36" s="51"/>
      <c r="P36" s="255"/>
      <c r="Q36" s="18"/>
    </row>
    <row r="37" spans="1:23" ht="13.8" outlineLevel="2" x14ac:dyDescent="0.3">
      <c r="A37" s="142" t="s">
        <v>368</v>
      </c>
      <c r="B37" s="254">
        <f>'NB 21%'!A72*('NB 21%'!B72-50)*'NB 21%'!C72+'NB 21%'!G72*('NB 21%'!H72-50)*'NB 21%'!I72+'NB 21%'!M72*('NB 21%'!N72-50)*'NB 21%'!O72+'NB 6-12-21%'!A92*('NB 6-12-21%'!B92-50)*'NB 6-12-21%'!C92+'NB 6-12-21%'!G92*('NB 6-12-21%'!H92-50)*'NB 6-12-21%'!I92+'NB 6-12-21%'!M92*('NB 6-12-21%'!N92-50)*'NB 6-12-21%'!O92+'NB 6-12-21%'!A100*('NB 6-12-21%'!B100-50)*'NB 6-12-21%'!C100+'NB 6-12-21%'!G100*('NB 6-12-21%'!H100-50)*'NB 6-12-21%'!I100+'NB 6-12-21%'!M100*('NB 6-12-21%'!N100-50)*'NB 6-12-21%'!O100</f>
        <v>0</v>
      </c>
      <c r="C37" s="18"/>
      <c r="D37" s="255">
        <f>IF(AND('Overzicht BTA'!D60=0,'Overzicht BTA'!D61=0),UITB!E93,samen!E114)+IF(AND('Overzicht BTA'!J60=0,'Overzicht BTA'!J61=0),UITB!K93,samen!K114)+IF(AND('Overzicht BTA'!P60=0,'Overzicht BTA'!P61=0),UITB!Q93,samen!Q114)</f>
        <v>0</v>
      </c>
      <c r="E37" s="51"/>
      <c r="F37" s="255">
        <f>IF('Overzicht BTA'!D59=0,IF(VERB!A50=Bron!$B$11,VERB!E104,0)+IF(VERB!G50=Bron!$B$11,VERB!K104,0),IF(VERB!M50=Bron!$B$11,VERB!Q104,0)+IF(samen!A51=Bron!$B$11,samen!E105,0)+IF(samen!G51=Bron!$B$11,samen!K105,0)+IF(samen!M51=Bron!$B$11,samen!Q105,0))</f>
        <v>0</v>
      </c>
      <c r="G37" s="51"/>
      <c r="H37" s="255">
        <f>IF('Overzicht BTA'!D59=0,IF(VERB!A50=Bron!$B$12,VERB!E104,0)+IF(VERB!G50=Bron!$B$12,VERB!K104,0)+IF(VERB!M50=Bron!$B$12,VERB!Q104,0),IF(samen!A51=Bron!$B$12,samen!E105,0)+IF(samen!G51=Bron!$B$12,samen!K105,0)+IF(samen!M51=Bron!$B$12,samen!Q105,0))</f>
        <v>0</v>
      </c>
      <c r="I37" s="51"/>
      <c r="J37" s="255">
        <f>'AK+VERB'!E128+'AK+VERB'!K128+'AK+VERB'!Q128</f>
        <v>0</v>
      </c>
      <c r="K37" s="51"/>
      <c r="L37" s="255"/>
      <c r="M37" s="51"/>
      <c r="N37" s="255">
        <f>'NB 21% light'!A94*('NB 21% light'!B94-50)*'NB 21% light'!C94+'NB 21% light'!G94*('NB 21% light'!H94-50)*'NB 21% light'!I94+'NB 21% light'!M94*('NB 21% light'!N94-50)*'NB 21% light'!O94+('NB 6-12-21% light'!A91+'NB 6-12-21% light'!A99)*('NB 6-12-21% light'!B91-50)*'NB 6-12-21% light'!C91+('NB 6-12-21% light'!G91+'NB 6-12-21% light'!G99)*('NB 6-12-21% light'!H91-50)*'NB 6-12-21% light'!I91+('NB 6-12-21% light'!M91+'NB 6-12-21% light'!M99)*('NB 6-12-21% light'!N91-50)*'NB 6-12-21% light'!O91</f>
        <v>0</v>
      </c>
      <c r="O37" s="51"/>
      <c r="P37" s="255">
        <f>J37+F37+D37+B37+H37+N37</f>
        <v>0</v>
      </c>
      <c r="Q37" s="18"/>
    </row>
    <row r="38" spans="1:23" ht="13.8" outlineLevel="2" x14ac:dyDescent="0.3">
      <c r="A38" s="142" t="s">
        <v>369</v>
      </c>
      <c r="B38" s="254">
        <f>'NB 21%'!D90+'NB 21%'!J90+'NB 21%'!P90+'NB 6-12-21%'!E120+'NB 6-12-21%'!K120+'NB 6-12-21%'!Q120</f>
        <v>0</v>
      </c>
      <c r="C38" s="18"/>
      <c r="D38" s="255">
        <f>UITB!E124+UITB!K124+UITB!Q124+samen!E118+IF(samen!A114=0,0,samen!E128*(samen!A114/(samen!A122)))+samen!K118+IF(samen!G114=0,0,samen!K128*(samen!G114/(samen!G122)))+samen!Q118+IF(samen!M114=0,0,samen!Q128*(samen!M114/(samen!M122)))+samen!E135*IFERROR(samen!A114/samen!A132,0)+samen!K135*IFERROR(samen!G114/samen!G132,0)+samen!Q135*IFERROR(samen!M114/samen!M132,0)</f>
        <v>0</v>
      </c>
      <c r="E38" s="51"/>
      <c r="F38" s="255">
        <f>IF('Overzicht BTA'!D59=0,IF(VERB!A98=Bron!$B$11,VERB!E131,0)+IF(VERB!G98=Bron!$B$11,VERB!K131,0)+IF(VERB!M98=Bron!$B$11,VERB!Q131,0),IF(samen!A99=Bron!$B$11,IF(samen!A122=0,0,samen!E109+samen!E128*(samen!A102/samen!A122)),0)+IF(samen!G99=Bron!$B$11,IF(samen!G122=0,0,samen!K109+samen!K128*(samen!G102/samen!G122)),0)+IF(samen!M99=Bron!$B$11,IF(samen!M122=0,0,samen!Q109+samen!Q128*(samen!M102/samen!M122)),0))+samen!E135*IFERROR(samen!A122/samen!A132,0)+samen!K135*IFERROR(samen!G122/samen!G132,0)+samen!Q135*IFERROR(samen!M122/samen!M132,0)</f>
        <v>0</v>
      </c>
      <c r="G38" s="51"/>
      <c r="H38" s="255">
        <f>IF('Overzicht BTA'!D59=0,IF(VERB!A98=Bron!$B$12,VERB!E131,0)+IF(VERB!G98=Bron!$B$12,VERB!K131,0)+IF(VERB!M98=Bron!$B$12,VERB!Q131,0),IF(samen!A99=Bron!$B$12,IF(samen!A122=0,0,samen!E109+samen!E128*(samen!A102/samen!A122)),0)+IF(samen!G99=Bron!$B$12,IF(samen!G122=0,0,samen!K109+samen!K128*(samen!G102/samen!G122)),0)+IF(samen!M99=Bron!$B$12,IF(samen!M122=0,0,samen!Q109+samen!Q128*(samen!M102/samen!M122)),0))+samen!E135*IFERROR(samen!A122/samen!A132,0)+samen!K135*IFERROR(samen!G122/samen!G132,0)+samen!Q135*IFERROR(samen!M122/samen!M132,0)</f>
        <v>0</v>
      </c>
      <c r="I38" s="51"/>
      <c r="J38" s="255">
        <f>'AK+VERB'!E131+'AK+VERB'!K131+'AK+VERB'!Q131+'AK+VERB'!E132+'AK+VERB'!E133+'AK+VERB'!E134+'AK+VERB'!E135+'AK+VERB'!K132+'AK+VERB'!K133+'AK+VERB'!K134+'AK+VERB'!K135+'AK+VERB'!Q132+'AK+VERB'!Q133+'AK+VERB'!Q134+'AK+VERB'!Q135+'AK+VERB'!E143+'AK+VERB'!K143+'AK+VERB'!Q143</f>
        <v>0</v>
      </c>
      <c r="K38" s="51"/>
      <c r="L38" s="255"/>
      <c r="M38" s="51"/>
      <c r="N38" s="255">
        <f>'NB 21% light'!D121+'NB 21% light'!J121+'NB 21% light'!P121+'NB 6-12-21% light'!E119+'NB 6-12-21% light'!K119+'NB 6-12-21% light'!Q119</f>
        <v>0</v>
      </c>
      <c r="O38" s="51"/>
      <c r="P38" s="255">
        <f>J38+F38+D38+B38+H38+N38</f>
        <v>0</v>
      </c>
      <c r="Q38" s="18"/>
    </row>
    <row r="39" spans="1:23" ht="13.8" outlineLevel="2" x14ac:dyDescent="0.3">
      <c r="A39" s="142" t="s">
        <v>365</v>
      </c>
      <c r="B39" s="254"/>
      <c r="C39" s="18"/>
      <c r="D39" s="255"/>
      <c r="E39" s="51"/>
      <c r="F39" s="255"/>
      <c r="G39" s="51"/>
      <c r="H39" s="255"/>
      <c r="I39" s="51"/>
      <c r="J39" s="255">
        <f>'AK+VERB'!E125+'AK+VERB'!K125+'AK+VERB'!Q125</f>
        <v>0</v>
      </c>
      <c r="K39" s="51"/>
      <c r="L39" s="255">
        <f>AKzondVERB!E44+AKzondVERB!K44+AKzondVERB!Q44</f>
        <v>0</v>
      </c>
      <c r="M39" s="51"/>
      <c r="N39" s="255"/>
      <c r="O39" s="51"/>
      <c r="P39" s="255">
        <f t="shared" ref="P39:P40" si="2">J39+F39+D39+B39+H39+N39</f>
        <v>0</v>
      </c>
      <c r="Q39" s="18"/>
    </row>
    <row r="40" spans="1:23" ht="13.8" outlineLevel="2" x14ac:dyDescent="0.3">
      <c r="A40" s="142" t="s">
        <v>366</v>
      </c>
      <c r="B40" s="254"/>
      <c r="C40" s="18"/>
      <c r="D40" s="255"/>
      <c r="E40" s="51"/>
      <c r="F40" s="255"/>
      <c r="G40" s="51"/>
      <c r="H40" s="255"/>
      <c r="I40" s="51"/>
      <c r="J40" s="255">
        <f>'AK+VERB'!E126+'AK+VERB'!E126+'AK+VERB'!K126+'AK+VERB'!K126+'AK+VERB'!Q126+'AK+VERB'!Q126</f>
        <v>0</v>
      </c>
      <c r="K40" s="51"/>
      <c r="L40" s="255">
        <f>AKzondVERB!E46+AKzondVERB!K46+AKzondVERB!Q46</f>
        <v>0</v>
      </c>
      <c r="M40" s="51"/>
      <c r="N40" s="255"/>
      <c r="O40" s="51"/>
      <c r="P40" s="255">
        <f t="shared" si="2"/>
        <v>0</v>
      </c>
      <c r="Q40" s="18"/>
    </row>
    <row r="41" spans="1:23" ht="13.8" outlineLevel="2" x14ac:dyDescent="0.3">
      <c r="A41" s="509" t="s">
        <v>370</v>
      </c>
      <c r="B41" s="143"/>
      <c r="C41" s="18"/>
      <c r="D41" s="143"/>
      <c r="E41" s="18"/>
      <c r="F41" s="143"/>
      <c r="G41" s="18"/>
      <c r="H41" s="143"/>
      <c r="I41" s="18"/>
      <c r="J41" s="143"/>
      <c r="K41" s="18"/>
      <c r="L41" s="143"/>
      <c r="M41" s="18"/>
      <c r="N41" s="143"/>
      <c r="O41" s="18"/>
    </row>
    <row r="42" spans="1:23" ht="13.8" outlineLevel="2" x14ac:dyDescent="0.3">
      <c r="A42" s="142" t="s">
        <v>363</v>
      </c>
      <c r="B42" s="254">
        <f>'NB 21%'!A4*('NB 21%'!B4-50)*'NB 21%'!C4+'NB 21%'!G4*('NB 21%'!H4-50)*'NB 21%'!I4+'NB 21%'!M4*('NB 21%'!N4-50)*'NB 21%'!O4+'NB 6-12-21%'!A4*('NB 6-12-21%'!B4-50)*'NB 6-12-21%'!C4+'NB 6-12-21%'!G4*('NB 6-12-21%'!H4-50)*'NB 6-12-21%'!I4+'NB 6-12-21%'!M4*'NB 6-12-21%'!O4*('NB 6-12-21%'!N4-50)+'NB 6-12-21%'!A12*('NB 6-12-21%'!B12-50)*'NB 6-12-21%'!C12+'NB 6-12-21%'!G12*('NB 6-12-21%'!H12-50)*'NB 6-12-21%'!I12+'NB 6-12-21%'!M12*('NB 6-12-21%'!N12-50)*'NB 6-12-21%'!O12</f>
        <v>0</v>
      </c>
      <c r="C42" s="18"/>
      <c r="D42" s="255">
        <f>IF(AND('Overzicht BTA'!D16=0,'Overzicht BTA'!D17=0),UITB!E5,samen!E17)+IF(AND('Overzicht BTA'!J16=0,'Overzicht BTA'!J17=0),UITB!K5,samen!K17)+IF(AND('Overzicht BTA'!P16=0,'Overzicht BTA'!P17=0),UITB!Q5,samen!Q17)</f>
        <v>0</v>
      </c>
      <c r="E42" s="51"/>
      <c r="F42" s="255">
        <f>IF('Overzicht BTA'!D15=0,IF(VERB!A2=Bron!$B$11,VERB!E8,0)+IF(VERB!G2=Bron!$B$11,VERB!K8,0)+IF(VERB!M2=Bron!$B$11,VERB!Q8,0),IF(samen!A2=Bron!$B$11,samen!E8,0)+IF(samen!G2=Bron!$B$11,samen!K8,0)+IF(samen!M2=Bron!$B$11,samen!Q8,0))</f>
        <v>0</v>
      </c>
      <c r="G42" s="51"/>
      <c r="H42" s="255">
        <f>IF('Overzicht BTA'!D15=0,IF(VERB!A2=Bron!$B$12,VERB!E8,0)+IF(VERB!G2=Bron!$B$12,VERB!K8,0)+IF(VERB!M2=Bron!$B$11,VERB!Q8,0),IF(samen!A2=Bron!$B$12,samen!E8,0)+IF(samen!G2=Bron!$B$12,samen!K8,0)+IF(samen!M2=Bron!$B$12,samen!Q8,0))</f>
        <v>0</v>
      </c>
      <c r="I42" s="51"/>
      <c r="J42" s="255">
        <f>'AK+VERB'!E16+'AK+VERB'!K16+'AK+VERB'!Q16</f>
        <v>0</v>
      </c>
      <c r="K42" s="51"/>
      <c r="M42" s="51"/>
      <c r="N42" s="255">
        <f>'NB 21% light'!A5*('NB 21% light'!B5-50)*'NB 21% light'!C5+'NB 21% light'!G5*('NB 21% light'!H5-50)*'NB 21% light'!I5+'NB 21% light'!M5*('NB 21% light'!N5-50)*'NB 21% light'!O5+('NB 6-12-21% light'!A12+'NB 6-12-21% light'!A4)*('NB 6-12-21% light'!B4-50)*'NB 6-12-21% light'!C4+('NB 6-12-21% light'!G4+'NB 6-12-21% light'!G12)*('NB 6-12-21% light'!H4-50)*'NB 6-12-21% light'!I4+('NB 6-12-21% light'!M12+'NB 6-12-21% light'!M4)*('NB 6-12-21% light'!N4-50)*'NB 6-12-21% light'!O4</f>
        <v>0</v>
      </c>
      <c r="O42" s="51"/>
      <c r="P42" s="255">
        <f>J42+F42+D42+B42+H42+N42</f>
        <v>0</v>
      </c>
      <c r="Q42" s="18"/>
    </row>
    <row r="43" spans="1:23" ht="13.8" outlineLevel="2" x14ac:dyDescent="0.3">
      <c r="A43" s="142" t="s">
        <v>364</v>
      </c>
      <c r="B43" s="254">
        <f>'NB 21%'!D21+'NB 21%'!J21+'NB 21%'!P21+'NB 6-12-21%'!E32+'NB 6-12-21%'!K32+'NB 6-12-21%'!Q32</f>
        <v>0</v>
      </c>
      <c r="C43" s="18"/>
      <c r="D43" s="255">
        <f>UITB!E32+UITB!K32+UITB!Q32+samen!E21+IF(samen!A17=0,0,samen!E31*(samen!A17/(samen!A25)))+samen!K21+IF(samen!G17=0,0,samen!K31*(samen!G17/(samen!G25)))+samen!Q21+IF(samen!M17=0,0,samen!Q31*(samen!M17/(samen!M25)))+samen!E38*IFERROR(samen!A17/samen!A35,0)+samen!K38*IFERROR(samen!G17/samen!G35,0)+samen!Q38*IFERROR(samen!M17/samen!M35,0)</f>
        <v>0</v>
      </c>
      <c r="E43" s="51"/>
      <c r="F43" s="255">
        <f>IF('Overzicht BTA'!D15=0,IF(VERB!A2=Bron!$B$11,VERB!E35,0)+IF(VERB!G2=Bron!$B$11,VERB!K35,0)+IF(VERB!M2=Bron!$B$11,VERB!Q35,0),IF(samen!A2=Bron!$B$11,IF(samen!A25=0,0,samen!E12+samen!E31*(samen!A5/samen!A25)),0)+IF(samen!G2=Bron!$B$11,IF(samen!G25=0,0,samen!K12+samen!K31*(samen!G5/samen!G25)),0)+IF(samen!M2=Bron!$B$11,IF(samen!M25=0,0,samen!Q12+samen!Q31*(samen!M5/samen!M25)),0))+samen!E38*IFERROR(samen!A25/samen!A35,0)+samen!K38*IFERROR(samen!G25/samen!G35,0)+samen!Q38*IFERROR(samen!M25/samen!M35,0)</f>
        <v>0</v>
      </c>
      <c r="G43" s="51"/>
      <c r="H43" s="255">
        <f>IF('Overzicht BTA'!D15=0,IF(VERB!A2=Bron!$B$12,VERB!E35,0)+IF(VERB!G2=Bron!$B$12,VERB!K35,0)+IF(VERB!M2=Bron!$B$12,VERB!Q35,0),IF(samen!A2=Bron!$B$12,IF(samen!A25=0,0,samen!E12+samen!E31*(samen!A5/samen!A25)),0)+IF(samen!G2=Bron!$B$12,IF(samen!G25=0,0,samen!K12+samen!K31*(samen!G5/samen!G25)),0)+IF(samen!M2=Bron!$B$12,IF(samen!M25=0,0,samen!Q12+samen!Q31*(samen!M5/samen!M25)),0))+samen!E38*IFERROR(samen!A25/samen!A35,0)+samen!K38*IFERROR(samen!G25/samen!G35,0)+samen!Q38*IFERROR(samen!M25/samen!M35,0)</f>
        <v>0</v>
      </c>
      <c r="I43" s="51"/>
      <c r="J43" s="255">
        <f>'AK+VERB'!E19+'AK+VERB'!K19+'AK+VERB'!Q19+'AK+VERB'!E20+'AK+VERB'!E21+'AK+VERB'!E22+'AK+VERB'!E23+'AK+VERB'!K21+'AK+VERB'!K22+'AK+VERB'!K23+'AK+VERB'!Q20+'AK+VERB'!Q21+'AK+VERB'!Q22+'AK+VERB'!Q23+'AK+VERB'!E31+'AK+VERB'!K31+'AK+VERB'!Q31</f>
        <v>0</v>
      </c>
      <c r="K43" s="51"/>
      <c r="M43" s="51"/>
      <c r="N43" s="255">
        <f>'NB 21% light'!D32+'NB 21% light'!J32+'NB 21% light'!P32+'NB 6-12-21% light'!E31+'NB 6-12-21% light'!K31+'NB 6-12-21% light'!Q31</f>
        <v>0</v>
      </c>
      <c r="O43" s="51"/>
      <c r="P43" s="255">
        <f>J43+F43+D43+B43+H43+N43</f>
        <v>0</v>
      </c>
      <c r="Q43" s="18"/>
    </row>
    <row r="44" spans="1:23" ht="13.8" outlineLevel="2" x14ac:dyDescent="0.3">
      <c r="A44" s="142" t="s">
        <v>365</v>
      </c>
      <c r="B44" s="254"/>
      <c r="C44" s="18"/>
      <c r="D44" s="255"/>
      <c r="E44" s="51"/>
      <c r="F44" s="255"/>
      <c r="G44" s="51"/>
      <c r="H44" s="255"/>
      <c r="I44" s="51"/>
      <c r="J44" s="255">
        <f>'AK+VERB'!E13+'AK+VERB'!K13+'AK+VERB'!Q13</f>
        <v>0</v>
      </c>
      <c r="K44" s="51"/>
      <c r="L44" s="255">
        <f>AKzondVERB!E7+AKzondVERB!K7+AKzondVERB!Q7</f>
        <v>0</v>
      </c>
      <c r="M44" s="51"/>
      <c r="N44" s="255"/>
      <c r="O44" s="51"/>
      <c r="P44" s="255">
        <f>J44+L44</f>
        <v>0</v>
      </c>
      <c r="Q44" s="18"/>
    </row>
    <row r="45" spans="1:23" ht="13.8" outlineLevel="2" x14ac:dyDescent="0.3">
      <c r="A45" s="142" t="s">
        <v>366</v>
      </c>
      <c r="B45" s="254"/>
      <c r="C45" s="18"/>
      <c r="D45" s="255"/>
      <c r="E45" s="51"/>
      <c r="F45" s="255"/>
      <c r="G45" s="51"/>
      <c r="H45" s="255"/>
      <c r="I45" s="51"/>
      <c r="J45" s="255">
        <f>'AK+VERB'!E13+'AK+VERB'!E14+'AK+VERB'!K13+'AK+VERB'!K14+'AK+VERB'!Q13+'AK+VERB'!Q14</f>
        <v>0</v>
      </c>
      <c r="K45" s="51"/>
      <c r="L45" s="255">
        <f>AKzondVERB!E9+AKzondVERB!K9+AKzondVERB!Q9</f>
        <v>0</v>
      </c>
      <c r="M45" s="51"/>
      <c r="N45" s="255"/>
      <c r="O45" s="51"/>
      <c r="P45" s="255">
        <f>J45+L45</f>
        <v>0</v>
      </c>
      <c r="Q45" s="18"/>
    </row>
    <row r="46" spans="1:23" ht="13.8" outlineLevel="2" x14ac:dyDescent="0.3">
      <c r="A46" s="142"/>
      <c r="B46" s="254"/>
      <c r="C46" s="18"/>
      <c r="D46" s="255"/>
      <c r="E46" s="51"/>
      <c r="F46" s="255"/>
      <c r="G46" s="51"/>
      <c r="H46" s="255"/>
      <c r="I46" s="51"/>
      <c r="J46" s="255"/>
      <c r="K46" s="51"/>
      <c r="L46" s="255"/>
      <c r="M46" s="51"/>
      <c r="N46" s="255"/>
      <c r="O46" s="51"/>
      <c r="P46" s="255"/>
      <c r="Q46" s="18"/>
    </row>
    <row r="47" spans="1:23" ht="13.8" x14ac:dyDescent="0.3">
      <c r="A47" s="147" t="s">
        <v>371</v>
      </c>
      <c r="F47" s="18" t="s">
        <v>69</v>
      </c>
      <c r="G47" s="143"/>
      <c r="H47" s="18"/>
      <c r="I47" s="143"/>
      <c r="J47" s="18"/>
      <c r="K47" s="143"/>
      <c r="L47" s="18"/>
      <c r="M47" s="143"/>
      <c r="N47" s="18"/>
      <c r="P47" s="509" t="s">
        <v>322</v>
      </c>
      <c r="Q47" s="501"/>
      <c r="R47" s="509" t="s">
        <v>370</v>
      </c>
      <c r="S47" s="501" t="s">
        <v>372</v>
      </c>
      <c r="T47" s="509" t="s">
        <v>367</v>
      </c>
      <c r="U47" s="509" t="s">
        <v>373</v>
      </c>
      <c r="V47" s="509" t="s">
        <v>374</v>
      </c>
      <c r="W47" s="509"/>
    </row>
    <row r="48" spans="1:23" ht="14.4" customHeight="1" x14ac:dyDescent="0.3">
      <c r="A48" s="21" t="s">
        <v>375</v>
      </c>
      <c r="F48" s="18"/>
      <c r="G48" s="148"/>
      <c r="H48" s="18"/>
      <c r="I48" s="148"/>
      <c r="J48" s="18"/>
      <c r="K48" s="148"/>
      <c r="L48" s="18"/>
      <c r="M48" s="143"/>
      <c r="N48" s="18"/>
      <c r="P48" s="625">
        <f>P32</f>
        <v>0</v>
      </c>
      <c r="R48" s="625">
        <f>P42</f>
        <v>0</v>
      </c>
      <c r="S48" s="81">
        <f>P48-R48</f>
        <v>0</v>
      </c>
      <c r="T48" s="81">
        <f>P37</f>
        <v>0</v>
      </c>
      <c r="U48" s="81">
        <f>T48</f>
        <v>0</v>
      </c>
    </row>
    <row r="49" spans="1:23" ht="14.4" customHeight="1" x14ac:dyDescent="0.3">
      <c r="A49" s="21" t="s">
        <v>376</v>
      </c>
      <c r="F49" s="18"/>
      <c r="H49" s="18"/>
      <c r="J49" s="18"/>
      <c r="L49" s="18"/>
      <c r="M49" s="143"/>
      <c r="N49" s="18"/>
      <c r="P49" s="625">
        <f>P16</f>
        <v>0</v>
      </c>
      <c r="R49" s="625">
        <f>'uitgebreide raming'!J9+'uitgebreide raming'!J36+'uitgebreide raming'!J63</f>
        <v>0</v>
      </c>
      <c r="S49" s="81">
        <f>P49-R49</f>
        <v>0</v>
      </c>
      <c r="T49" s="81">
        <f>P49</f>
        <v>0</v>
      </c>
      <c r="U49" s="81">
        <f>'Bouwkost VOLT'!K50+'Bouwkost UITB'!K48+'Bouwkost VERB'!K50+'Bouwkost IER'!K49</f>
        <v>0</v>
      </c>
    </row>
    <row r="50" spans="1:23" ht="13.8" x14ac:dyDescent="0.3">
      <c r="F50" s="18"/>
      <c r="H50" s="18"/>
      <c r="J50" s="18"/>
      <c r="L50" s="18"/>
      <c r="M50" s="143"/>
      <c r="N50" s="18"/>
      <c r="P50" s="107" t="e">
        <f>P48/P49</f>
        <v>#DIV/0!</v>
      </c>
      <c r="R50" s="107" t="e">
        <f>R48/R49</f>
        <v>#DIV/0!</v>
      </c>
      <c r="S50" s="503"/>
      <c r="T50" s="107" t="e">
        <f>T48/T49</f>
        <v>#DIV/0!</v>
      </c>
      <c r="U50" s="107" t="e">
        <f>U48/U49</f>
        <v>#DIV/0!</v>
      </c>
    </row>
    <row r="51" spans="1:23" ht="13.8" x14ac:dyDescent="0.3">
      <c r="A51" s="21" t="s">
        <v>377</v>
      </c>
      <c r="F51" s="18"/>
      <c r="G51" s="148"/>
      <c r="H51" s="18"/>
      <c r="I51" s="148"/>
      <c r="J51" s="18"/>
      <c r="K51" s="148"/>
      <c r="L51" s="18"/>
      <c r="M51" s="143"/>
      <c r="N51" s="18"/>
      <c r="P51" s="625">
        <f>P33</f>
        <v>0</v>
      </c>
      <c r="R51" s="812">
        <f>P43</f>
        <v>0</v>
      </c>
      <c r="S51" s="452">
        <f>P51-R51</f>
        <v>0</v>
      </c>
      <c r="T51" s="81">
        <f>P38</f>
        <v>0</v>
      </c>
      <c r="U51" s="81">
        <f>T51</f>
        <v>0</v>
      </c>
      <c r="V51" s="452">
        <f>ROUND(((P51*'Overzicht BTA'!D36/'Overzicht BTA'!D37)-'analyse bij belofte'!R51)*'Overzicht BTA'!D37/'Overzicht BTA'!D36,2)</f>
        <v>0</v>
      </c>
    </row>
    <row r="52" spans="1:23" ht="13.8" x14ac:dyDescent="0.3">
      <c r="A52" s="21" t="s">
        <v>146</v>
      </c>
      <c r="F52" s="18"/>
      <c r="G52" s="148"/>
      <c r="H52" s="18"/>
      <c r="I52" s="148"/>
      <c r="J52" s="18"/>
      <c r="K52" s="148"/>
      <c r="L52" s="18"/>
      <c r="M52" s="143"/>
      <c r="N52" s="18"/>
      <c r="P52" s="625">
        <f>'uitgebreide raming_gewijzigd'!B89</f>
        <v>0</v>
      </c>
      <c r="R52" s="625">
        <f>'uitgebreide raming'!B89</f>
        <v>0</v>
      </c>
      <c r="S52" s="81">
        <f>P52-R52</f>
        <v>0</v>
      </c>
      <c r="T52" s="81">
        <f>P52</f>
        <v>0</v>
      </c>
      <c r="U52" s="81">
        <f>'Bouwkost VOLT'!K81+'Bouwkost UITB'!K81+'Bouwkost VERB'!K81+'Bouwkost IER'!K80+'Bouwkost NB'!K82</f>
        <v>0</v>
      </c>
    </row>
    <row r="53" spans="1:23" ht="13.8" x14ac:dyDescent="0.3">
      <c r="F53" s="18"/>
      <c r="G53" s="146"/>
      <c r="H53" s="18"/>
      <c r="I53" s="146"/>
      <c r="J53" s="18"/>
      <c r="K53" s="146"/>
      <c r="L53" s="18"/>
      <c r="M53" s="143"/>
      <c r="N53" s="18"/>
      <c r="P53" s="107" t="e">
        <f>P51/P52</f>
        <v>#DIV/0!</v>
      </c>
      <c r="R53" s="107" t="e">
        <f>R51/R52</f>
        <v>#DIV/0!</v>
      </c>
      <c r="S53" s="503"/>
      <c r="T53" s="107" t="e">
        <f>T51/T52</f>
        <v>#DIV/0!</v>
      </c>
      <c r="U53" s="107" t="e">
        <f>U51/U52</f>
        <v>#DIV/0!</v>
      </c>
    </row>
    <row r="54" spans="1:23" ht="13.8" x14ac:dyDescent="0.3">
      <c r="A54" s="21" t="s">
        <v>378</v>
      </c>
      <c r="F54" s="18"/>
      <c r="H54" s="18"/>
      <c r="J54" s="18"/>
      <c r="L54" s="18"/>
      <c r="M54" s="143"/>
      <c r="N54" s="18"/>
      <c r="P54" s="625">
        <f>P34</f>
        <v>0</v>
      </c>
      <c r="R54" s="812">
        <f>P44</f>
        <v>0</v>
      </c>
      <c r="S54" s="81">
        <f>P54-R54</f>
        <v>0</v>
      </c>
      <c r="T54" s="107"/>
      <c r="U54" s="81"/>
      <c r="V54" s="452">
        <f>(P54*('Overzicht BTA'!$D$36/'Overzicht BTA'!$D$37)-'analyse bij belofte'!R54)*('Overzicht BTA'!$D$37/'Overzicht BTA'!$D$36)</f>
        <v>0</v>
      </c>
    </row>
    <row r="55" spans="1:23" ht="13.8" x14ac:dyDescent="0.3">
      <c r="A55" s="21" t="s">
        <v>379</v>
      </c>
      <c r="F55" s="18"/>
      <c r="H55" s="18"/>
      <c r="J55" s="18"/>
      <c r="L55" s="18"/>
      <c r="M55" s="143"/>
      <c r="N55" s="18"/>
      <c r="P55" s="625">
        <f>J12+L12</f>
        <v>0</v>
      </c>
      <c r="R55" s="625">
        <f>'uitgebreide raming'!J3+'uitgebreide raming'!J31+'uitgebreide raming'!J57</f>
        <v>0</v>
      </c>
      <c r="S55" s="81">
        <f>P55-R55</f>
        <v>0</v>
      </c>
      <c r="T55" s="107"/>
      <c r="U55" s="81"/>
    </row>
    <row r="56" spans="1:23" ht="13.8" x14ac:dyDescent="0.3">
      <c r="A56" s="21"/>
      <c r="F56" s="18"/>
      <c r="H56" s="18"/>
      <c r="J56" s="18"/>
      <c r="L56" s="18"/>
      <c r="M56" s="143"/>
      <c r="N56" s="18"/>
      <c r="P56" s="107" t="e">
        <f>P54/P55</f>
        <v>#DIV/0!</v>
      </c>
      <c r="R56" s="107" t="e">
        <f>R54/R55</f>
        <v>#DIV/0!</v>
      </c>
      <c r="S56" s="503"/>
      <c r="T56" s="107"/>
    </row>
    <row r="57" spans="1:23" ht="13.8" x14ac:dyDescent="0.3">
      <c r="A57" s="21" t="s">
        <v>366</v>
      </c>
      <c r="F57" s="18"/>
      <c r="H57" s="18"/>
      <c r="J57" s="18"/>
      <c r="L57" s="18"/>
      <c r="M57" s="143"/>
      <c r="N57" s="18"/>
      <c r="P57" s="625">
        <f>P35</f>
        <v>0</v>
      </c>
      <c r="R57" s="625">
        <f>P45</f>
        <v>0</v>
      </c>
      <c r="S57" s="81">
        <f>P57-R57</f>
        <v>0</v>
      </c>
      <c r="T57" s="107"/>
      <c r="U57" s="81"/>
    </row>
    <row r="58" spans="1:23" ht="13.8" x14ac:dyDescent="0.3">
      <c r="A58" s="21" t="s">
        <v>380</v>
      </c>
      <c r="F58" s="18"/>
      <c r="H58" s="18"/>
      <c r="J58" s="18"/>
      <c r="L58" s="18"/>
      <c r="M58" s="143"/>
      <c r="N58" s="18"/>
      <c r="P58" s="625">
        <f>'uitgebreide raming_gewijzigd'!B88</f>
        <v>0</v>
      </c>
      <c r="R58" s="625">
        <f>'uitgebreide raming'!B88</f>
        <v>0</v>
      </c>
      <c r="S58" s="81">
        <f>P58-R58</f>
        <v>0</v>
      </c>
      <c r="T58" s="107"/>
      <c r="U58" s="81"/>
    </row>
    <row r="59" spans="1:23" ht="13.8" x14ac:dyDescent="0.3">
      <c r="A59" s="21"/>
      <c r="F59" s="18"/>
      <c r="H59" s="18"/>
      <c r="J59" s="18"/>
      <c r="L59" s="18"/>
      <c r="M59" s="143"/>
      <c r="N59" s="18"/>
      <c r="P59" s="107" t="e">
        <f>P57/P58</f>
        <v>#DIV/0!</v>
      </c>
      <c r="R59" s="107" t="e">
        <f>R57/R58</f>
        <v>#DIV/0!</v>
      </c>
      <c r="S59" s="503"/>
      <c r="T59" s="699"/>
      <c r="V59" s="452">
        <f>(P57-P54)</f>
        <v>0</v>
      </c>
      <c r="W59" s="59" t="s">
        <v>381</v>
      </c>
    </row>
    <row r="60" spans="1:23" ht="13.8" x14ac:dyDescent="0.3">
      <c r="A60" s="21" t="s">
        <v>382</v>
      </c>
      <c r="F60" s="18"/>
      <c r="H60" s="18"/>
      <c r="J60" s="18"/>
      <c r="L60" s="18"/>
      <c r="M60" s="143"/>
      <c r="N60" s="18"/>
      <c r="P60" s="625">
        <f>P57+P51</f>
        <v>0</v>
      </c>
      <c r="R60" s="625">
        <f>R57+R51</f>
        <v>0</v>
      </c>
      <c r="S60" s="503"/>
      <c r="T60" s="146"/>
    </row>
    <row r="61" spans="1:23" ht="13.8" x14ac:dyDescent="0.3">
      <c r="A61" s="21" t="s">
        <v>383</v>
      </c>
      <c r="F61" s="18"/>
      <c r="H61" s="18"/>
      <c r="J61" s="18"/>
      <c r="L61" s="18"/>
      <c r="M61" s="143"/>
      <c r="N61" s="18"/>
      <c r="P61" s="625">
        <f>P52+P58</f>
        <v>0</v>
      </c>
      <c r="R61" s="625">
        <f>R52+R58</f>
        <v>0</v>
      </c>
      <c r="S61" s="503"/>
      <c r="T61" s="146"/>
    </row>
    <row r="62" spans="1:23" ht="13.8" x14ac:dyDescent="0.3">
      <c r="A62" s="21"/>
      <c r="F62" s="18"/>
      <c r="H62" s="18"/>
      <c r="J62" s="18"/>
      <c r="L62" s="18"/>
      <c r="M62" s="143"/>
      <c r="N62" s="18"/>
      <c r="P62" s="914" t="e">
        <f>P60/P61</f>
        <v>#DIV/0!</v>
      </c>
      <c r="R62" s="914" t="e">
        <f>R60/R61</f>
        <v>#DIV/0!</v>
      </c>
      <c r="S62" s="503"/>
      <c r="T62" s="146"/>
    </row>
    <row r="63" spans="1:23" ht="13.8" x14ac:dyDescent="0.3">
      <c r="A63" s="21" t="s">
        <v>384</v>
      </c>
      <c r="F63" s="18"/>
      <c r="H63" s="18"/>
      <c r="J63" s="18"/>
      <c r="L63" s="18"/>
      <c r="M63" s="143"/>
      <c r="N63" s="18"/>
      <c r="P63" s="818">
        <f>('NB 21%'!D58+'NB 21%'!J58+'NB 21%'!P58+'NB 6-12-21%'!E78+'NB 6-12-21%'!K78+'NB 6-12-21%'!Q78+'NB 21% light'!D79+'NB 21% light'!J79+'NB 21% light'!P79+'NB 6-12-21% light'!E77+'NB 6-12-21% light'!K77+'NB 6-12-21% light'!Q77+UITB!E78+UITB!K78+UITB!Q78+VERB!E85+VERB!K85+VERB!Q85+samen!E95+samen!K95+samen!Q95+'AK+VERB'!E95+'AK+VERB'!K95+'AK+VERB'!Q95)</f>
        <v>0</v>
      </c>
      <c r="R63" s="812">
        <f>'NB 21%'!D23+'NB 21%'!J23+'NB 21%'!P23+'NB 6-12-21%'!E34+'NB 6-12-21%'!K34+'NB 6-12-21%'!Q34+'NB 21% light'!D32+'NB 21% light'!J32+'NB 21% light'!P32+'NB 6-12-21% light'!E33+'NB 6-12-21% light'!K33+'NB 6-12-21% light'!Q33+VERB!E37+VERB!K37+VERB!Q37+samen!E46+samen!K46+samen!Q46+'AK+VERB'!E39+'AK+VERB'!K39+'AK+VERB'!Q39+UITB!E34+UITB!K34+UITB!Q34</f>
        <v>0</v>
      </c>
      <c r="S63" s="81">
        <f>P63-R63</f>
        <v>0</v>
      </c>
      <c r="T63" s="580"/>
      <c r="V63" s="452">
        <f>(P63*('Overzicht BTA'!$D$36/'Overzicht BTA'!$D$37)-'analyse bij belofte'!R63)*('Overzicht BTA'!$D$37/'Overzicht BTA'!$D$36)</f>
        <v>0</v>
      </c>
    </row>
    <row r="64" spans="1:23" ht="13.8" x14ac:dyDescent="0.3">
      <c r="A64" s="18"/>
      <c r="B64" s="146"/>
      <c r="C64" s="18"/>
      <c r="D64" s="146"/>
      <c r="E64" s="18"/>
      <c r="F64" s="146"/>
      <c r="G64" s="18"/>
      <c r="H64" s="146"/>
      <c r="I64" s="18"/>
      <c r="J64" s="146"/>
      <c r="K64" s="18"/>
      <c r="L64" s="146"/>
      <c r="M64" s="18"/>
      <c r="N64" s="146"/>
      <c r="O64" s="18"/>
      <c r="P64" s="143"/>
      <c r="Q64" s="18"/>
    </row>
    <row r="65" spans="1:17" ht="13.8" x14ac:dyDescent="0.3">
      <c r="A65" s="21" t="s">
        <v>385</v>
      </c>
      <c r="B65" s="81" t="e">
        <f>B18/B6</f>
        <v>#DIV/0!</v>
      </c>
      <c r="C65" s="21"/>
      <c r="D65" s="81" t="e">
        <f>D18/D6</f>
        <v>#DIV/0!</v>
      </c>
      <c r="E65" s="21"/>
      <c r="F65" s="81" t="e">
        <f>F18/F6</f>
        <v>#DIV/0!</v>
      </c>
      <c r="G65" s="21"/>
      <c r="H65" s="81" t="e">
        <f>H18/H6</f>
        <v>#DIV/0!</v>
      </c>
      <c r="I65" s="21"/>
      <c r="J65" s="81" t="e">
        <f>J18/J6</f>
        <v>#DIV/0!</v>
      </c>
      <c r="K65" s="21"/>
      <c r="L65" s="81" t="e">
        <f>L18/L6</f>
        <v>#DIV/0!</v>
      </c>
      <c r="M65" s="21"/>
      <c r="N65" s="81" t="e">
        <f>N18/N6</f>
        <v>#DIV/0!</v>
      </c>
      <c r="O65" s="21"/>
      <c r="P65" s="81" t="e">
        <f>P18/P6</f>
        <v>#DIV/0!</v>
      </c>
      <c r="Q65" s="21"/>
    </row>
    <row r="66" spans="1:17" ht="13.8" x14ac:dyDescent="0.3">
      <c r="A66" s="85" t="s">
        <v>386</v>
      </c>
      <c r="B66" s="92">
        <f>B26/20</f>
        <v>119.79100000000001</v>
      </c>
      <c r="C66" s="85"/>
      <c r="D66" s="92">
        <f>D26/20</f>
        <v>109.80841666666666</v>
      </c>
      <c r="E66" s="85"/>
      <c r="F66" s="92">
        <f>F26/20</f>
        <v>109.80841666666666</v>
      </c>
      <c r="G66" s="85"/>
      <c r="H66" s="92">
        <f>H26/20</f>
        <v>109.80841666666666</v>
      </c>
      <c r="I66" s="85"/>
      <c r="J66" s="92">
        <f>J26/20</f>
        <v>109.80841666666666</v>
      </c>
      <c r="K66" s="85"/>
      <c r="L66" s="92">
        <f>L26/20</f>
        <v>0</v>
      </c>
      <c r="M66" s="85"/>
      <c r="N66" s="92">
        <f>N26/20</f>
        <v>81.358054166666676</v>
      </c>
      <c r="O66" s="85"/>
      <c r="P66" s="92">
        <f>P26/20</f>
        <v>106.73045347222221</v>
      </c>
      <c r="Q66" s="85"/>
    </row>
    <row r="67" spans="1:17" ht="14.4" x14ac:dyDescent="0.3">
      <c r="A67" s="87" t="s">
        <v>387</v>
      </c>
      <c r="B67" s="88" t="e">
        <f>B9/B66</f>
        <v>#VALUE!</v>
      </c>
      <c r="C67" s="89"/>
      <c r="D67" s="88" t="e">
        <f>D65/D66</f>
        <v>#DIV/0!</v>
      </c>
      <c r="E67" s="21"/>
      <c r="F67" s="88" t="e">
        <f>F65/F66</f>
        <v>#DIV/0!</v>
      </c>
      <c r="G67" s="21"/>
      <c r="H67" s="88" t="e">
        <f>H65/H66</f>
        <v>#DIV/0!</v>
      </c>
      <c r="I67" s="21"/>
      <c r="J67" s="88" t="e">
        <f>J65/J66</f>
        <v>#DIV/0!</v>
      </c>
      <c r="K67" s="21"/>
      <c r="L67" s="88" t="e">
        <f>L65/L66</f>
        <v>#DIV/0!</v>
      </c>
      <c r="M67" s="21"/>
      <c r="N67" s="88" t="e">
        <f>N65/N66</f>
        <v>#DIV/0!</v>
      </c>
      <c r="O67" s="21"/>
      <c r="P67" s="88" t="e">
        <f>P9/P66</f>
        <v>#DIV/0!</v>
      </c>
      <c r="Q67" s="21"/>
    </row>
    <row r="68" spans="1:17" ht="13.8" x14ac:dyDescent="0.3">
      <c r="A68" s="18"/>
      <c r="B68" s="18"/>
      <c r="C68" s="18"/>
      <c r="D68" s="18"/>
      <c r="E68" s="18"/>
      <c r="F68" s="18"/>
      <c r="G68" s="18"/>
      <c r="H68" s="18"/>
      <c r="I68" s="18"/>
      <c r="J68" s="18"/>
      <c r="K68" s="18"/>
      <c r="L68" s="18"/>
      <c r="M68" s="18"/>
      <c r="N68" s="18"/>
      <c r="O68" s="18"/>
      <c r="P68" s="18"/>
      <c r="Q68" s="18"/>
    </row>
    <row r="69" spans="1:17" ht="13.8" x14ac:dyDescent="0.3">
      <c r="A69" s="18"/>
      <c r="B69" s="18"/>
      <c r="C69" s="18"/>
      <c r="D69" s="18"/>
      <c r="E69" s="18"/>
      <c r="F69" s="18"/>
      <c r="G69" s="18"/>
      <c r="H69" s="18"/>
      <c r="I69" s="18"/>
      <c r="J69" s="18"/>
      <c r="K69" s="18"/>
      <c r="L69" s="18"/>
      <c r="M69" s="18"/>
      <c r="N69" s="18"/>
      <c r="O69" s="18"/>
      <c r="P69" s="18"/>
      <c r="Q69" s="18"/>
    </row>
    <row r="71" spans="1:17" ht="13.8" x14ac:dyDescent="0.3">
      <c r="A71" s="147" t="s">
        <v>388</v>
      </c>
      <c r="C71" s="18"/>
    </row>
    <row r="72" spans="1:17" ht="13.8" x14ac:dyDescent="0.3">
      <c r="A72" s="18" t="s">
        <v>389</v>
      </c>
      <c r="B72" s="18"/>
      <c r="C72" s="18"/>
    </row>
    <row r="73" spans="1:17" ht="13.8" x14ac:dyDescent="0.3">
      <c r="A73" s="18" t="s">
        <v>390</v>
      </c>
      <c r="B73" s="18"/>
      <c r="C73" s="18" t="s">
        <v>391</v>
      </c>
    </row>
    <row r="74" spans="1:17" ht="13.8" x14ac:dyDescent="0.3">
      <c r="A74" s="18" t="s">
        <v>390</v>
      </c>
      <c r="B74" s="18"/>
      <c r="C74" s="18" t="s">
        <v>392</v>
      </c>
    </row>
    <row r="75" spans="1:17" ht="13.8" x14ac:dyDescent="0.3">
      <c r="A75" s="18" t="s">
        <v>393</v>
      </c>
      <c r="B75" s="18"/>
      <c r="C75" s="18"/>
    </row>
  </sheetData>
  <pageMargins left="0.7" right="0.7" top="0.75" bottom="0.75" header="0.3" footer="0.3"/>
  <pageSetup paperSize="9" orientation="portrait"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Blad14"/>
  <dimension ref="A1:N65"/>
  <sheetViews>
    <sheetView topLeftCell="A23" zoomScaleNormal="100" workbookViewId="0">
      <selection activeCell="B43" sqref="B43"/>
    </sheetView>
  </sheetViews>
  <sheetFormatPr defaultColWidth="9.109375" defaultRowHeight="13.2" x14ac:dyDescent="0.25"/>
  <cols>
    <col min="1" max="1" width="43.88671875" style="59" bestFit="1" customWidth="1"/>
    <col min="2" max="2" width="19.5546875" style="59" customWidth="1"/>
    <col min="3" max="3" width="9.109375" style="59" customWidth="1"/>
    <col min="4" max="4" width="16.6640625" style="59" customWidth="1"/>
    <col min="5" max="5" width="11.44140625" style="59" customWidth="1"/>
    <col min="6" max="6" width="18.33203125" style="59" customWidth="1"/>
    <col min="7" max="7" width="7.6640625" style="59" customWidth="1"/>
    <col min="8" max="8" width="16.6640625" style="59" customWidth="1"/>
    <col min="9" max="9" width="7.6640625" style="59" customWidth="1"/>
    <col min="10" max="10" width="17" style="59" customWidth="1"/>
    <col min="11" max="11" width="7.6640625" style="59" bestFit="1" customWidth="1"/>
    <col min="12" max="16384" width="9.109375" style="59"/>
  </cols>
  <sheetData>
    <row r="1" spans="1:12" ht="13.8" x14ac:dyDescent="0.3">
      <c r="A1" s="147" t="s">
        <v>337</v>
      </c>
      <c r="B1" s="91" t="str">
        <f>'Overzicht BTA'!B7</f>
        <v>Kies kostensoort</v>
      </c>
      <c r="C1" s="18"/>
      <c r="D1" s="91" t="str">
        <f>'Overzicht BTA'!B8</f>
        <v>Kies kostensoort</v>
      </c>
      <c r="E1" s="18"/>
      <c r="F1" s="91" t="str">
        <f>'Overzicht BTA'!B9</f>
        <v>Kies kostensoort</v>
      </c>
      <c r="G1" s="18"/>
      <c r="H1" s="91" t="str">
        <f>'Overzicht BTA'!B10</f>
        <v>Kies kostensoort</v>
      </c>
      <c r="I1" s="18"/>
      <c r="J1" s="22" t="s">
        <v>110</v>
      </c>
      <c r="K1" s="18"/>
    </row>
    <row r="2" spans="1:12" ht="13.8" x14ac:dyDescent="0.3">
      <c r="A2" s="21" t="s">
        <v>394</v>
      </c>
      <c r="B2" s="427">
        <f>'Overzicht BTA'!C7</f>
        <v>0</v>
      </c>
      <c r="C2" s="242"/>
      <c r="D2" s="428">
        <f>'Overzicht BTA'!C8</f>
        <v>0</v>
      </c>
      <c r="E2" s="242"/>
      <c r="F2" s="809">
        <f>'Overzicht BTA'!C9</f>
        <v>0</v>
      </c>
      <c r="G2" s="242"/>
      <c r="H2" s="809">
        <f>'Overzicht BTA'!C10</f>
        <v>0</v>
      </c>
      <c r="I2" s="242"/>
      <c r="J2" s="624">
        <f>B2+D2+F2+H2</f>
        <v>0</v>
      </c>
      <c r="K2" s="18"/>
    </row>
    <row r="3" spans="1:12" ht="13.8" x14ac:dyDescent="0.3">
      <c r="A3" s="21" t="s">
        <v>342</v>
      </c>
      <c r="B3" s="427">
        <f>'Overzicht BTA'!D7</f>
        <v>0</v>
      </c>
      <c r="C3" s="242"/>
      <c r="D3" s="428">
        <f>'Overzicht BTA'!D8</f>
        <v>0</v>
      </c>
      <c r="E3" s="242"/>
      <c r="F3" s="428">
        <f>'Overzicht BTA'!D9</f>
        <v>0</v>
      </c>
      <c r="G3" s="242"/>
      <c r="H3" s="428">
        <f>'Overzicht BTA'!D9</f>
        <v>0</v>
      </c>
      <c r="I3" s="242"/>
      <c r="J3" s="624">
        <f>'Overzicht BTA'!C33</f>
        <v>0</v>
      </c>
      <c r="K3" s="18"/>
    </row>
    <row r="4" spans="1:12" ht="13.8" x14ac:dyDescent="0.3">
      <c r="A4" s="21"/>
      <c r="B4" s="90"/>
      <c r="C4" s="18"/>
      <c r="D4" s="91"/>
      <c r="E4" s="18"/>
      <c r="F4" s="91"/>
      <c r="G4" s="18"/>
      <c r="H4" s="91"/>
      <c r="I4" s="18"/>
      <c r="J4" s="22"/>
      <c r="K4" s="56"/>
    </row>
    <row r="5" spans="1:12" ht="13.8" x14ac:dyDescent="0.3">
      <c r="A5" s="147" t="s">
        <v>343</v>
      </c>
      <c r="B5" s="55"/>
      <c r="C5" s="18"/>
      <c r="D5" s="22"/>
      <c r="E5" s="18"/>
      <c r="F5" s="22"/>
      <c r="G5" s="18"/>
      <c r="H5" s="22"/>
      <c r="I5" s="18"/>
      <c r="J5" s="22"/>
      <c r="K5" s="18"/>
    </row>
    <row r="6" spans="1:12" ht="13.8" x14ac:dyDescent="0.3">
      <c r="A6" s="21" t="s">
        <v>344</v>
      </c>
      <c r="B6" s="188">
        <f>B7+B8</f>
        <v>0</v>
      </c>
      <c r="C6" s="91" t="e">
        <f>'Overzicht BTA'!D25</f>
        <v>#N/A</v>
      </c>
      <c r="D6" s="188">
        <f>D7+D8</f>
        <v>0</v>
      </c>
      <c r="E6" s="91" t="e">
        <f>'Overzicht BTA'!$D$25</f>
        <v>#N/A</v>
      </c>
      <c r="F6" s="188">
        <f>F7+F8</f>
        <v>0</v>
      </c>
      <c r="G6" s="91" t="e">
        <f>'Overzicht BTA'!$D$25</f>
        <v>#N/A</v>
      </c>
      <c r="H6" s="188">
        <f>H7+H8</f>
        <v>0</v>
      </c>
      <c r="I6" s="91" t="e">
        <f>'Overzicht BTA'!$D$25</f>
        <v>#N/A</v>
      </c>
      <c r="J6" s="22">
        <f>IF(AND(B6="",D6="",F6="",H6=""),"",B6+D6+F6+H6)</f>
        <v>0</v>
      </c>
      <c r="K6" s="91" t="e">
        <f>'Overzicht BTA'!$D$25</f>
        <v>#N/A</v>
      </c>
      <c r="L6" s="60"/>
    </row>
    <row r="7" spans="1:12" ht="13.8" x14ac:dyDescent="0.3">
      <c r="A7" s="21" t="s">
        <v>345</v>
      </c>
      <c r="B7" s="188">
        <f>'Overzicht BTA'!E7</f>
        <v>0</v>
      </c>
      <c r="C7" s="91" t="e">
        <f>'Overzicht BTA'!D26</f>
        <v>#N/A</v>
      </c>
      <c r="D7" s="188">
        <f>'Overzicht BTA'!E8</f>
        <v>0</v>
      </c>
      <c r="E7" s="91" t="e">
        <f>'Overzicht BTA'!$D$26</f>
        <v>#N/A</v>
      </c>
      <c r="F7" s="188">
        <f>'Overzicht BTA'!E9</f>
        <v>0</v>
      </c>
      <c r="G7" s="91" t="e">
        <f>'Overzicht BTA'!$D$26</f>
        <v>#N/A</v>
      </c>
      <c r="H7" s="188">
        <f>'Overzicht BTA'!E10</f>
        <v>0</v>
      </c>
      <c r="I7" s="91" t="e">
        <f>'Overzicht BTA'!$D$26</f>
        <v>#N/A</v>
      </c>
      <c r="J7" s="22">
        <f>IF(AND(B7="",D7="",F7="",H7=""),"",B7+D7+F7+H7)</f>
        <v>0</v>
      </c>
      <c r="K7" s="91" t="e">
        <f>'Overzicht BTA'!$D$26</f>
        <v>#N/A</v>
      </c>
    </row>
    <row r="8" spans="1:12" ht="13.8" x14ac:dyDescent="0.3">
      <c r="A8" s="21" t="s">
        <v>346</v>
      </c>
      <c r="B8" s="188">
        <f>'Overzicht BTA'!F7</f>
        <v>0</v>
      </c>
      <c r="C8" s="91" t="e">
        <f>'Overzicht BTA'!D27</f>
        <v>#N/A</v>
      </c>
      <c r="D8" s="188">
        <f>'Overzicht BTA'!F8</f>
        <v>0</v>
      </c>
      <c r="E8" s="91" t="e">
        <f>'Overzicht BTA'!$D$27</f>
        <v>#N/A</v>
      </c>
      <c r="F8" s="188">
        <f>'Overzicht BTA'!F9</f>
        <v>0</v>
      </c>
      <c r="G8" s="91" t="e">
        <f>'Overzicht BTA'!$D$27</f>
        <v>#N/A</v>
      </c>
      <c r="H8" s="188">
        <f>'Overzicht BTA'!F10</f>
        <v>0</v>
      </c>
      <c r="I8" s="91" t="e">
        <f>'Overzicht BTA'!$D$27</f>
        <v>#N/A</v>
      </c>
      <c r="J8" s="22">
        <f>IF(AND(B8="",D8="",F8="",H8=""),"",B8+D8+F8+H8)</f>
        <v>0</v>
      </c>
      <c r="K8" s="91" t="e">
        <f>'Overzicht BTA'!$D$27</f>
        <v>#N/A</v>
      </c>
    </row>
    <row r="9" spans="1:12" ht="13.8" x14ac:dyDescent="0.3">
      <c r="A9" s="21" t="s">
        <v>347</v>
      </c>
      <c r="B9" s="93" t="str">
        <f>IF(B6&gt;0,B2/B6,"")</f>
        <v/>
      </c>
      <c r="C9" s="18"/>
      <c r="D9" s="91" t="str">
        <f>IF(D6&gt;0,D2/D6,"")</f>
        <v/>
      </c>
      <c r="E9" s="18"/>
      <c r="F9" s="91" t="str">
        <f>IF(F6&gt;0,F2/F6,"")</f>
        <v/>
      </c>
      <c r="G9" s="18"/>
      <c r="H9" s="91" t="str">
        <f>IF(H6&gt;0,H2/H6,"")</f>
        <v/>
      </c>
      <c r="I9" s="18"/>
      <c r="J9" s="206" t="e">
        <f>J2/J6</f>
        <v>#DIV/0!</v>
      </c>
      <c r="K9" s="18"/>
      <c r="L9" s="101"/>
    </row>
    <row r="10" spans="1:12" ht="13.8" x14ac:dyDescent="0.3">
      <c r="A10" s="18"/>
      <c r="B10" s="18"/>
      <c r="C10" s="18"/>
      <c r="D10" s="18"/>
      <c r="E10" s="18"/>
      <c r="F10" s="18"/>
      <c r="G10" s="18"/>
      <c r="H10" s="18"/>
      <c r="I10" s="18"/>
      <c r="J10" s="18"/>
      <c r="K10" s="18"/>
    </row>
    <row r="11" spans="1:12" ht="13.8" x14ac:dyDescent="0.3">
      <c r="A11" s="18"/>
      <c r="B11" s="18"/>
      <c r="C11" s="18"/>
      <c r="D11" s="18"/>
      <c r="E11" s="18"/>
      <c r="F11" s="18"/>
      <c r="G11" s="18"/>
      <c r="H11" s="18"/>
      <c r="I11" s="18"/>
      <c r="J11" s="18"/>
      <c r="K11" s="18"/>
    </row>
    <row r="12" spans="1:12" ht="13.8" x14ac:dyDescent="0.3">
      <c r="A12" s="147" t="s">
        <v>348</v>
      </c>
    </row>
    <row r="13" spans="1:12" ht="13.8" x14ac:dyDescent="0.3">
      <c r="A13" s="21" t="s">
        <v>349</v>
      </c>
      <c r="B13" s="81">
        <f>'uitgebreide raming_gewijzigd'!B6</f>
        <v>0</v>
      </c>
      <c r="C13" s="82" t="e">
        <f>B13/B18</f>
        <v>#DIV/0!</v>
      </c>
      <c r="D13" s="81">
        <f>'uitgebreide raming_gewijzigd'!D6</f>
        <v>0</v>
      </c>
      <c r="E13" s="82" t="e">
        <f>D13/D18</f>
        <v>#DIV/0!</v>
      </c>
      <c r="F13" s="81">
        <f>'uitgebreide raming_gewijzigd'!F6</f>
        <v>0</v>
      </c>
      <c r="G13" s="82" t="e">
        <f>F13/F18</f>
        <v>#DIV/0!</v>
      </c>
      <c r="H13" s="81">
        <f>'uitgebreide raming_gewijzigd'!H6</f>
        <v>0</v>
      </c>
      <c r="I13" s="82" t="e">
        <f>H13/H18</f>
        <v>#DIV/0!</v>
      </c>
      <c r="J13" s="81">
        <f>'uitgebreide raming_gewijzigd'!J6</f>
        <v>0</v>
      </c>
      <c r="K13" s="82" t="e">
        <f>J13/J18</f>
        <v>#DIV/0!</v>
      </c>
    </row>
    <row r="14" spans="1:12" ht="13.8" x14ac:dyDescent="0.3">
      <c r="A14" s="21" t="s">
        <v>350</v>
      </c>
      <c r="B14" s="81">
        <f>'uitgebreide raming_gewijzigd'!B7</f>
        <v>0</v>
      </c>
      <c r="C14" s="82" t="e">
        <f>B14/B18</f>
        <v>#DIV/0!</v>
      </c>
      <c r="D14" s="81">
        <f>'uitgebreide raming_gewijzigd'!D7</f>
        <v>0</v>
      </c>
      <c r="E14" s="82" t="e">
        <f>D14/D18</f>
        <v>#DIV/0!</v>
      </c>
      <c r="F14" s="81">
        <f>'uitgebreide raming_gewijzigd'!F7</f>
        <v>0</v>
      </c>
      <c r="G14" s="82" t="e">
        <f>F14/F18</f>
        <v>#DIV/0!</v>
      </c>
      <c r="H14" s="81">
        <f>'uitgebreide raming_gewijzigd'!H7</f>
        <v>0</v>
      </c>
      <c r="I14" s="82" t="e">
        <f>H14/H18</f>
        <v>#DIV/0!</v>
      </c>
      <c r="J14" s="81">
        <f>'uitgebreide raming_gewijzigd'!J7</f>
        <v>0</v>
      </c>
      <c r="K14" s="82" t="e">
        <f>J14/J18</f>
        <v>#DIV/0!</v>
      </c>
    </row>
    <row r="15" spans="1:12" ht="13.8" x14ac:dyDescent="0.3">
      <c r="A15" s="21" t="s">
        <v>351</v>
      </c>
      <c r="B15" s="81">
        <f>'uitgebreide raming_gewijzigd'!B8</f>
        <v>0</v>
      </c>
      <c r="C15" s="82" t="e">
        <f>B15/B18</f>
        <v>#DIV/0!</v>
      </c>
      <c r="D15" s="81">
        <f>'uitgebreide raming_gewijzigd'!D8</f>
        <v>0</v>
      </c>
      <c r="E15" s="82" t="e">
        <f>D15/D18</f>
        <v>#DIV/0!</v>
      </c>
      <c r="F15" s="81">
        <f>'uitgebreide raming_gewijzigd'!F8</f>
        <v>0</v>
      </c>
      <c r="G15" s="82" t="e">
        <f>F15/F18</f>
        <v>#DIV/0!</v>
      </c>
      <c r="H15" s="81">
        <f>'uitgebreide raming_gewijzigd'!H8</f>
        <v>0</v>
      </c>
      <c r="I15" s="82" t="e">
        <f>H15/H18</f>
        <v>#DIV/0!</v>
      </c>
      <c r="J15" s="81">
        <f>'uitgebreide raming_gewijzigd'!J8</f>
        <v>0</v>
      </c>
      <c r="K15" s="82" t="e">
        <f>J15/J18</f>
        <v>#DIV/0!</v>
      </c>
    </row>
    <row r="16" spans="1:12" ht="13.8" x14ac:dyDescent="0.3">
      <c r="A16" s="21" t="s">
        <v>352</v>
      </c>
      <c r="B16" s="83">
        <f>'uitgebreide raming_gewijzigd'!B9</f>
        <v>0</v>
      </c>
      <c r="C16" s="82" t="e">
        <f>B16/B18</f>
        <v>#DIV/0!</v>
      </c>
      <c r="D16" s="83">
        <f>'uitgebreide raming_gewijzigd'!D9</f>
        <v>0</v>
      </c>
      <c r="E16" s="82" t="e">
        <f>D16/D18</f>
        <v>#DIV/0!</v>
      </c>
      <c r="F16" s="83">
        <f>'uitgebreide raming_gewijzigd'!F9</f>
        <v>0</v>
      </c>
      <c r="G16" s="82" t="e">
        <f>F16/F18</f>
        <v>#DIV/0!</v>
      </c>
      <c r="H16" s="83">
        <f>'uitgebreide raming_gewijzigd'!H9</f>
        <v>0</v>
      </c>
      <c r="I16" s="82" t="e">
        <f>H16/H18</f>
        <v>#DIV/0!</v>
      </c>
      <c r="J16" s="83">
        <f>'uitgebreide raming_gewijzigd'!J9</f>
        <v>0</v>
      </c>
      <c r="K16" s="82" t="e">
        <f>J16/J18</f>
        <v>#DIV/0!</v>
      </c>
    </row>
    <row r="17" spans="1:14" ht="13.8" x14ac:dyDescent="0.3">
      <c r="A17" s="21" t="s">
        <v>353</v>
      </c>
      <c r="B17" s="81">
        <f>'uitgebreide raming_gewijzigd'!B10</f>
        <v>0</v>
      </c>
      <c r="C17" s="82" t="e">
        <f>B17/B18</f>
        <v>#DIV/0!</v>
      </c>
      <c r="D17" s="81">
        <f>'uitgebreide raming_gewijzigd'!D10</f>
        <v>0</v>
      </c>
      <c r="E17" s="82" t="e">
        <f>D17/D18</f>
        <v>#DIV/0!</v>
      </c>
      <c r="F17" s="81">
        <f>'uitgebreide raming_gewijzigd'!F10</f>
        <v>0</v>
      </c>
      <c r="G17" s="82" t="e">
        <f>F17/F18</f>
        <v>#DIV/0!</v>
      </c>
      <c r="H17" s="81">
        <f>'uitgebreide raming_gewijzigd'!H10</f>
        <v>0</v>
      </c>
      <c r="I17" s="82" t="e">
        <f>H17/H18</f>
        <v>#DIV/0!</v>
      </c>
      <c r="J17" s="81">
        <f>'uitgebreide raming_gewijzigd'!J10</f>
        <v>0</v>
      </c>
      <c r="K17" s="82" t="e">
        <f>J17/J18</f>
        <v>#DIV/0!</v>
      </c>
    </row>
    <row r="18" spans="1:14" ht="13.8" x14ac:dyDescent="0.3">
      <c r="A18" s="21" t="s">
        <v>354</v>
      </c>
      <c r="B18" s="83">
        <f>'uitgebreide raming_gewijzigd'!B11</f>
        <v>0</v>
      </c>
      <c r="C18" s="82" t="e">
        <f>B18/B18</f>
        <v>#DIV/0!</v>
      </c>
      <c r="D18" s="83">
        <f>'uitgebreide raming_gewijzigd'!D11</f>
        <v>0</v>
      </c>
      <c r="E18" s="82" t="e">
        <f>D18/D18</f>
        <v>#DIV/0!</v>
      </c>
      <c r="F18" s="83">
        <f>'uitgebreide raming_gewijzigd'!F11</f>
        <v>0</v>
      </c>
      <c r="G18" s="82" t="e">
        <f>F18/F18</f>
        <v>#DIV/0!</v>
      </c>
      <c r="H18" s="83">
        <f>'uitgebreide raming_gewijzigd'!H11</f>
        <v>0</v>
      </c>
      <c r="I18" s="82" t="e">
        <f>H18/H18</f>
        <v>#DIV/0!</v>
      </c>
      <c r="J18" s="83">
        <f>'uitgebreide raming_gewijzigd'!J11</f>
        <v>0</v>
      </c>
      <c r="K18" s="82" t="e">
        <f>J18/J18</f>
        <v>#DIV/0!</v>
      </c>
    </row>
    <row r="19" spans="1:14" ht="13.8" x14ac:dyDescent="0.3">
      <c r="A19" s="18"/>
      <c r="B19" s="144"/>
      <c r="C19" s="145"/>
      <c r="D19" s="144"/>
      <c r="E19" s="145"/>
      <c r="F19" s="144"/>
      <c r="G19" s="145"/>
      <c r="H19" s="144"/>
      <c r="I19" s="145"/>
      <c r="J19" s="144"/>
      <c r="K19" s="145"/>
    </row>
    <row r="20" spans="1:14" ht="13.8" x14ac:dyDescent="0.3">
      <c r="A20" s="147" t="s">
        <v>355</v>
      </c>
      <c r="B20" s="18"/>
      <c r="C20" s="18"/>
      <c r="D20" s="18"/>
      <c r="E20" s="18"/>
      <c r="F20" s="18"/>
      <c r="G20" s="18"/>
      <c r="H20" s="18"/>
      <c r="I20" s="18"/>
      <c r="J20" s="18"/>
      <c r="K20" s="18"/>
    </row>
    <row r="21" spans="1:14" ht="13.8" x14ac:dyDescent="0.3">
      <c r="A21" s="21"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row>
    <row r="22" spans="1:14" ht="13.8" x14ac:dyDescent="0.3">
      <c r="A22" s="21"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row>
    <row r="23" spans="1:14" ht="13.8" x14ac:dyDescent="0.3">
      <c r="A23" s="21"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row>
    <row r="24" spans="1:14" ht="13.8" x14ac:dyDescent="0.3">
      <c r="A24" s="85" t="s">
        <v>359</v>
      </c>
      <c r="B24" s="86">
        <f>IF(B1=Bron!$B$7,0,(IF(B1=Bron!$B$11,VLOOKUP('Overzicht BTA'!$C$3,'Capaciteiten &amp; forfaits'!$B$4:$H$69,6,FALSE)*0.75,VLOOKUP('Overzicht BTA'!$C$3,'Capaciteiten &amp; forfaits'!$B$4:$H$69,5,FALSE))-50)*'Overzicht BTA'!$D$36*10/6)</f>
        <v>0</v>
      </c>
      <c r="C24" s="84" t="s">
        <v>278</v>
      </c>
      <c r="D24" s="86">
        <f>IF(D1=Bron!$B$7,0,(IF(D1=Bron!$B$11,VLOOKUP('Overzicht BTA'!$C$3,'Capaciteiten &amp; forfaits'!$B$4:$H$69,6,FALSE)*0.75,VLOOKUP('Overzicht BTA'!$C$3,'Capaciteiten &amp; forfaits'!$B$4:$H$69,5,FALSE))-50)*'Overzicht BTA'!$D$36*10/6)</f>
        <v>0</v>
      </c>
      <c r="E24" s="84" t="s">
        <v>278</v>
      </c>
      <c r="F24" s="86">
        <f>IF(F1=Bron!$B$7,0,(IF(F1=Bron!$B$11,VLOOKUP('Overzicht BTA'!$C$3,'Capaciteiten &amp; forfaits'!$B$4:$H$69,6,FALSE)*0.75,VLOOKUP('Overzicht BTA'!$C$3,'Capaciteiten &amp; forfaits'!$B$4:$H$69,5,FALSE))-50)*'Overzicht BTA'!$D$36*10/6)</f>
        <v>0</v>
      </c>
      <c r="G24" s="84" t="s">
        <v>278</v>
      </c>
      <c r="H24" s="86">
        <f>IF(H1=Bron!$B$7,0,(IF(H1=Bron!$B$11,VLOOKUP('Overzicht BTA'!$C$3,'Capaciteiten &amp; forfaits'!$B$4:$H$69,6,FALSE)*0.75,VLOOKUP('Overzicht BTA'!$C$3,'Capaciteiten &amp; forfaits'!$B$4:$H$69,5,FALSE))-50)*'Overzicht BTA'!$D$36*10/6)</f>
        <v>0</v>
      </c>
      <c r="I24" s="84" t="s">
        <v>278</v>
      </c>
      <c r="J24" s="86">
        <f>MAX(H24,F24,D24,B24)</f>
        <v>0</v>
      </c>
      <c r="K24" s="84" t="s">
        <v>278</v>
      </c>
      <c r="N24" s="101"/>
    </row>
    <row r="25" spans="1:14" ht="13.8" x14ac:dyDescent="0.3">
      <c r="A25" s="87" t="s">
        <v>360</v>
      </c>
      <c r="B25" s="806" t="e">
        <f>B21/B24</f>
        <v>#DIV/0!</v>
      </c>
      <c r="C25" s="21"/>
      <c r="D25" s="806" t="e">
        <f>D21/D24</f>
        <v>#DIV/0!</v>
      </c>
      <c r="E25" s="21"/>
      <c r="F25" s="806" t="e">
        <f>F21/F24</f>
        <v>#DIV/0!</v>
      </c>
      <c r="G25" s="21"/>
      <c r="H25" s="806" t="e">
        <f>H21/H24</f>
        <v>#DIV/0!</v>
      </c>
      <c r="I25" s="21"/>
      <c r="J25" s="429" t="e">
        <f>J21/J24</f>
        <v>#DIV/0!</v>
      </c>
      <c r="K25" s="21"/>
    </row>
    <row r="26" spans="1:14" ht="13.8" x14ac:dyDescent="0.3">
      <c r="A26" s="85" t="s">
        <v>361</v>
      </c>
      <c r="B26" s="86">
        <f>B24+'Capaciteiten &amp; forfaits'!$H$5*'Overzicht BTA'!$D$36*10/6</f>
        <v>199.65166666666664</v>
      </c>
      <c r="C26" s="84" t="s">
        <v>278</v>
      </c>
      <c r="D26" s="86">
        <f>D24+'Capaciteiten &amp; forfaits'!$H$5*'Overzicht BTA'!$D$36*10/6</f>
        <v>199.65166666666664</v>
      </c>
      <c r="E26" s="84" t="s">
        <v>278</v>
      </c>
      <c r="F26" s="86">
        <f>F24+'Capaciteiten &amp; forfaits'!$H$5*'Overzicht BTA'!$D$36*10/6</f>
        <v>199.65166666666664</v>
      </c>
      <c r="G26" s="84" t="s">
        <v>278</v>
      </c>
      <c r="H26" s="86">
        <f>H24+'Capaciteiten &amp; forfaits'!$H$5*'Overzicht BTA'!$D$36*10/6</f>
        <v>199.65166666666664</v>
      </c>
      <c r="I26" s="84" t="s">
        <v>278</v>
      </c>
      <c r="J26" s="86">
        <f>J24+'Capaciteiten &amp; forfaits'!$H$5*'Overzicht BTA'!$D$36*10/6</f>
        <v>199.65166666666664</v>
      </c>
      <c r="K26" s="84" t="s">
        <v>278</v>
      </c>
    </row>
    <row r="27" spans="1:14" ht="13.8" x14ac:dyDescent="0.3">
      <c r="A27" s="87" t="s">
        <v>360</v>
      </c>
      <c r="B27" s="429" t="e">
        <f>B22/B26</f>
        <v>#DIV/0!</v>
      </c>
      <c r="C27" s="21"/>
      <c r="D27" s="88" t="e">
        <f>D22/D26</f>
        <v>#DIV/0!</v>
      </c>
      <c r="E27" s="21"/>
      <c r="F27" s="88" t="e">
        <f>F22/F26</f>
        <v>#DIV/0!</v>
      </c>
      <c r="G27" s="21"/>
      <c r="H27" s="88" t="e">
        <f>H22/H26</f>
        <v>#DIV/0!</v>
      </c>
      <c r="I27" s="21"/>
      <c r="J27" s="88" t="e">
        <f>J22/J26</f>
        <v>#DIV/0!</v>
      </c>
      <c r="K27" s="21"/>
    </row>
    <row r="28" spans="1:14" ht="13.8" x14ac:dyDescent="0.3">
      <c r="A28" s="85" t="s">
        <v>362</v>
      </c>
      <c r="B28" s="86">
        <f>'Capaciteiten &amp; forfaits'!$H$5*'Overzicht BTA'!$D$36*10/6</f>
        <v>199.65166666666664</v>
      </c>
      <c r="C28" s="84" t="s">
        <v>278</v>
      </c>
      <c r="D28" s="86">
        <f>'Capaciteiten &amp; forfaits'!$H$5*'Overzicht BTA'!$D$36*10/6</f>
        <v>199.65166666666664</v>
      </c>
      <c r="E28" s="84" t="s">
        <v>278</v>
      </c>
      <c r="F28" s="86">
        <f>'Capaciteiten &amp; forfaits'!$H$5*'Overzicht BTA'!$D$36*10/6</f>
        <v>199.65166666666664</v>
      </c>
      <c r="G28" s="84" t="s">
        <v>278</v>
      </c>
      <c r="H28" s="86">
        <f>'Capaciteiten &amp; forfaits'!$H$5*'Overzicht BTA'!$D$36*10/6</f>
        <v>199.65166666666664</v>
      </c>
      <c r="I28" s="84" t="s">
        <v>278</v>
      </c>
      <c r="J28" s="86">
        <f>'Capaciteiten &amp; forfaits'!$H$5*'Overzicht BTA'!$D$36*10/6</f>
        <v>199.65166666666664</v>
      </c>
      <c r="K28" s="84" t="s">
        <v>278</v>
      </c>
    </row>
    <row r="29" spans="1:14" ht="13.8" x14ac:dyDescent="0.3">
      <c r="A29" s="87" t="s">
        <v>360</v>
      </c>
      <c r="B29" s="88" t="e">
        <f>B23/B28</f>
        <v>#DIV/0!</v>
      </c>
      <c r="C29" s="21"/>
      <c r="D29" s="88" t="e">
        <f>D23/D28</f>
        <v>#DIV/0!</v>
      </c>
      <c r="E29" s="21"/>
      <c r="F29" s="88" t="e">
        <f>F23/F28</f>
        <v>#DIV/0!</v>
      </c>
      <c r="G29" s="21"/>
      <c r="H29" s="88" t="e">
        <f>H23/H28</f>
        <v>#DIV/0!</v>
      </c>
      <c r="I29" s="21"/>
      <c r="J29" s="88" t="e">
        <f>J23/J28</f>
        <v>#DIV/0!</v>
      </c>
      <c r="K29" s="21"/>
    </row>
    <row r="30" spans="1:14" ht="13.8" x14ac:dyDescent="0.3">
      <c r="A30" s="142"/>
      <c r="B30" s="252"/>
      <c r="C30" s="18"/>
      <c r="D30" s="252"/>
      <c r="E30" s="18"/>
      <c r="F30" s="252"/>
      <c r="G30" s="18"/>
      <c r="H30" s="252"/>
      <c r="I30" s="18"/>
      <c r="J30" s="252"/>
      <c r="K30" s="18"/>
    </row>
    <row r="31" spans="1:14" s="509" customFormat="1" ht="13.8" x14ac:dyDescent="0.3">
      <c r="A31" s="509" t="s">
        <v>322</v>
      </c>
    </row>
    <row r="32" spans="1:14" ht="13.8" x14ac:dyDescent="0.3">
      <c r="A32" s="142" t="s">
        <v>363</v>
      </c>
      <c r="B32" s="254">
        <f>IF(AND(ISNUMBER(MATCH(Bron!$B$10,'analyse bij belofte 1'!$B$1:$H$1,0)),ISNUMBER(MATCH(Bron!$B$11,'analyse bij belofte 1'!$B$1:$H$1,0))),IF(B1=Bron!$B$10,samen!$A$66*(samen!$B$66-50)*samen!$C$66,IF(B1=Bron!$B$11,samen!$E$57,0)),IF(B1=Bron!$B$8,'NB 21%'!$A$37*('NB 21%'!$B$37-50)*'NB 21%'!$C$37,IF(B1=Bron!$B$9,'NB 6-12-21%'!$A$48*('NB 6-12-21%'!$B$48-50)*'NB 6-12-21%'!$C$48+'NB 6-12-21%'!$A$56*('NB 6-12-21%'!$B$56-50)*'NB 6-12-21%'!$C$56,IF(B1=Bron!$B$10,UITB!$A$49*(UITB!$B$49-50)*UITB!$C$49,IF(B1=Bron!$B$11,VERB!$E$56,IF(B1=Bron!$B$12,VERB!$E$56,IF(B1=Bron!$B$13,'NB 21% light'!$A$50*('NB 21% light'!$B$50-50)*'NB 21% light'!$C$50,IF(B1=Bron!$B$14,'NB 6-12-21% light'!$A$47*('NB 6-12-21% light'!$B$47-50)*'NB 6-12-21% light'!$C$47+'NB 6-12-21% light'!$A$55*('NB 6-12-21% light'!$B$55-50)*'NB 6-12-21% light'!$C$55,IF(B1=Bron!$B$16,'AK+VERB'!$E$72,0)))))))))</f>
        <v>0</v>
      </c>
      <c r="C32" s="18"/>
      <c r="D32" s="254">
        <f>IF(AND(ISNUMBER(MATCH(Bron!$B$10,'analyse bij belofte 1'!$B$1:$H$1,0)),ISNUMBER(MATCH(Bron!$B$11,'analyse bij belofte 1'!$B$1:$H$1,0))),IF(D1=Bron!$B$10,samen!$A$66*(samen!$B$66-50)*samen!$C$66,IF(D1=Bron!$B$11,samen!$E$57,0)),IF(D1=Bron!$B$8,'NB 21%'!$A$37*('NB 21%'!$B$37-50)*'NB 21%'!$C$37,IF(D1=Bron!$B$9,'NB 6-12-21%'!$A$48*('NB 6-12-21%'!$B$48-50)*'NB 6-12-21%'!$C$48+'NB 6-12-21%'!$A$56*('NB 6-12-21%'!$B$56-50)*'NB 6-12-21%'!$C$56,IF(D1=Bron!$B$10,UITB!$A$49*(UITB!$B$49-50)*UITB!$C$49,IF(D1=Bron!$B$11,VERB!$E$56,IF(D1=Bron!$B$12,VERB!$E$56,IF(D1=Bron!$B$13,'NB 21% light'!$A$50*('NB 21% light'!$B$50-50)*'NB 21% light'!$C$50,IF(D1=Bron!$B$14,'NB 6-12-21% light'!$A$47*('NB 6-12-21% light'!$B$47-50)*'NB 6-12-21% light'!$C$47+'NB 6-12-21% light'!$A$55*('NB 6-12-21% light'!$B$55-50)*'NB 6-12-21% light'!$C$55,IF(D1=Bron!$B$16,'AK+VERB'!$E$72,0)))))))))</f>
        <v>0</v>
      </c>
      <c r="E32" s="51"/>
      <c r="F32" s="254">
        <f>IF(AND(ISNUMBER(MATCH(Bron!$B$10,'analyse bij belofte 1'!$B$1:$H$1,0)),ISNUMBER(MATCH(Bron!$B$11,'analyse bij belofte 1'!$B$1:$H$1,0))),IF(F1=Bron!$B$10,samen!$A$66*(samen!$B$66-50)*samen!$C$66,IF(F1=Bron!$B$11,samen!$E$57,0)),IF(F1=Bron!$B$8,'NB 21%'!$A$37*('NB 21%'!$B$37-50)*'NB 21%'!$C$37,IF(F1=Bron!$B$9,'NB 6-12-21%'!$A$48*('NB 6-12-21%'!$B$48-50)*'NB 6-12-21%'!$C$48+'NB 6-12-21%'!$A$56*('NB 6-12-21%'!$B$56-50)*'NB 6-12-21%'!$C$56,IF(F1=Bron!$B$10,UITB!$A$49*(UITB!$B$49-50)*UITB!$C$49,IF(F1=Bron!$B$11,VERB!$E$56,IF(F1=Bron!$B$12,VERB!$E$56,IF(F1=Bron!$B$13,'NB 21% light'!$A$50*('NB 21% light'!$B$50-50)*'NB 21% light'!$C$50,IF(F1=Bron!$B$14,'NB 6-12-21% light'!$A$47*('NB 6-12-21% light'!$B$47-50)*'NB 6-12-21% light'!$C$47+'NB 6-12-21% light'!$A$55*('NB 6-12-21% light'!$B$55-50)*'NB 6-12-21% light'!$C$55,IF(F1=Bron!$B$16,'AK+VERB'!$E$72,0)))))))))</f>
        <v>0</v>
      </c>
      <c r="G32" s="51"/>
      <c r="H32" s="254">
        <f>IF(AND(ISNUMBER(MATCH(Bron!$B$10,'analyse bij belofte 1'!$B$1:$H$1,0)),ISNUMBER(MATCH(Bron!$B$11,'analyse bij belofte 1'!$B$1:$H$1,0))),IF(H1=Bron!$B$10,samen!$A$66*(samen!$B$66-50)*samen!$C$66,IF(H1=Bron!$B$11,samen!$E$57,0)),IF(H1=Bron!$B$8,'NB 21%'!$A$37*('NB 21%'!$B$37-50)*'NB 21%'!$C$37,IF(H1=Bron!$B$9,'NB 6-12-21%'!$A$48*('NB 6-12-21%'!$B$48-50)*'NB 6-12-21%'!$C$48+'NB 6-12-21%'!$A$56*('NB 6-12-21%'!$B$56-50)*'NB 6-12-21%'!$C$56,IF(H1=Bron!$B$10,UITB!$A$49*(UITB!$B$49-50)*UITB!$C$49,IF(H1=Bron!$B$11,VERB!$E$56,IF(H1=Bron!$B$12,VERB!$E$56,IF(H1=Bron!$B$13,'NB 21% light'!$A$50*('NB 21% light'!$B$50-50)*'NB 21% light'!$C$50,IF(H1=Bron!$B$14,'NB 6-12-21% light'!$A$47*('NB 6-12-21% light'!$B$47-50)*'NB 6-12-21% light'!$C$47+'NB 6-12-21% light'!$A$55*('NB 6-12-21% light'!$B$55-50)*'NB 6-12-21% light'!$C$55,IF(H1=Bron!$B$16,'AK+VERB'!$E$72,0)))))))))</f>
        <v>0</v>
      </c>
      <c r="I32" s="51"/>
      <c r="J32" s="255">
        <f>H32+F32+D32+B32</f>
        <v>0</v>
      </c>
      <c r="K32" s="18"/>
    </row>
    <row r="33" spans="1:11" ht="13.8" x14ac:dyDescent="0.3">
      <c r="A33" s="142" t="s">
        <v>364</v>
      </c>
      <c r="B33" s="816">
        <f>IFERROR(IF(AND(ISNUMBER(MATCH(Bron!$B$10,'analyse bij belofte 1'!$B$1:$H$1,0)),ISNUMBER(MATCH(Bron!$B$11,'analyse bij belofte 1'!$B$1:$H$1,0))),IF(B1=Bron!$B$10,samen!$E$118+samen!$E$128*samen!$A$114/samen!$A$122,samen!$E$109+samen!$E$128*samen!$A$102/samen!$A$122),IF(B1=Bron!$B$9,'NB 6-12-21%'!$E$62,IF(B1=Bron!$B$10,UITB!$E$76,IF(OR(B1=Bron!$B$11,B1=Bron!$B$12),VERB!$E$83,IF(B1=Bron!$B$8,'NB 21%'!$D$56,IF(B1=Bron!$B$13,'NB 21% light'!$D$54,IF(B1=Bron!$B$14,'NB 6-12-21% light'!$E$61,IF(B1=Bron!$B$16,'AK+VERB'!E75,0)))))))),0)</f>
        <v>0</v>
      </c>
      <c r="C33" s="18"/>
      <c r="D33" s="816">
        <f>IFERROR(IF(AND(ISNUMBER(MATCH(Bron!$B$10,'analyse bij belofte 1'!$B$1:$H$1,0)),ISNUMBER(MATCH(Bron!$B$11,'analyse bij belofte 1'!$B$1:$H$1,0))),IF(D1=Bron!$B$10,samen!$E$118+samen!$E$128*samen!$A$114/samen!$A$122,samen!$E$109+samen!$E$128*samen!$A$102/samen!$A$122),IF(D1=Bron!$B$9,'NB 6-12-21%'!$E$62,IF(D1=Bron!$B$10,UITB!$E$76,IF(OR(D1=Bron!$B$11,D1=Bron!$B$12),VERB!$E$83,IF(D1=Bron!$B$8,'NB 21%'!$D$56,IF(D1=Bron!$B$13,'NB 21% light'!$D$54,IF(D1=Bron!$B$14,'NB 6-12-21% light'!$E$61,IF(D1=Bron!$B$16,'AK+VERB'!G75,0)))))))),0)</f>
        <v>0</v>
      </c>
      <c r="E33" s="51"/>
      <c r="F33" s="816">
        <f>IFERROR(IF(AND(ISNUMBER(MATCH(Bron!$B$10,'analyse bij belofte 1'!$B$1:$H$1,0)),ISNUMBER(MATCH(Bron!$B$11,'analyse bij belofte 1'!$B$1:$H$1,0))),IF(F1=Bron!$B$10,samen!$E$118+samen!$E$128*samen!$A$114/samen!$A$122,samen!$E$109+samen!$E$128*samen!$A$102/samen!$A$122),IF(F1=Bron!$B$9,'NB 6-12-21%'!$E$62,IF(F1=Bron!$B$10,UITB!$E$76,IF(OR(F1=Bron!$B$11,F1=Bron!$B$12),VERB!$E$83,IF(F1=Bron!$B$8,'NB 21%'!$D$56,IF(F1=Bron!$B$13,'NB 21% light'!$D$54,IF(F1=Bron!$B$14,'NB 6-12-21% light'!$E$61,IF(F1=Bron!$B$16,'AK+VERB'!I75,0)))))))),0)</f>
        <v>0</v>
      </c>
      <c r="G33" s="51"/>
      <c r="H33" s="816">
        <f>IFERROR(IF(AND(ISNUMBER(MATCH(Bron!$B$10,'analyse bij belofte 1'!$B$1:$H$1,0)),ISNUMBER(MATCH(Bron!$B$11,'analyse bij belofte 1'!$B$1:$H$1,0))),IF(H1=Bron!$B$10,samen!$E$118+samen!$E$128*samen!$A$114/samen!$A$122,samen!$E$109+samen!$E$128*samen!$A$102/samen!$A$122),IF(H1=Bron!$B$9,'NB 6-12-21%'!$E$62,IF(H1=Bron!$B$10,UITB!$E$76,IF(OR(H1=Bron!$B$11,H1=Bron!$B$12),VERB!$E$83,IF(H1=Bron!$B$8,'NB 21%'!$D$56,IF(H1=Bron!$B$13,'NB 21% light'!$D$54,IF(H1=Bron!$B$14,'NB 6-12-21% light'!$E$61,IF(H1=Bron!$B$16,'AK+VERB'!K75,0)))))))),0)</f>
        <v>0</v>
      </c>
      <c r="I33" s="51"/>
      <c r="J33" s="255">
        <f>H33+F33+D33+B33</f>
        <v>0</v>
      </c>
      <c r="K33" s="18"/>
    </row>
    <row r="34" spans="1:11" ht="13.8" x14ac:dyDescent="0.3">
      <c r="A34" s="142" t="s">
        <v>395</v>
      </c>
      <c r="B34" s="816">
        <f>IFERROR(IF(AND(ISNUMBER(MATCH(Bron!$B$10,$B$1:$H$1,0)),ISNUMBER(MATCH(Bron!$B$11,$B$1:$H$1,0))),IF(B1=Bron!$B$10,samen!$E$95*samen!$A$114/samen!$A$122,IF(B1=Bron!$B$11,samen!$E$95*samen!$A$102/samen!$A$122,0)),IF(B1=Bron!$B$9,'NB 6-12-21%'!$E$78,IF(B1=Bron!$B$10,UITB!$E$78,IF(OR(B1=Bron!$B$11,B1=Bron!$B$12),VERB!$E$85,IF(B1=Bron!$B$8,'NB 21%'!$D$58,IF(B1=Bron!$B$13,'NB 21% light'!$D$79,IF(B1=Bron!$B$14,'NB 6-12-21% light'!$E$77,IF(B1=Bron!$B$16,'AK+VERB'!$E$95,0)))))))),0)</f>
        <v>0</v>
      </c>
      <c r="C34" s="18"/>
      <c r="D34" s="816">
        <f>IFERROR(IF(AND(ISNUMBER(MATCH(Bron!$B$10,$B$1:$H$1,0)),ISNUMBER(MATCH(Bron!$B$11,$B$1:$H$1,0))),IF(D1=Bron!$B$10,samen!$E$95*samen!$A$114/samen!$A$122,IF(D1=Bron!$B$11,samen!$E$95*samen!$A$102/samen!$A$122,0)),IF(D1=Bron!$B$9,'NB 6-12-21%'!$E$78,IF(D1=Bron!$B$10,UITB!$E$78,IF(OR(D1=Bron!$B$11,D1=Bron!$B$12),VERB!$E$85,IF(D1=Bron!$B$8,'NB 21%'!$D$58,IF(D1=Bron!$B$13,'NB 21% light'!$D$79,IF(D1=Bron!$B$14,'NB 6-12-21% light'!$E$77,IF(D1=Bron!$B$16,'AK+VERB'!$E$95,0)))))))),0)</f>
        <v>0</v>
      </c>
      <c r="E34" s="51"/>
      <c r="F34" s="816">
        <f>IFERROR(IF(AND(ISNUMBER(MATCH(Bron!$B$10,$B$1:$H$1,0)),ISNUMBER(MATCH(Bron!$B$11,$B$1:$H$1,0))),IF(F1=Bron!$B$10,samen!$E$95*samen!$A$114/samen!$A$122,IF(F1=Bron!$B$11,samen!$E$95*samen!$A$102/samen!$A$122,0)),IF(F1=Bron!$B$9,'NB 6-12-21%'!$E$78,IF(F1=Bron!$B$10,UITB!$E$78,IF(OR(F1=Bron!$B$11,F1=Bron!$B$12),VERB!$E$85,IF(F1=Bron!$B$8,'NB 21%'!$D$58,IF(F1=Bron!$B$13,'NB 21% light'!$D$79,IF(F1=Bron!$B$14,'NB 6-12-21% light'!$E$77,IF(F1=Bron!$B$16,'AK+VERB'!$E$95,0)))))))),0)</f>
        <v>0</v>
      </c>
      <c r="G34" s="51"/>
      <c r="H34" s="816">
        <f>IFERROR(IF(AND(ISNUMBER(MATCH(Bron!$B$10,$B$1:$H$1,0)),ISNUMBER(MATCH(Bron!$B$11,$B$1:$H$1,0))),IF(H1=Bron!$B$10,samen!$E$95*samen!$A$114/samen!$A$122,IF(H1=Bron!$B$11,samen!$E$95*samen!$A$102/samen!$A$122,0)),IF(H1=Bron!$B$9,'NB 6-12-21%'!$E$78,IF(H1=Bron!$B$10,UITB!$E$78,IF(OR(H1=Bron!$B$11,H1=Bron!$B$12),VERB!$E$85,IF(H1=Bron!$B$8,'NB 21%'!$D$58,IF(H1=Bron!$B$13,'NB 21% light'!$D$79,IF(H1=Bron!$B$14,'NB 6-12-21% light'!$E$77,IF(H1=Bron!$B$16,'AK+VERB'!$E$95,0)))))))),0)</f>
        <v>0</v>
      </c>
      <c r="I34" s="51"/>
      <c r="J34" s="255">
        <f>H34+F34+D34+B34</f>
        <v>0</v>
      </c>
      <c r="K34" s="18"/>
    </row>
    <row r="35" spans="1:11" ht="13.8" x14ac:dyDescent="0.3">
      <c r="A35" s="142" t="s">
        <v>365</v>
      </c>
      <c r="B35" s="254" t="str">
        <f>IF(B1=Bron!$B$15,AKzondVERB!$E$7,IF(B1=Bron!$B$16,'AK+VERB'!$E$62,""))</f>
        <v/>
      </c>
      <c r="C35" s="18"/>
      <c r="D35" s="254" t="str">
        <f>IF(D1=Bron!$B$15,AKzondVERB!$E$7,IF(D1=Bron!$B$16,'AK+VERB'!$E$62,""))</f>
        <v/>
      </c>
      <c r="E35" s="51"/>
      <c r="F35" s="254" t="str">
        <f>IF(F1=Bron!$B$15,AKzondVERB!$E$7,IF(F1=Bron!$B$16,'AK+VERB'!$E$62,""))</f>
        <v/>
      </c>
      <c r="G35" s="51"/>
      <c r="H35" s="254" t="str">
        <f>IF(H1=Bron!$B$15,AKzondVERB!$E$7,IF(H1=Bron!$B$16,'AK+VERB'!$E$62,""))</f>
        <v/>
      </c>
      <c r="I35" s="51"/>
      <c r="J35" s="255">
        <f>IF(ISNUMBER(H35),H35,0)+IF(ISNUMBER(F35),F35,0)+IF(ISNUMBER(D35),D35,0)+IF(ISNUMBER(B35),B35,0)</f>
        <v>0</v>
      </c>
      <c r="K35" s="18"/>
    </row>
    <row r="36" spans="1:11" ht="13.8" x14ac:dyDescent="0.3">
      <c r="A36" s="142" t="s">
        <v>366</v>
      </c>
      <c r="B36" s="254" t="str">
        <f>IF(B1=Bron!$B$15,AKzondVERB!$E$9,IF(B1=Bron!$B$16,'AK+VERB'!$E$69+'AK+VERB'!$E$70,""))</f>
        <v/>
      </c>
      <c r="C36" s="18"/>
      <c r="D36" s="254" t="str">
        <f>IF(D1=Bron!$B$15,AKzondVERB!$E$9,IF(D1=Bron!$B$16,'AK+VERB'!$E$69+'AK+VERB'!$E$70,""))</f>
        <v/>
      </c>
      <c r="E36" s="51"/>
      <c r="F36" s="255"/>
      <c r="G36" s="51"/>
      <c r="H36" s="255"/>
      <c r="I36" s="51"/>
      <c r="J36" s="255">
        <f>IF(ISNUMBER(H36),H36,0)+IF(ISNUMBER(F36),F36,0)+IF(ISNUMBER(D36),D36,0)+IF(ISNUMBER(B36),B36,0)</f>
        <v>0</v>
      </c>
      <c r="K36" s="18"/>
    </row>
    <row r="37" spans="1:11" ht="13.8" x14ac:dyDescent="0.3">
      <c r="A37" s="509" t="s">
        <v>367</v>
      </c>
      <c r="B37" s="254"/>
      <c r="C37" s="18"/>
      <c r="D37" s="254"/>
      <c r="E37" s="51"/>
      <c r="F37" s="255"/>
      <c r="G37" s="51"/>
      <c r="H37" s="255"/>
      <c r="I37" s="51"/>
      <c r="J37" s="255"/>
      <c r="K37" s="18"/>
    </row>
    <row r="38" spans="1:11" ht="13.8" x14ac:dyDescent="0.3">
      <c r="A38" s="142" t="s">
        <v>368</v>
      </c>
      <c r="B38" s="254">
        <f>IFERROR(IF(AND(ISNUMBER(MATCH(Bron!$B$10,'analyse bij belofte 1'!$B$1:$H$1,0)),ISNUMBER(MATCH(Bron!$B$11,'analyse bij belofte 1'!$B$1:$H$1,0))),IF(B1=Bron!$B$10,samen!E102*(samen!$B$102-50)*samen!$C$102,IF(B1=Bron!$B$11,samen!$E$105,0)),IF(B1=Bron!$B$8,'NB 21%'!$A$72*('NB 21%'!$B$72-50)*'NB 21%'!$C$72,IF(B1=Bron!$B$9,'NB 6-12-21%'!$A$92*('NB 6-12-21%'!$B$92-50)*'NB 6-12-21%'!$C$92+'NB 6-12-21%'!$A$100*('NB 6-12-21%'!$B$100-50)*'NB 6-12-21%'!$C$100,IF(B1=Bron!$B$10,UITB!$A$93*(UITB!$B$93-50)*UITB!$C$93,IF(B1=Bron!$B$11,VERB!$E$104,IF(B1=Bron!$B$12,VERB!$E$104,IF(B1=Bron!$B$13,'NB 21% light'!$A$94*('NB 21% light'!$B$94-50)*'NB 21% light'!$C$94,IF(B1=Bron!$B$14,'NB 6-12-21% light'!$A$91*('NB 6-12-21% light'!$B$91-50)*'NB 6-12-21% light'!$C$91+'NB 6-12-21% light'!$A$99*('NB 6-12-21% light'!$B$99-50)*'NB 6-12-21% light'!$C$99,IF(B1=Bron!$B$16,'AK+VERB'!$E$128,0))))))))),0)</f>
        <v>0</v>
      </c>
      <c r="C38" s="18"/>
      <c r="D38" s="254">
        <f>IFERROR(IF(AND(ISNUMBER(MATCH(Bron!$B$10,'analyse bij belofte 1'!$B$1:$H$1,0)),ISNUMBER(MATCH(Bron!$B$11,'analyse bij belofte 1'!$B$1:$H$1,0))),IF(D1=Bron!$B$10,samen!G102*(samen!$B$102-50)*samen!$C$102,IF(D1=Bron!$B$11,samen!$E$105,0)),IF(D1=Bron!$B$8,'NB 21%'!$A$72*('NB 21%'!$B$72-50)*'NB 21%'!$C$72,IF(D1=Bron!$B$9,'NB 6-12-21%'!$A$92*('NB 6-12-21%'!$B$92-50)*'NB 6-12-21%'!$C$92+'NB 6-12-21%'!$A$100*('NB 6-12-21%'!$B$100-50)*'NB 6-12-21%'!$C$100,IF(D1=Bron!$B$10,UITB!$A$93*(UITB!$B$93-50)*UITB!$C$93,IF(D1=Bron!$B$11,VERB!$E$104,IF(D1=Bron!$B$12,VERB!$E$104,IF(D1=Bron!$B$13,'NB 21% light'!$A$94*('NB 21% light'!$B$94-50)*'NB 21% light'!$C$94,IF(D1=Bron!$B$14,'NB 6-12-21% light'!$A$91*('NB 6-12-21% light'!$B$91-50)*'NB 6-12-21% light'!$C$91+'NB 6-12-21% light'!$A$99*('NB 6-12-21% light'!$B$99-50)*'NB 6-12-21% light'!$C$99,IF(D1=Bron!$B$16,'AK+VERB'!$E$128,0))))))))),0)</f>
        <v>0</v>
      </c>
      <c r="E38" s="51"/>
      <c r="F38" s="254">
        <f>IFERROR(IF(AND(ISNUMBER(MATCH(Bron!$B$10,'analyse bij belofte 1'!$B$1:$H$1,0)),ISNUMBER(MATCH(Bron!$B$11,'analyse bij belofte 1'!$B$1:$H$1,0))),IF(F1=Bron!$B$10,samen!I102*(samen!$B$102-50)*samen!$C$102,IF(F1=Bron!$B$11,samen!$E$105,0)),IF(F1=Bron!$B$8,'NB 21%'!$A$72*('NB 21%'!$B$72-50)*'NB 21%'!$C$72,IF(F1=Bron!$B$9,'NB 6-12-21%'!$A$92*('NB 6-12-21%'!$B$92-50)*'NB 6-12-21%'!$C$92+'NB 6-12-21%'!$A$100*('NB 6-12-21%'!$B$100-50)*'NB 6-12-21%'!$C$100,IF(F1=Bron!$B$10,UITB!$A$93*(UITB!$B$93-50)*UITB!$C$93,IF(F1=Bron!$B$11,VERB!$E$104,IF(F1=Bron!$B$12,VERB!$E$104,IF(F1=Bron!$B$13,'NB 21% light'!$A$94*('NB 21% light'!$B$94-50)*'NB 21% light'!$C$94,IF(F1=Bron!$B$14,'NB 6-12-21% light'!$A$91*('NB 6-12-21% light'!$B$91-50)*'NB 6-12-21% light'!$C$91+'NB 6-12-21% light'!$A$99*('NB 6-12-21% light'!$B$99-50)*'NB 6-12-21% light'!$C$99,IF(F1=Bron!$B$16,'AK+VERB'!$E$128,0))))))))),0)</f>
        <v>0</v>
      </c>
      <c r="G38" s="51"/>
      <c r="H38" s="254">
        <f>IFERROR(IF(AND(ISNUMBER(MATCH(Bron!$B$10,'analyse bij belofte 1'!$B$1:$H$1,0)),ISNUMBER(MATCH(Bron!$B$11,'analyse bij belofte 1'!$B$1:$H$1,0))),IF(H1=Bron!$B$10,samen!K102*(samen!$B$102-50)*samen!$C$102,IF(H1=Bron!$B$11,samen!$E$105,0)),IF(H1=Bron!$B$8,'NB 21%'!$A$72*('NB 21%'!$B$72-50)*'NB 21%'!$C$72,IF(H1=Bron!$B$9,'NB 6-12-21%'!$A$92*('NB 6-12-21%'!$B$92-50)*'NB 6-12-21%'!$C$92+'NB 6-12-21%'!$A$100*('NB 6-12-21%'!$B$100-50)*'NB 6-12-21%'!$C$100,IF(H1=Bron!$B$10,UITB!$A$93*(UITB!$B$93-50)*UITB!$C$93,IF(H1=Bron!$B$11,VERB!$E$104,IF(H1=Bron!$B$12,VERB!$E$104,IF(H1=Bron!$B$13,'NB 21% light'!$A$94*('NB 21% light'!$B$94-50)*'NB 21% light'!$C$94,IF(H1=Bron!$B$14,'NB 6-12-21% light'!$A$91*('NB 6-12-21% light'!$B$91-50)*'NB 6-12-21% light'!$C$91+'NB 6-12-21% light'!$A$99*('NB 6-12-21% light'!$B$99-50)*'NB 6-12-21% light'!$C$99,IF(H1=Bron!$B$16,'AK+VERB'!$E$128,0))))))))),0)</f>
        <v>0</v>
      </c>
      <c r="I38" s="51"/>
      <c r="J38" s="255">
        <f t="shared" ref="J38:J39" si="0">H38+F38+D38+B38</f>
        <v>0</v>
      </c>
      <c r="K38" s="18"/>
    </row>
    <row r="39" spans="1:11" ht="13.8" x14ac:dyDescent="0.3">
      <c r="A39" s="142" t="s">
        <v>369</v>
      </c>
      <c r="B39" s="254">
        <f>IFERROR(IF(AND(ISNUMBER(MATCH(Bron!$B$10,'analyse bij belofte 1'!$B$1:$H$1,0)),ISNUMBER(MATCH(Bron!$B$11,'analyse bij belofte 1'!$B$1:$H$1,0))),IF(B1=Bron!$B$10,samen!$E$118+samen!$E$141*samen!$A$114/samen!$A$122,IF(B1=Bron!$B$11,samen!$E$109+samen!$E$128*samen!$A$102/samen!$A$122,0)),IF($B$1=Bron!$B$9,'NB 6-12-21%'!$E$62,IF($B$1=Bron!$B$10,UITB!$E$76,IF($B$1=Bron!$B$11,VERB!$E$83,IF(B1=Bron!$B$8,'NB 21%'!$D$41,IF(B1=Bron!$B$13,'NB 21% light'!$D$54,IF(B1=Bron!$B$14,'NB 6-12-21% light'!$E$61,IF(B1=Bron!$B$16,'AK+VERB'!$E$79,0)))))))),0)</f>
        <v>0</v>
      </c>
      <c r="C39" s="18"/>
      <c r="D39" s="254">
        <f>IFERROR(IF(AND(ISNUMBER(MATCH(Bron!$B$10,'analyse bij belofte 1'!$B$1:$H$1,0)),ISNUMBER(MATCH(Bron!$B$11,'analyse bij belofte 1'!$B$1:$H$1,0))),IF(D1=Bron!$B$10,samen!$E$118+samen!$E$141*samen!$A$114/samen!$A$122,IF(D1=Bron!$B$11,samen!$E$109+samen!$E$128*samen!$A$102/samen!$A$122,0)),IF($B$1=Bron!$B$9,'NB 6-12-21%'!$E$62,IF($B$1=Bron!$B$10,UITB!$E$76,IF($D$1=Bron!$B$11,VERB!$E$83,IF(D1=Bron!$B$8,'NB 21%'!$D$41,IF(D1=Bron!$B$13,'NB 21% light'!$D$54,IF(D1=Bron!$B$14,'NB 6-12-21% light'!$E$61,IF(D1=Bron!$B$16,'AK+VERB'!$E$79,0)))))))),0)</f>
        <v>0</v>
      </c>
      <c r="E39" s="51"/>
      <c r="F39" s="254">
        <f>IFERROR(IF(AND(ISNUMBER(MATCH(Bron!$B$10,'analyse bij belofte 1'!$B$1:$H$1,0)),ISNUMBER(MATCH(Bron!$B$11,'analyse bij belofte 1'!$B$1:$H$1,0))),IF(F1=Bron!$B$10,samen!$E$118+samen!$E$141*samen!$A$114/samen!$A$122,IF(F1=Bron!$B$11,samen!$E$109+samen!$E$128*samen!$A$102/samen!$A$122,0)),IF($F$1=Bron!$B$9,'NB 6-12-21%'!$E$62,IF($B$1=Bron!$B$10,UITB!$E$76,IF($B$1=Bron!$B$11,VERB!$E$83,IF(F1=Bron!$B$8,'NB 21%'!$D$41,IF(F1=Bron!$B$13,'NB 21% light'!$D$54,IF(F1=Bron!$B$14,'NB 6-12-21% light'!$E$61,IF(F1=Bron!$B$16,'AK+VERB'!$E$79,0)))))))),0)</f>
        <v>0</v>
      </c>
      <c r="G39" s="51"/>
      <c r="H39" s="254">
        <f>IFERROR(IF(AND(ISNUMBER(MATCH(Bron!$B$10,'analyse bij belofte 1'!$B$1:$H$1,0)),ISNUMBER(MATCH(Bron!$B$11,'analyse bij belofte 1'!$B$1:$H$1,0))),IF(H5=Bron!$B$10,samen!$E$118+samen!$E$141*samen!$A$114/samen!$A$122,IF(H5=Bron!$B$11,samen!$E$109+samen!$E$128*samen!$A$102/samen!$A$122,0)),IF($B$1=Bron!$B$9,'NB 6-12-21%'!$E$62,IF($B$1=Bron!$B$10,UITB!$E$76,IF($B$1=Bron!$B$11,VERB!$E$83,IF(H5=Bron!$B$8,'NB 21%'!$D$41,IF(H5=Bron!$B$13,'NB 21% light'!$D$54,IF(H5=Bron!$B$14,'NB 6-12-21% light'!$E$61,IF(H5=Bron!$B$16,'AK+VERB'!$E$79,0)))))))),0)</f>
        <v>0</v>
      </c>
      <c r="I39" s="51"/>
      <c r="J39" s="255">
        <f t="shared" si="0"/>
        <v>0</v>
      </c>
      <c r="K39" s="18"/>
    </row>
    <row r="40" spans="1:11" ht="13.8" x14ac:dyDescent="0.3">
      <c r="A40" s="509" t="s">
        <v>370</v>
      </c>
      <c r="B40" s="254"/>
      <c r="C40" s="18"/>
      <c r="D40" s="255"/>
      <c r="E40" s="51"/>
      <c r="F40" s="255"/>
      <c r="G40" s="51"/>
      <c r="H40" s="255"/>
      <c r="I40" s="51"/>
      <c r="J40" s="255"/>
      <c r="K40" s="18"/>
    </row>
    <row r="41" spans="1:11" ht="13.8" x14ac:dyDescent="0.3">
      <c r="A41" s="142" t="s">
        <v>363</v>
      </c>
      <c r="B41" s="254">
        <f>IFERROR(IF(AND(ISNUMBER(MATCH(Bron!$B$10,'analyse bij belofte 1'!$B$1:$H$1,0)),ISNUMBER(MATCH(Bron!$B$11,'analyse bij belofte 1'!$B$1:$H$1,0))),IF(B1=Bron!$B$10,samen!$A$17*(samen!$B$17-50)*samen!$C$17,IF(B1=Bron!$B$11,samen!E8,0)),IF(B1=Bron!$B$8,'NB 21%'!$A$4*('NB 21%'!$B$4-50)*'NB 21%'!$C$4,IF(B1=Bron!$B$9,'NB 6-12-21%'!$A$4*('NB 6-12-21%'!$B$4-50)*'NB 6-12-21%'!$C$4+'NB 6-12-21%'!$A$12*('NB 6-12-21%'!$B$12-50)*'NB 6-12-21%'!$C$12,IF(B1=Bron!$B$10,UITB!$A$5*(UITB!$B$5-50)*UITB!$C$5,IF(B1=Bron!$B$11,VERB!$E$8,IF(B1=Bron!$B$12,VERB!$E$8,IF(B1=Bron!$B$13,'NB 21% light'!$A$5*('NB 21% light'!$B$5-50)*'NB 21% light'!$C$5,IF(B1=Bron!$B$14,'NB 6-12-21% light'!$A$4*('NB 6-12-21% light'!$B$4-50)*'NB 6-12-21% light'!$C$4+'NB 6-12-21% light'!$A$12*('NB 6-12-21% light'!$B$12-50)*'NB 6-12-21% light'!$C$12,IF(B1=Bron!$B$16,'AK+VERB'!$E$8,0))))))))),0)</f>
        <v>0</v>
      </c>
      <c r="C41" s="18"/>
      <c r="D41" s="254">
        <f>IFERROR(IF(AND(ISNUMBER(MATCH(Bron!$B$10,'analyse bij belofte 1'!$B$1:$H$1,0)),ISNUMBER(MATCH(Bron!$B$11,'analyse bij belofte 1'!$B$1:$H$1,0))),IF(D1=Bron!$B$10,samen!$A$17*(samen!$B$17-50)*samen!$C$17,IF(D1=Bron!$B$11,samen!G8,0)),IF(D1=Bron!$B$8,'NB 21%'!$A$4*('NB 21%'!$B$4-50)*'NB 21%'!$C$4,IF(D1=Bron!$B$9,'NB 6-12-21%'!$A$4*('NB 6-12-21%'!$B$4-50)*'NB 6-12-21%'!$C$4+'NB 6-12-21%'!$A$12*('NB 6-12-21%'!$B$12-50)*'NB 6-12-21%'!$C$12,IF(D1=Bron!$B$10,UITB!$A$5*(UITB!$B$5-50)*UITB!$C$5,IF(D1=Bron!$B$11,VERB!$E$8,IF(D1=Bron!$B$12,VERB!$E$8,IF(D1=Bron!$B$13,'NB 21% light'!$A$5*('NB 21% light'!$B$5-50)*'NB 21% light'!$C$5,IF(D1=Bron!$B$14,'NB 6-12-21% light'!$A$4*('NB 6-12-21% light'!$B$4-50)*'NB 6-12-21% light'!$C$4+'NB 6-12-21% light'!$A$12*('NB 6-12-21% light'!$B$12-50)*'NB 6-12-21% light'!$C$12,IF(D1=Bron!$B$16,'AK+VERB'!$E$8,0))))))))),0)</f>
        <v>0</v>
      </c>
      <c r="E41" s="51"/>
      <c r="F41" s="254">
        <f>IFERROR(IF(AND(ISNUMBER(MATCH(Bron!$B$10,'analyse bij belofte 1'!$B$1:$H$1,0)),ISNUMBER(MATCH(Bron!$B$11,'analyse bij belofte 1'!$B$1:$H$1,0))),IF(F1=Bron!$B$10,samen!$A$17*(samen!$B$17-50)*samen!$C$17,IF(F1=Bron!$B$11,samen!I8,0)),IF(F1=Bron!$B$8,'NB 21%'!$A$4*('NB 21%'!$B$4-50)*'NB 21%'!$C$4,IF(F1=Bron!$B$9,'NB 6-12-21%'!$A$4*('NB 6-12-21%'!$B$4-50)*'NB 6-12-21%'!$C$4+'NB 6-12-21%'!$A$12*('NB 6-12-21%'!$B$12-50)*'NB 6-12-21%'!$C$12,IF(F1=Bron!$B$10,UITB!$A$5*(UITB!$B$5-50)*UITB!$C$5,IF(F1=Bron!$B$11,VERB!$E$8,IF(F1=Bron!$B$12,VERB!$E$8,IF(F1=Bron!$B$13,'NB 21% light'!$A$5*('NB 21% light'!$B$5-50)*'NB 21% light'!$C$5,IF(F1=Bron!$B$14,'NB 6-12-21% light'!$A$4*('NB 6-12-21% light'!$B$4-50)*'NB 6-12-21% light'!$C$4+'NB 6-12-21% light'!$A$12*('NB 6-12-21% light'!$B$12-50)*'NB 6-12-21% light'!$C$12,IF(F1=Bron!$B$16,'AK+VERB'!$E$8,0))))))))),0)</f>
        <v>0</v>
      </c>
      <c r="G41" s="51"/>
      <c r="H41" s="254">
        <f>IFERROR(IF(AND(ISNUMBER(MATCH(Bron!$B$10,'analyse bij belofte 1'!$B$1:$H$1,0)),ISNUMBER(MATCH(Bron!$B$11,'analyse bij belofte 1'!$B$1:$H$1,0))),IF(H1=Bron!$B$10,samen!$A$17*(samen!$B$17-50)*samen!$C$17,IF(H1=Bron!$B$11,samen!K8,0)),IF(H1=Bron!$B$8,'NB 21%'!$A$4*('NB 21%'!$B$4-50)*'NB 21%'!$C$4,IF(H1=Bron!$B$9,'NB 6-12-21%'!$A$4*('NB 6-12-21%'!$B$4-50)*'NB 6-12-21%'!$C$4+'NB 6-12-21%'!$A$12*('NB 6-12-21%'!$B$12-50)*'NB 6-12-21%'!$C$12,IF(H1=Bron!$B$10,UITB!$A$5*(UITB!$B$5-50)*UITB!$C$5,IF(H1=Bron!$B$11,VERB!$E$8,IF(H1=Bron!$B$12,VERB!$E$8,IF(H1=Bron!$B$13,'NB 21% light'!$A$5*('NB 21% light'!$B$5-50)*'NB 21% light'!$C$5,IF(H1=Bron!$B$14,'NB 6-12-21% light'!$A$4*('NB 6-12-21% light'!$B$4-50)*'NB 6-12-21% light'!$C$4+'NB 6-12-21% light'!$A$12*('NB 6-12-21% light'!$B$12-50)*'NB 6-12-21% light'!$C$12,IF(H1=Bron!$B$16,'AK+VERB'!$E$8,0))))))))),0)</f>
        <v>0</v>
      </c>
      <c r="I41" s="51"/>
      <c r="J41" s="255">
        <f>H41+F41+D41+B41</f>
        <v>0</v>
      </c>
      <c r="K41" s="18"/>
    </row>
    <row r="42" spans="1:11" ht="13.8" x14ac:dyDescent="0.3">
      <c r="A42" s="142" t="s">
        <v>364</v>
      </c>
      <c r="B42" s="816">
        <f>IFERROR(IF(AND(ISNUMBER(MATCH(Bron!$B$10,'analyse bij belofte 1'!$B$1:$H$1,0)),ISNUMBER(MATCH(Bron!$B$11,'analyse bij belofte 1'!$B$1:$H$1,0))),IF(B1=Bron!$B$10,samen!$E$21+samen!$E$31*samen!$A$17/samen!$A$25,samen!$E$12+samen!$E$31*samen!$A$5/samen!$A$25),IF(B1=Bron!$B$9,'NB 6-12-21%'!$E$62,IF(B1=Bron!$B$10,UITB!$E$76,IF(OR(B1=Bron!$B$11,B1=Bron!B12),VERB!$E$35,IF(B1=Bron!$B$8,'NB 21%'!$D$21,IF(B1=Bron!$B$13,'NB 21% light'!$D$32,IF(B1=Bron!$B$14,'NB 6-12-21% light'!$E$31,IF(B1=Bron!$B$16,'AK+VERB'!E37,0)))))))),0)</f>
        <v>0</v>
      </c>
      <c r="C42" s="18"/>
      <c r="D42" s="816">
        <f>IFERROR(IF(AND(ISNUMBER(MATCH(Bron!$B$10,'analyse bij belofte 1'!$B$1:$H$1,0)),ISNUMBER(MATCH(Bron!$B$11,'analyse bij belofte 1'!$B$1:$H$1,0))),IF(D1=Bron!$B$10,samen!$E$21+samen!$E$31*samen!$A$17/samen!$A$25,samen!$E$12+samen!$E$31*samen!$A$5/samen!$A$25),IF(D1=Bron!$B$9,'NB 6-12-21%'!$E$62,IF(D1=Bron!$B$10,UITB!$E$76,IF(OR(D1=Bron!$B$11,D1=Bron!D12),VERB!$E$35,IF(D1=Bron!$B$8,'NB 21%'!$D$21,IF(D1=Bron!$B$13,'NB 21% light'!$D$32,IF(D1=Bron!$B$14,'NB 6-12-21% light'!$E$31,IF(D1=Bron!$B$16,'AK+VERB'!G37,0)))))))),0)</f>
        <v>0</v>
      </c>
      <c r="E42" s="51"/>
      <c r="F42" s="816">
        <f>IFERROR(IF(AND(ISNUMBER(MATCH(Bron!$B$10,'analyse bij belofte 1'!$B$1:$H$1,0)),ISNUMBER(MATCH(Bron!$B$11,'analyse bij belofte 1'!$B$1:$H$1,0))),IF(F1=Bron!$B$10,samen!$E$21+samen!$E$31*samen!$A$17/samen!$A$25,samen!$E$12+samen!$E$31*samen!$A$5/samen!$A$25),IF(F1=Bron!$B$9,'NB 6-12-21%'!$E$62,IF(F1=Bron!$B$10,UITB!$E$76,IF(OR(F1=Bron!$B$11,F1=Bron!F12),VERB!$E$35,IF(F1=Bron!$B$8,'NB 21%'!$D$21,IF(F1=Bron!$B$13,'NB 21% light'!$D$32,IF(F1=Bron!$B$14,'NB 6-12-21% light'!$E$31,IF(F1=Bron!$B$16,'AK+VERB'!I37,0)))))))),0)</f>
        <v>0</v>
      </c>
      <c r="G42" s="51"/>
      <c r="H42" s="816">
        <f>IFERROR(IF(AND(ISNUMBER(MATCH(Bron!$B$10,'analyse bij belofte 1'!$B$1:$H$1,0)),ISNUMBER(MATCH(Bron!$B$11,'analyse bij belofte 1'!$B$1:$H$1,0))),IF(H1=Bron!$B$10,samen!$E$21+samen!$E$31*samen!$A$17/samen!$A$25,samen!$E$12+samen!$E$31*samen!$A$5/samen!$A$25),IF(H1=Bron!$B$9,'NB 6-12-21%'!$E$62,IF(H1=Bron!$B$10,UITB!$E$76,IF(OR(H1=Bron!$B$11,H1=Bron!H12),VERB!$E$35,IF(H1=Bron!$B$8,'NB 21%'!$D$21,IF(H1=Bron!$B$13,'NB 21% light'!$D$32,IF(H1=Bron!$B$14,'NB 6-12-21% light'!$E$31,IF(H1=Bron!$B$16,'AK+VERB'!K37,0)))))))),0)</f>
        <v>0</v>
      </c>
      <c r="I42" s="51"/>
      <c r="J42" s="255">
        <f t="shared" ref="J42:J43" si="1">H42+F42+D42+B42</f>
        <v>0</v>
      </c>
      <c r="K42" s="18"/>
    </row>
    <row r="43" spans="1:11" ht="13.8" x14ac:dyDescent="0.3">
      <c r="A43" s="142" t="s">
        <v>395</v>
      </c>
      <c r="B43" s="816">
        <f>IFERROR(IF(AND(ISNUMBER(MATCH(Bron!$B$10,$B$1:$H$1,0)),ISNUMBER(MATCH(Bron!$B$11,$B$1:$H$1,0))),IF(B1=Bron!$B$10,samen!$E$46*samen!$A$17/samen!$A$25,IF(B1=Bron!$B$11,samen!$E$46*samen!$A$5/samen!$A$25,0)),IF(B1=Bron!$B$9,'NB 6-12-21%'!$E$34,IF(B1=Bron!$B$10,UITB!$E$34,IF(OR(B1=Bron!$B$11,B1=Bron!$B$12),VERB!$E$37,IF(B1=Bron!$B$8,'NB 21%'!$D$23,IF(B1=Bron!$B$13,'NB 21% light'!$D$34,IF(B1=Bron!$B$14,'NB 6-12-21% light'!$E$33,IF(B1=Bron!$B$16,'AK+VERB'!$E$39,0)))))))),0)</f>
        <v>0</v>
      </c>
      <c r="C43" s="18"/>
      <c r="D43" s="816">
        <f>IFERROR(IF(AND(ISNUMBER(MATCH(Bron!$B$10,$B$1:$H$1,0)),ISNUMBER(MATCH(Bron!$B$11,$B$1:$H$1,0))),IF(D1=Bron!$B$10,samen!$E$46*samen!$A$17/samen!$A$25,IF(D1=Bron!$B$11,samen!$E$46*samen!$A$5/samen!$A$25,0)),IF(D1=Bron!$B$9,'NB 6-12-21%'!$E$34,IF(D1=Bron!$B$10,UITB!$E$34,IF(OR(D1=Bron!$B$11,D1=Bron!$B$12),VERB!$E$37,IF(D1=Bron!$B$8,'NB 21%'!$D$23,IF(D1=Bron!$B$13,'NB 21% light'!$D$34,IF(D1=Bron!$B$14,'NB 6-12-21% light'!$E$33,IF(D1=Bron!$B$16,'AK+VERB'!$E$39,0)))))))),0)</f>
        <v>0</v>
      </c>
      <c r="E43" s="51"/>
      <c r="F43" s="816">
        <f>IFERROR(IF(AND(ISNUMBER(MATCH(Bron!$B$10,$B$1:$H$1,0)),ISNUMBER(MATCH(Bron!$B$11,$B$1:$H$1,0))),IF(F1=Bron!$B$10,samen!$E$46*samen!$A$17/samen!$A$25,IF(F1=Bron!$B$11,samen!$E$46*samen!$A$5/samen!$A$25,0)),IF(F1=Bron!$B$9,'NB 6-12-21%'!$E$34,IF(F1=Bron!$B$10,UITB!$E$34,IF(OR(F1=Bron!$B$11,F1=Bron!$B$12),VERB!$E$37,IF(F1=Bron!$B$8,'NB 21%'!$D$23,IF(F1=Bron!$B$13,'NB 21% light'!$D$34,IF(F1=Bron!$B$14,'NB 6-12-21% light'!$E$33,IF(F1=Bron!$B$16,'AK+VERB'!$E$39,0)))))))),0)</f>
        <v>0</v>
      </c>
      <c r="G43" s="51"/>
      <c r="H43" s="816">
        <f>IFERROR(IF(AND(ISNUMBER(MATCH(Bron!$B$10,$B$1:$H$1,0)),ISNUMBER(MATCH(Bron!$B$11,$B$1:$H$1,0))),IF(H1=Bron!$B$10,samen!$E$46*samen!$A$17/samen!$A$25,IF(H1=Bron!$B$11,samen!$E$46*samen!$A$5/samen!$A$25,0)),IF(H1=Bron!$B$9,'NB 6-12-21%'!$E$34,IF(H1=Bron!$B$10,UITB!$E$34,IF(OR(H1=Bron!$B$11,H1=Bron!$B$12),VERB!$E$37,IF(H1=Bron!$B$8,'NB 21%'!$D$23,IF(H1=Bron!$B$13,'NB 21% light'!$D$34,IF(H1=Bron!$B$14,'NB 6-12-21% light'!$E$33,IF(H1=Bron!$B$16,'AK+VERB'!$E$39,0)))))))),0)</f>
        <v>0</v>
      </c>
      <c r="I43" s="51"/>
      <c r="J43" s="255">
        <f t="shared" si="1"/>
        <v>0</v>
      </c>
      <c r="K43" s="18"/>
    </row>
    <row r="44" spans="1:11" ht="13.8" x14ac:dyDescent="0.3">
      <c r="A44" s="142" t="s">
        <v>365</v>
      </c>
      <c r="B44" s="254" t="str">
        <f>IF(B1=Bron!$B$15,AKzondVERB!$E$7,IF(B1=Bron!$B$16,'AK+VERB'!$E$62,""))</f>
        <v/>
      </c>
      <c r="C44" s="18"/>
      <c r="D44" s="254" t="str">
        <f>IF(D1=Bron!$B$15,AKzondVERB!$E$7,IF(D1=Bron!$B$16,'AK+VERB'!$E$62,""))</f>
        <v/>
      </c>
      <c r="E44" s="51"/>
      <c r="F44" s="254" t="str">
        <f>IF(F1=Bron!$B$15,AKzondVERB!$E$7,IF(F1=Bron!$B$16,'AK+VERB'!$E$62,""))</f>
        <v/>
      </c>
      <c r="G44" s="51"/>
      <c r="H44" s="254" t="str">
        <f>IF(H1=Bron!$B$15,AKzondVERB!$E$7,IF(H1=Bron!$B$16,'AK+VERB'!$E$62,""))</f>
        <v/>
      </c>
      <c r="I44" s="51"/>
      <c r="J44" s="255">
        <f>IF(ISNUMBER(H44),H44,0)+IF(ISNUMBER(F44),F44,0)+IF(ISNUMBER(D44),D44,0)+IF(ISNUMBER(B44),B44,0)</f>
        <v>0</v>
      </c>
      <c r="K44" s="18"/>
    </row>
    <row r="45" spans="1:11" ht="13.8" x14ac:dyDescent="0.3">
      <c r="A45" s="142" t="s">
        <v>366</v>
      </c>
      <c r="B45" s="254" t="str">
        <f>IF(B1=Bron!$B$15,AKzondVERB!$E$9,IF(B1=Bron!$B$16,'AK+VERB'!$E$69+'AK+VERB'!$E$70,""))</f>
        <v/>
      </c>
      <c r="C45" s="18"/>
      <c r="D45" s="254" t="str">
        <f>IF(D1=Bron!$B$15,AKzondVERB!$E$9,IF(D1=Bron!$B$16,'AK+VERB'!$E$69+'AK+VERB'!$E$70,""))</f>
        <v/>
      </c>
      <c r="E45" s="51"/>
      <c r="F45" s="254" t="str">
        <f>IF(F1=Bron!$B$15,AKzondVERB!$E$9,IF(F1=Bron!$B$16,'AK+VERB'!$E$69+'AK+VERB'!$E$70,""))</f>
        <v/>
      </c>
      <c r="G45" s="51"/>
      <c r="H45" s="254" t="str">
        <f>IF(H1=Bron!$B$15,AKzondVERB!$E$9,IF(H1=Bron!$B$16,'AK+VERB'!$E$69+'AK+VERB'!$E$70,""))</f>
        <v/>
      </c>
      <c r="I45" s="51"/>
      <c r="J45" s="255">
        <f>IF(ISNUMBER(H45),H45,0)+IF(ISNUMBER(F45),F45,0)+IF(ISNUMBER(D45),D45,0)+IF(ISNUMBER(B45),B45,0)</f>
        <v>0</v>
      </c>
      <c r="K45" s="18"/>
    </row>
    <row r="46" spans="1:11" ht="13.8" x14ac:dyDescent="0.3">
      <c r="A46" s="142"/>
      <c r="B46" s="143"/>
      <c r="C46" s="18"/>
      <c r="D46" s="143"/>
      <c r="E46" s="18"/>
      <c r="F46" s="143"/>
      <c r="G46" s="18"/>
      <c r="H46" s="143"/>
      <c r="I46" s="18"/>
      <c r="J46" s="255"/>
      <c r="K46" s="18"/>
    </row>
    <row r="47" spans="1:11" ht="13.8" x14ac:dyDescent="0.3">
      <c r="A47" s="274" t="s">
        <v>371</v>
      </c>
      <c r="B47" s="509" t="s">
        <v>370</v>
      </c>
      <c r="C47" s="18"/>
      <c r="D47" s="509" t="s">
        <v>322</v>
      </c>
      <c r="E47" s="18"/>
      <c r="F47" s="509" t="s">
        <v>367</v>
      </c>
      <c r="G47" s="18"/>
      <c r="H47" s="143"/>
      <c r="I47" s="18"/>
      <c r="J47" s="143"/>
      <c r="K47" s="18"/>
    </row>
    <row r="48" spans="1:11" ht="13.8" x14ac:dyDescent="0.3">
      <c r="A48" s="275" t="s">
        <v>375</v>
      </c>
      <c r="B48" s="452">
        <f>J41</f>
        <v>0</v>
      </c>
      <c r="C48" s="18"/>
      <c r="D48" s="452">
        <f>J32</f>
        <v>0</v>
      </c>
      <c r="E48" s="18"/>
      <c r="F48" s="452">
        <f>J38</f>
        <v>0</v>
      </c>
      <c r="G48" s="18"/>
      <c r="H48" s="148"/>
      <c r="I48" s="18"/>
      <c r="J48" s="143"/>
      <c r="K48" s="18"/>
    </row>
    <row r="49" spans="1:11" ht="13.8" x14ac:dyDescent="0.3">
      <c r="A49" s="275" t="s">
        <v>376</v>
      </c>
      <c r="B49" s="452">
        <f>'uitgebreide raming'!J9</f>
        <v>0</v>
      </c>
      <c r="C49" s="18"/>
      <c r="D49" s="452">
        <f>'uitgebreide raming_gewijzigd'!J9</f>
        <v>0</v>
      </c>
      <c r="E49" s="18"/>
      <c r="F49" s="452">
        <f>D49</f>
        <v>0</v>
      </c>
      <c r="G49" s="18"/>
      <c r="I49" s="18"/>
      <c r="J49" s="143"/>
      <c r="K49" s="18"/>
    </row>
    <row r="50" spans="1:11" ht="13.8" x14ac:dyDescent="0.3">
      <c r="A50" s="18"/>
      <c r="B50" s="107" t="e">
        <f>B48/B49</f>
        <v>#DIV/0!</v>
      </c>
      <c r="C50" s="18"/>
      <c r="D50" s="107" t="e">
        <f>D48/D49</f>
        <v>#DIV/0!</v>
      </c>
      <c r="E50" s="18"/>
      <c r="F50" s="107" t="e">
        <f>F48/F49</f>
        <v>#DIV/0!</v>
      </c>
      <c r="G50" s="18"/>
      <c r="I50" s="18"/>
      <c r="J50" s="143"/>
      <c r="K50" s="18"/>
    </row>
    <row r="51" spans="1:11" ht="13.8" x14ac:dyDescent="0.3">
      <c r="A51" s="275" t="s">
        <v>377</v>
      </c>
      <c r="B51" s="452">
        <f>J42+J45</f>
        <v>0</v>
      </c>
      <c r="C51" s="18"/>
      <c r="D51" s="452">
        <f>J33+J35</f>
        <v>0</v>
      </c>
      <c r="E51" s="18"/>
      <c r="F51" s="452">
        <f>J39+J36</f>
        <v>0</v>
      </c>
      <c r="G51" s="18"/>
      <c r="H51" s="148"/>
      <c r="I51" s="18"/>
      <c r="J51" s="143"/>
      <c r="K51" s="18"/>
    </row>
    <row r="52" spans="1:11" ht="13.8" x14ac:dyDescent="0.3">
      <c r="A52" s="275" t="s">
        <v>146</v>
      </c>
      <c r="B52" s="452">
        <f>'uitgebreide raming'!J26</f>
        <v>0</v>
      </c>
      <c r="C52" s="18"/>
      <c r="D52" s="452">
        <f>'uitgebreide raming_gewijzigd'!J26</f>
        <v>0</v>
      </c>
      <c r="E52" s="18"/>
      <c r="F52" s="452">
        <f>D52</f>
        <v>0</v>
      </c>
      <c r="G52" s="18"/>
      <c r="H52" s="148"/>
      <c r="I52" s="18"/>
      <c r="J52" s="143"/>
      <c r="K52" s="18"/>
    </row>
    <row r="53" spans="1:11" ht="13.8" x14ac:dyDescent="0.3">
      <c r="B53" s="107" t="e">
        <f>B51/B52</f>
        <v>#DIV/0!</v>
      </c>
      <c r="C53" s="18"/>
      <c r="D53" s="107" t="e">
        <f>D51/D52</f>
        <v>#DIV/0!</v>
      </c>
      <c r="E53" s="18"/>
      <c r="F53" s="107" t="e">
        <f>F51/F52</f>
        <v>#DIV/0!</v>
      </c>
      <c r="G53" s="18"/>
      <c r="H53" s="146"/>
      <c r="I53" s="18"/>
      <c r="J53" s="143"/>
      <c r="K53" s="18"/>
    </row>
    <row r="54" spans="1:11" ht="13.8" x14ac:dyDescent="0.3">
      <c r="A54" s="18"/>
      <c r="B54" s="146"/>
      <c r="C54" s="18"/>
      <c r="D54" s="146"/>
      <c r="E54" s="18"/>
      <c r="F54" s="146"/>
      <c r="G54" s="18"/>
      <c r="H54" s="146"/>
      <c r="I54" s="18"/>
      <c r="J54" s="143"/>
      <c r="K54" s="18"/>
    </row>
    <row r="55" spans="1:11" ht="13.8" x14ac:dyDescent="0.3">
      <c r="A55" s="21" t="s">
        <v>385</v>
      </c>
      <c r="B55" s="81" t="e">
        <f>B18/B6</f>
        <v>#DIV/0!</v>
      </c>
      <c r="C55" s="21"/>
      <c r="D55" s="81" t="e">
        <f>D18/D6</f>
        <v>#DIV/0!</v>
      </c>
      <c r="E55" s="21"/>
      <c r="F55" s="81" t="e">
        <f>F18/F6</f>
        <v>#DIV/0!</v>
      </c>
      <c r="G55" s="21"/>
      <c r="H55" s="81" t="e">
        <f>H18/H6</f>
        <v>#DIV/0!</v>
      </c>
      <c r="I55" s="21"/>
      <c r="J55" s="81" t="e">
        <f>J18/J6</f>
        <v>#DIV/0!</v>
      </c>
      <c r="K55" s="21"/>
    </row>
    <row r="56" spans="1:11" ht="13.8" x14ac:dyDescent="0.3">
      <c r="A56" s="85" t="s">
        <v>386</v>
      </c>
      <c r="B56" s="92">
        <v>0</v>
      </c>
      <c r="C56" s="85"/>
      <c r="D56" s="92">
        <v>0</v>
      </c>
      <c r="E56" s="85"/>
      <c r="F56" s="92">
        <v>0</v>
      </c>
      <c r="G56" s="85"/>
      <c r="H56" s="92">
        <v>0</v>
      </c>
      <c r="I56" s="85"/>
      <c r="J56" s="92">
        <v>0</v>
      </c>
      <c r="K56" s="85"/>
    </row>
    <row r="57" spans="1:11" ht="14.4" x14ac:dyDescent="0.3">
      <c r="A57" s="87" t="s">
        <v>387</v>
      </c>
      <c r="B57" s="88" t="e">
        <f>B55/B56</f>
        <v>#DIV/0!</v>
      </c>
      <c r="C57" s="89"/>
      <c r="D57" s="88" t="e">
        <f>D55/D56</f>
        <v>#DIV/0!</v>
      </c>
      <c r="E57" s="21"/>
      <c r="F57" s="88" t="e">
        <f>F55/F56</f>
        <v>#DIV/0!</v>
      </c>
      <c r="G57" s="21"/>
      <c r="H57" s="88" t="e">
        <f>H55/H56</f>
        <v>#DIV/0!</v>
      </c>
      <c r="I57" s="21"/>
      <c r="J57" s="88" t="e">
        <f>J55/J56</f>
        <v>#DIV/0!</v>
      </c>
      <c r="K57" s="21"/>
    </row>
    <row r="58" spans="1:11" ht="13.8" x14ac:dyDescent="0.3">
      <c r="A58" s="18"/>
      <c r="B58" s="18"/>
      <c r="C58" s="18"/>
      <c r="D58" s="18"/>
      <c r="E58" s="18"/>
      <c r="F58" s="18"/>
      <c r="G58" s="18"/>
      <c r="H58" s="18"/>
      <c r="I58" s="18"/>
      <c r="J58" s="18"/>
      <c r="K58" s="18"/>
    </row>
    <row r="59" spans="1:11" ht="13.8" x14ac:dyDescent="0.3">
      <c r="A59" s="18"/>
      <c r="B59" s="18"/>
      <c r="C59" s="18"/>
      <c r="D59" s="18"/>
      <c r="E59" s="18"/>
      <c r="F59" s="18"/>
      <c r="G59" s="18"/>
      <c r="H59" s="18"/>
      <c r="I59" s="18"/>
      <c r="J59" s="18"/>
      <c r="K59" s="18"/>
    </row>
    <row r="61" spans="1:11" ht="13.8" x14ac:dyDescent="0.3">
      <c r="A61" s="147" t="s">
        <v>388</v>
      </c>
      <c r="C61" s="18"/>
    </row>
    <row r="62" spans="1:11" ht="13.8" x14ac:dyDescent="0.3">
      <c r="A62" s="18" t="s">
        <v>389</v>
      </c>
      <c r="B62" s="18"/>
      <c r="C62" s="18"/>
    </row>
    <row r="63" spans="1:11" ht="13.8" x14ac:dyDescent="0.3">
      <c r="A63" s="18" t="s">
        <v>390</v>
      </c>
      <c r="B63" s="18"/>
      <c r="C63" s="18" t="s">
        <v>391</v>
      </c>
    </row>
    <row r="64" spans="1:11" ht="13.8" x14ac:dyDescent="0.3">
      <c r="A64" s="18" t="s">
        <v>390</v>
      </c>
      <c r="B64" s="18"/>
      <c r="C64" s="18" t="s">
        <v>392</v>
      </c>
    </row>
    <row r="65" spans="1:3" ht="13.8" x14ac:dyDescent="0.3">
      <c r="A65" s="18" t="s">
        <v>393</v>
      </c>
      <c r="B65" s="18"/>
      <c r="C65" s="18"/>
    </row>
  </sheetData>
  <pageMargins left="0.7" right="0.7" top="0.75" bottom="0.75" header="0.3" footer="0.3"/>
  <pageSetup paperSize="9" orientation="portrait"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E29D0-DBAC-4163-B200-F05D5E6143FC}">
  <sheetPr codeName="Blad21"/>
  <dimension ref="A1:N65"/>
  <sheetViews>
    <sheetView topLeftCell="A25" workbookViewId="0">
      <selection activeCell="B43" sqref="B43"/>
    </sheetView>
  </sheetViews>
  <sheetFormatPr defaultColWidth="9.109375" defaultRowHeight="13.2" x14ac:dyDescent="0.25"/>
  <cols>
    <col min="1" max="1" width="43.88671875" style="59" bestFit="1" customWidth="1"/>
    <col min="2" max="2" width="19.5546875" style="59" customWidth="1"/>
    <col min="3" max="3" width="9.109375" style="59" customWidth="1"/>
    <col min="4" max="4" width="16.6640625" style="59" customWidth="1"/>
    <col min="5" max="5" width="11.44140625" style="59" customWidth="1"/>
    <col min="6" max="6" width="18.33203125" style="59" customWidth="1"/>
    <col min="7" max="7" width="7.6640625" style="59" customWidth="1"/>
    <col min="8" max="8" width="16.6640625" style="59" customWidth="1"/>
    <col min="9" max="9" width="7.6640625" style="59" customWidth="1"/>
    <col min="10" max="10" width="17" style="59" customWidth="1"/>
    <col min="11" max="11" width="7.6640625" style="59" bestFit="1" customWidth="1"/>
    <col min="12" max="16384" width="9.109375" style="59"/>
  </cols>
  <sheetData>
    <row r="1" spans="1:12" ht="13.8" x14ac:dyDescent="0.3">
      <c r="A1" s="147" t="s">
        <v>337</v>
      </c>
      <c r="B1" s="91" t="str">
        <f>'Overzicht BTA'!H7</f>
        <v>Kies kostensoort</v>
      </c>
      <c r="C1" s="18"/>
      <c r="D1" s="91" t="str">
        <f>'Overzicht BTA'!H8</f>
        <v>Kies kostensoort</v>
      </c>
      <c r="E1" s="18"/>
      <c r="F1" s="91" t="str">
        <f>'Overzicht BTA'!H9</f>
        <v>Kies kostensoort</v>
      </c>
      <c r="G1" s="18"/>
      <c r="H1" s="91" t="str">
        <f>'Overzicht BTA'!H10</f>
        <v>Kies kostensoort</v>
      </c>
      <c r="I1" s="18"/>
      <c r="J1" s="22" t="s">
        <v>110</v>
      </c>
      <c r="K1" s="18"/>
    </row>
    <row r="2" spans="1:12" ht="13.8" x14ac:dyDescent="0.3">
      <c r="A2" s="21" t="s">
        <v>394</v>
      </c>
      <c r="B2" s="427">
        <f>'Overzicht BTA'!I7</f>
        <v>0</v>
      </c>
      <c r="C2" s="430"/>
      <c r="D2" s="809">
        <f>'Overzicht BTA'!I8</f>
        <v>0</v>
      </c>
      <c r="E2" s="430"/>
      <c r="F2" s="809">
        <f>'Overzicht BTA'!I9</f>
        <v>0</v>
      </c>
      <c r="G2" s="430"/>
      <c r="H2" s="428">
        <f>'Overzicht BTA'!I10</f>
        <v>0</v>
      </c>
      <c r="I2" s="430"/>
      <c r="J2" s="624">
        <f>B2+D2</f>
        <v>0</v>
      </c>
      <c r="K2" s="18"/>
    </row>
    <row r="3" spans="1:12" ht="13.8" x14ac:dyDescent="0.3">
      <c r="A3" s="21" t="s">
        <v>342</v>
      </c>
      <c r="B3" s="427">
        <f>'Overzicht BTA'!J7</f>
        <v>0</v>
      </c>
      <c r="C3" s="430"/>
      <c r="D3" s="428">
        <f>'Overzicht BTA'!J8</f>
        <v>0</v>
      </c>
      <c r="E3" s="430"/>
      <c r="F3" s="428">
        <f>'Overzicht BTA'!J9</f>
        <v>0</v>
      </c>
      <c r="G3" s="430"/>
      <c r="H3" s="428">
        <f>'Overzicht BTA'!J9</f>
        <v>0</v>
      </c>
      <c r="I3" s="430"/>
      <c r="J3" s="624">
        <f>'Overzicht BTA'!J33</f>
        <v>0</v>
      </c>
      <c r="K3" s="18"/>
    </row>
    <row r="4" spans="1:12" ht="13.8" x14ac:dyDescent="0.3">
      <c r="A4" s="21"/>
      <c r="B4" s="90"/>
      <c r="C4" s="18"/>
      <c r="D4" s="91"/>
      <c r="E4" s="18"/>
      <c r="F4" s="91"/>
      <c r="G4" s="18"/>
      <c r="H4" s="91"/>
      <c r="I4" s="18"/>
      <c r="J4" s="22"/>
      <c r="K4" s="56"/>
    </row>
    <row r="5" spans="1:12" ht="13.8" x14ac:dyDescent="0.3">
      <c r="A5" s="147" t="s">
        <v>343</v>
      </c>
      <c r="B5" s="55"/>
      <c r="C5" s="18"/>
      <c r="D5" s="22"/>
      <c r="E5" s="18"/>
      <c r="F5" s="22"/>
      <c r="G5" s="18"/>
      <c r="H5" s="22"/>
      <c r="I5" s="18"/>
      <c r="J5" s="22"/>
      <c r="K5" s="18"/>
    </row>
    <row r="6" spans="1:12" ht="13.8" x14ac:dyDescent="0.3">
      <c r="A6" s="21" t="s">
        <v>344</v>
      </c>
      <c r="B6" s="188">
        <f>SUM(B7:B8)</f>
        <v>0</v>
      </c>
      <c r="C6" s="91" t="e">
        <f>'Overzicht BTA'!D25</f>
        <v>#N/A</v>
      </c>
      <c r="D6" s="188">
        <f>SUM(D7:D8)</f>
        <v>0</v>
      </c>
      <c r="E6" s="91" t="e">
        <f>'Overzicht BTA'!$D$25</f>
        <v>#N/A</v>
      </c>
      <c r="F6" s="188">
        <f>SUM(F7:F8)</f>
        <v>0</v>
      </c>
      <c r="G6" s="91" t="e">
        <f>'Overzicht BTA'!$D$25</f>
        <v>#N/A</v>
      </c>
      <c r="H6" s="188">
        <f>SUM(H7:H8)</f>
        <v>0</v>
      </c>
      <c r="I6" s="91" t="e">
        <f>'Overzicht BTA'!$D$25</f>
        <v>#N/A</v>
      </c>
      <c r="J6" s="249">
        <f>B6+D6+F6+H6</f>
        <v>0</v>
      </c>
      <c r="K6" s="91" t="e">
        <f>'Overzicht BTA'!$D$25</f>
        <v>#N/A</v>
      </c>
      <c r="L6" s="60"/>
    </row>
    <row r="7" spans="1:12" ht="13.8" x14ac:dyDescent="0.3">
      <c r="A7" s="21" t="s">
        <v>345</v>
      </c>
      <c r="B7" s="188">
        <f>'Overzicht BTA'!K7</f>
        <v>0</v>
      </c>
      <c r="C7" s="91" t="e">
        <f>'Overzicht BTA'!D26</f>
        <v>#N/A</v>
      </c>
      <c r="D7" s="188">
        <f>'Overzicht BTA'!K8</f>
        <v>0</v>
      </c>
      <c r="E7" s="91" t="e">
        <f>'Overzicht BTA'!$D$26</f>
        <v>#N/A</v>
      </c>
      <c r="F7" s="188">
        <f>'Overzicht BTA'!K9</f>
        <v>0</v>
      </c>
      <c r="G7" s="91" t="e">
        <f>'Overzicht BTA'!$D$26</f>
        <v>#N/A</v>
      </c>
      <c r="H7" s="188">
        <f>'Overzicht BTA'!K10</f>
        <v>0</v>
      </c>
      <c r="I7" s="91" t="e">
        <f>'Overzicht BTA'!$D$26</f>
        <v>#N/A</v>
      </c>
      <c r="J7" s="22">
        <f>IF(AND(B7="",D7="",F7="",H7=""),"",B7+D7+F7+H7)</f>
        <v>0</v>
      </c>
      <c r="K7" s="91" t="e">
        <f>'Overzicht BTA'!$D$26</f>
        <v>#N/A</v>
      </c>
    </row>
    <row r="8" spans="1:12" ht="13.8" x14ac:dyDescent="0.3">
      <c r="A8" s="21" t="s">
        <v>346</v>
      </c>
      <c r="B8" s="188">
        <f>'Overzicht BTA'!L7</f>
        <v>0</v>
      </c>
      <c r="C8" s="91" t="e">
        <f>'Overzicht BTA'!D27</f>
        <v>#N/A</v>
      </c>
      <c r="D8" s="188">
        <f>'Overzicht BTA'!L8</f>
        <v>0</v>
      </c>
      <c r="E8" s="91" t="e">
        <f>'Overzicht BTA'!$D$27</f>
        <v>#N/A</v>
      </c>
      <c r="F8" s="188">
        <f>'Overzicht BTA'!L9</f>
        <v>0</v>
      </c>
      <c r="G8" s="91" t="e">
        <f>'Overzicht BTA'!$D$27</f>
        <v>#N/A</v>
      </c>
      <c r="H8" s="188">
        <f>'Overzicht BTA'!L10</f>
        <v>0</v>
      </c>
      <c r="I8" s="91" t="e">
        <f>'Overzicht BTA'!$D$27</f>
        <v>#N/A</v>
      </c>
      <c r="J8" s="22">
        <f>B8+D8</f>
        <v>0</v>
      </c>
      <c r="K8" s="91" t="e">
        <f>'Overzicht BTA'!$D$27</f>
        <v>#N/A</v>
      </c>
    </row>
    <row r="9" spans="1:12" ht="13.8" x14ac:dyDescent="0.3">
      <c r="A9" s="21" t="s">
        <v>347</v>
      </c>
      <c r="B9" s="93" t="str">
        <f>IF(D6&gt;0,D2/D6,"")</f>
        <v/>
      </c>
      <c r="C9" s="18"/>
      <c r="D9" s="91" t="str">
        <f>IF(D6&gt;0,D2/D6,"")</f>
        <v/>
      </c>
      <c r="E9" s="18"/>
      <c r="F9" s="91" t="str">
        <f>IF(F6&gt;0,F2/F6,"")</f>
        <v/>
      </c>
      <c r="G9" s="18"/>
      <c r="H9" s="91" t="str">
        <f>IF(H6&gt;0,H2/H6,"")</f>
        <v/>
      </c>
      <c r="I9" s="18"/>
      <c r="J9" s="206" t="e">
        <f>J2/J6</f>
        <v>#DIV/0!</v>
      </c>
      <c r="K9" s="18"/>
      <c r="L9" s="101"/>
    </row>
    <row r="10" spans="1:12" ht="13.8" x14ac:dyDescent="0.3">
      <c r="A10" s="18"/>
      <c r="B10" s="18"/>
      <c r="C10" s="18"/>
      <c r="D10" s="18"/>
      <c r="E10" s="18"/>
      <c r="F10" s="18"/>
      <c r="G10" s="18"/>
      <c r="H10" s="18"/>
      <c r="I10" s="18"/>
      <c r="J10" s="18"/>
      <c r="K10" s="18"/>
    </row>
    <row r="11" spans="1:12" ht="13.8" x14ac:dyDescent="0.3">
      <c r="A11" s="18"/>
      <c r="B11" s="18"/>
      <c r="C11" s="18"/>
      <c r="D11" s="18"/>
      <c r="E11" s="18"/>
      <c r="F11" s="18"/>
      <c r="G11" s="18"/>
      <c r="H11" s="18"/>
      <c r="I11" s="18"/>
      <c r="J11" s="18"/>
      <c r="K11" s="18"/>
    </row>
    <row r="12" spans="1:12" ht="13.8" x14ac:dyDescent="0.3">
      <c r="A12" s="274" t="s">
        <v>348</v>
      </c>
    </row>
    <row r="13" spans="1:12" ht="13.8" x14ac:dyDescent="0.3">
      <c r="A13" s="275" t="s">
        <v>349</v>
      </c>
      <c r="B13" s="81">
        <f>'uitgebreide raming'!B33</f>
        <v>0</v>
      </c>
      <c r="C13" s="82" t="e">
        <f>B13/B18</f>
        <v>#DIV/0!</v>
      </c>
      <c r="D13" s="81">
        <f>'uitgebreide raming'!D33</f>
        <v>0</v>
      </c>
      <c r="E13" s="82" t="e">
        <f>D13/D18</f>
        <v>#DIV/0!</v>
      </c>
      <c r="F13" s="81">
        <f>'uitgebreide raming'!F33</f>
        <v>0</v>
      </c>
      <c r="G13" s="82" t="e">
        <f>F13/F18</f>
        <v>#DIV/0!</v>
      </c>
      <c r="H13" s="81">
        <f>'uitgebreide raming'!H33</f>
        <v>0</v>
      </c>
      <c r="I13" s="82" t="e">
        <f>H13/H18</f>
        <v>#DIV/0!</v>
      </c>
      <c r="J13" s="81">
        <f>'uitgebreide raming'!J33</f>
        <v>0</v>
      </c>
      <c r="K13" s="82" t="e">
        <f>J13/J18</f>
        <v>#DIV/0!</v>
      </c>
    </row>
    <row r="14" spans="1:12" ht="13.8" x14ac:dyDescent="0.3">
      <c r="A14" s="275" t="s">
        <v>350</v>
      </c>
      <c r="B14" s="81">
        <f>'uitgebreide raming'!B34</f>
        <v>0</v>
      </c>
      <c r="C14" s="82" t="e">
        <f>B14/B18</f>
        <v>#DIV/0!</v>
      </c>
      <c r="D14" s="81">
        <f>'uitgebreide raming'!D34</f>
        <v>0</v>
      </c>
      <c r="E14" s="82" t="e">
        <f>D14/D18</f>
        <v>#DIV/0!</v>
      </c>
      <c r="F14" s="81">
        <f>'uitgebreide raming'!F34</f>
        <v>0</v>
      </c>
      <c r="G14" s="82" t="e">
        <f>F14/F18</f>
        <v>#DIV/0!</v>
      </c>
      <c r="H14" s="81">
        <f>'uitgebreide raming'!H34</f>
        <v>0</v>
      </c>
      <c r="I14" s="82" t="e">
        <f>H14/H18</f>
        <v>#DIV/0!</v>
      </c>
      <c r="J14" s="81">
        <f>'uitgebreide raming'!J34</f>
        <v>0</v>
      </c>
      <c r="K14" s="82" t="e">
        <f>J14/J18</f>
        <v>#DIV/0!</v>
      </c>
    </row>
    <row r="15" spans="1:12" ht="13.8" x14ac:dyDescent="0.3">
      <c r="A15" s="275" t="s">
        <v>351</v>
      </c>
      <c r="B15" s="81">
        <f>'uitgebreide raming'!B35</f>
        <v>0</v>
      </c>
      <c r="C15" s="82" t="e">
        <f>B15/B18</f>
        <v>#DIV/0!</v>
      </c>
      <c r="D15" s="81">
        <f>'uitgebreide raming'!D35</f>
        <v>0</v>
      </c>
      <c r="E15" s="82" t="e">
        <f>D15/D18</f>
        <v>#DIV/0!</v>
      </c>
      <c r="F15" s="81">
        <f>'uitgebreide raming'!F35</f>
        <v>0</v>
      </c>
      <c r="G15" s="82" t="e">
        <f>F15/F18</f>
        <v>#DIV/0!</v>
      </c>
      <c r="H15" s="81">
        <f>'uitgebreide raming'!H35</f>
        <v>0</v>
      </c>
      <c r="I15" s="82" t="e">
        <f>H15/H18</f>
        <v>#DIV/0!</v>
      </c>
      <c r="J15" s="81">
        <f>'uitgebreide raming'!J35</f>
        <v>0</v>
      </c>
      <c r="K15" s="82" t="e">
        <f>J15/J18</f>
        <v>#DIV/0!</v>
      </c>
    </row>
    <row r="16" spans="1:12" ht="13.8" x14ac:dyDescent="0.3">
      <c r="A16" s="275" t="s">
        <v>352</v>
      </c>
      <c r="B16" s="83">
        <f>'uitgebreide raming'!B36</f>
        <v>0</v>
      </c>
      <c r="C16" s="82" t="e">
        <f>B16/B18</f>
        <v>#DIV/0!</v>
      </c>
      <c r="D16" s="83">
        <f>'uitgebreide raming'!D36</f>
        <v>0</v>
      </c>
      <c r="E16" s="82" t="e">
        <f>D16/D18</f>
        <v>#DIV/0!</v>
      </c>
      <c r="F16" s="83">
        <f>'uitgebreide raming'!F36</f>
        <v>0</v>
      </c>
      <c r="G16" s="82" t="e">
        <f>F16/F18</f>
        <v>#DIV/0!</v>
      </c>
      <c r="H16" s="83">
        <f>'uitgebreide raming'!H36</f>
        <v>0</v>
      </c>
      <c r="I16" s="82" t="e">
        <f>H16/H18</f>
        <v>#DIV/0!</v>
      </c>
      <c r="J16" s="83">
        <f>SUM(J13+J14+J15)</f>
        <v>0</v>
      </c>
      <c r="K16" s="82" t="e">
        <f>J16/J18</f>
        <v>#DIV/0!</v>
      </c>
    </row>
    <row r="17" spans="1:14" ht="13.8" x14ac:dyDescent="0.3">
      <c r="A17" s="275" t="s">
        <v>353</v>
      </c>
      <c r="B17" s="81">
        <f>'uitgebreide raming'!B37</f>
        <v>0</v>
      </c>
      <c r="C17" s="82" t="e">
        <f>B17/B18</f>
        <v>#DIV/0!</v>
      </c>
      <c r="D17" s="81">
        <f>'uitgebreide raming'!D37</f>
        <v>0</v>
      </c>
      <c r="E17" s="82" t="e">
        <f>D17/D18</f>
        <v>#DIV/0!</v>
      </c>
      <c r="F17" s="81">
        <f>'uitgebreide raming'!F37</f>
        <v>0</v>
      </c>
      <c r="G17" s="82" t="e">
        <f>F17/F18</f>
        <v>#DIV/0!</v>
      </c>
      <c r="H17" s="81">
        <f>'uitgebreide raming'!H37</f>
        <v>0</v>
      </c>
      <c r="I17" s="82" t="e">
        <f>H17/H18</f>
        <v>#DIV/0!</v>
      </c>
      <c r="J17" s="81">
        <f>'uitgebreide raming'!J37</f>
        <v>0</v>
      </c>
      <c r="K17" s="82" t="e">
        <f>J17/J18</f>
        <v>#DIV/0!</v>
      </c>
    </row>
    <row r="18" spans="1:14" ht="13.8" x14ac:dyDescent="0.3">
      <c r="A18" s="275" t="s">
        <v>354</v>
      </c>
      <c r="B18" s="83">
        <f>'uitgebreide raming'!B38</f>
        <v>0</v>
      </c>
      <c r="C18" s="82" t="e">
        <f>B18/B18</f>
        <v>#DIV/0!</v>
      </c>
      <c r="D18" s="83">
        <f>'uitgebreide raming'!D38</f>
        <v>0</v>
      </c>
      <c r="E18" s="82" t="e">
        <f>D18/D18</f>
        <v>#DIV/0!</v>
      </c>
      <c r="F18" s="83">
        <f>'uitgebreide raming'!F38</f>
        <v>0</v>
      </c>
      <c r="G18" s="82" t="e">
        <f>F18/F18</f>
        <v>#DIV/0!</v>
      </c>
      <c r="H18" s="83">
        <f>'uitgebreide raming'!H38</f>
        <v>0</v>
      </c>
      <c r="I18" s="82" t="e">
        <f>H18/H18</f>
        <v>#DIV/0!</v>
      </c>
      <c r="J18" s="83">
        <f>J16+J17</f>
        <v>0</v>
      </c>
      <c r="K18" s="82" t="e">
        <f>J18/J18</f>
        <v>#DIV/0!</v>
      </c>
    </row>
    <row r="19" spans="1:14" ht="13.8" x14ac:dyDescent="0.3">
      <c r="A19" s="18"/>
      <c r="B19" s="250"/>
      <c r="C19" s="251"/>
      <c r="D19" s="250"/>
      <c r="E19" s="251"/>
      <c r="F19" s="250"/>
      <c r="G19" s="251"/>
      <c r="H19" s="250"/>
      <c r="I19" s="251"/>
      <c r="J19" s="250"/>
      <c r="K19" s="251"/>
    </row>
    <row r="20" spans="1:14" ht="13.8" x14ac:dyDescent="0.3">
      <c r="A20" s="274" t="s">
        <v>355</v>
      </c>
      <c r="B20" s="18"/>
      <c r="C20" s="18"/>
      <c r="D20" s="18"/>
      <c r="E20" s="18"/>
      <c r="F20" s="18"/>
      <c r="G20" s="18"/>
      <c r="H20" s="18"/>
      <c r="I20" s="18"/>
      <c r="J20" s="18"/>
      <c r="K20" s="18"/>
    </row>
    <row r="21" spans="1:14" ht="13.8" x14ac:dyDescent="0.3">
      <c r="A21" s="275"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row>
    <row r="22" spans="1:14" ht="13.8" x14ac:dyDescent="0.3">
      <c r="A22" s="275"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row>
    <row r="23" spans="1:14" ht="13.8" x14ac:dyDescent="0.3">
      <c r="A23" s="275"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row>
    <row r="24" spans="1:14" ht="13.8" x14ac:dyDescent="0.3">
      <c r="A24" s="276" t="s">
        <v>359</v>
      </c>
      <c r="B24" s="86">
        <f>IF(B1=Bron!$B$7,0,(IF(B1=Bron!$B$11,VLOOKUP('Overzicht BTA'!$C$3,'Capaciteiten &amp; forfaits'!$B$4:$H$69,6,FALSE)*0.75,VLOOKUP('Overzicht BTA'!$C$3,'Capaciteiten &amp; forfaits'!$B$4:$H$69,5,FALSE))-50)*'Overzicht BTA'!$D$36*10/6)</f>
        <v>0</v>
      </c>
      <c r="C24" s="84" t="s">
        <v>278</v>
      </c>
      <c r="D24" s="86">
        <f>IF(D1=Bron!$B$7,0,(IF(D1=Bron!$B$11,VLOOKUP('Overzicht BTA'!$C$3,'Capaciteiten &amp; forfaits'!$B$4:$H$69,6,FALSE)*0.75,VLOOKUP('Overzicht BTA'!$C$3,'Capaciteiten &amp; forfaits'!$B$4:$H$69,5,FALSE))-50)*'Overzicht BTA'!$D$36*10/6)</f>
        <v>0</v>
      </c>
      <c r="E24" s="84" t="s">
        <v>278</v>
      </c>
      <c r="F24" s="86">
        <f>IF(F1=Bron!$B$7,0,(IF(F1=Bron!$B$11,VLOOKUP('Overzicht BTA'!$C$3,'Capaciteiten &amp; forfaits'!$B$4:$H$69,6,FALSE)*0.75,VLOOKUP('Overzicht BTA'!$C$3,'Capaciteiten &amp; forfaits'!$B$4:$H$69,5,FALSE))-50)*'Overzicht BTA'!$D$36*10/6)</f>
        <v>0</v>
      </c>
      <c r="G24" s="84" t="s">
        <v>278</v>
      </c>
      <c r="H24" s="86">
        <f>IF(H1=Bron!$B$7,0,(IF(H1=Bron!$B$11,VLOOKUP('Overzicht BTA'!$C$3,'Capaciteiten &amp; forfaits'!$B$4:$H$69,6,FALSE)*0.75,VLOOKUP('Overzicht BTA'!$C$3,'Capaciteiten &amp; forfaits'!$B$4:$H$69,5,FALSE))-50)*'Overzicht BTA'!$D$36*10/6)</f>
        <v>0</v>
      </c>
      <c r="I24" s="84" t="s">
        <v>278</v>
      </c>
      <c r="J24" s="86">
        <f>MAX(H24,F24,D24,B24)</f>
        <v>0</v>
      </c>
      <c r="K24" s="84" t="s">
        <v>278</v>
      </c>
      <c r="N24" s="101"/>
    </row>
    <row r="25" spans="1:14" ht="13.8" x14ac:dyDescent="0.3">
      <c r="A25" s="277" t="s">
        <v>360</v>
      </c>
      <c r="B25" s="806" t="e">
        <f>B21/B24</f>
        <v>#DIV/0!</v>
      </c>
      <c r="C25" s="21"/>
      <c r="D25" s="806" t="e">
        <f>D21/D24</f>
        <v>#DIV/0!</v>
      </c>
      <c r="E25" s="21"/>
      <c r="F25" s="806" t="e">
        <f>F21/F24</f>
        <v>#DIV/0!</v>
      </c>
      <c r="G25" s="21"/>
      <c r="H25" s="806" t="e">
        <f>H21/H24</f>
        <v>#DIV/0!</v>
      </c>
      <c r="I25" s="21"/>
      <c r="J25" s="429" t="e">
        <f>J21/J24</f>
        <v>#DIV/0!</v>
      </c>
      <c r="K25" s="21"/>
    </row>
    <row r="26" spans="1:14" ht="13.8" x14ac:dyDescent="0.3">
      <c r="A26" s="276" t="s">
        <v>361</v>
      </c>
      <c r="B26" s="86">
        <f>B24+'Capaciteiten &amp; forfaits'!$H$5*'Overzicht BTA'!$D$36*10/6</f>
        <v>199.65166666666664</v>
      </c>
      <c r="C26" s="84" t="s">
        <v>278</v>
      </c>
      <c r="D26" s="86">
        <f>D24+'Capaciteiten &amp; forfaits'!$H$5*'Overzicht BTA'!$D$36*10/6</f>
        <v>199.65166666666664</v>
      </c>
      <c r="E26" s="84" t="s">
        <v>278</v>
      </c>
      <c r="F26" s="86">
        <f>F24+'Capaciteiten &amp; forfaits'!$H$5*'Overzicht BTA'!$D$36*10/6</f>
        <v>199.65166666666664</v>
      </c>
      <c r="G26" s="84" t="s">
        <v>278</v>
      </c>
      <c r="H26" s="86">
        <f>H24+'Capaciteiten &amp; forfaits'!$H$5*'Overzicht BTA'!$D$36*10/6</f>
        <v>199.65166666666664</v>
      </c>
      <c r="I26" s="84" t="s">
        <v>278</v>
      </c>
      <c r="J26" s="86">
        <f>J24+'Capaciteiten &amp; forfaits'!$H$5*'Overzicht BTA'!$D$36*10/6</f>
        <v>199.65166666666664</v>
      </c>
      <c r="K26" s="84" t="s">
        <v>278</v>
      </c>
    </row>
    <row r="27" spans="1:14" ht="13.8" x14ac:dyDescent="0.3">
      <c r="A27" s="277" t="s">
        <v>360</v>
      </c>
      <c r="B27" s="88" t="e">
        <f>B22/B26</f>
        <v>#DIV/0!</v>
      </c>
      <c r="C27" s="21"/>
      <c r="D27" s="88" t="e">
        <f>D22/D26</f>
        <v>#DIV/0!</v>
      </c>
      <c r="E27" s="21"/>
      <c r="F27" s="88" t="e">
        <f>F22/F26</f>
        <v>#DIV/0!</v>
      </c>
      <c r="G27" s="21"/>
      <c r="H27" s="88" t="e">
        <f>H22/H26</f>
        <v>#DIV/0!</v>
      </c>
      <c r="I27" s="21"/>
      <c r="J27" s="88" t="e">
        <f>J22/J26</f>
        <v>#DIV/0!</v>
      </c>
      <c r="K27" s="21"/>
    </row>
    <row r="28" spans="1:14" ht="13.8" x14ac:dyDescent="0.3">
      <c r="A28" s="276" t="s">
        <v>362</v>
      </c>
      <c r="B28" s="86">
        <f>'Capaciteiten &amp; forfaits'!$H$5*'Overzicht BTA'!$D$36*10/6</f>
        <v>199.65166666666664</v>
      </c>
      <c r="C28" s="84" t="s">
        <v>278</v>
      </c>
      <c r="D28" s="86">
        <f>'Capaciteiten &amp; forfaits'!$H$5*'Overzicht BTA'!$D$36*10/6</f>
        <v>199.65166666666664</v>
      </c>
      <c r="E28" s="84" t="s">
        <v>278</v>
      </c>
      <c r="F28" s="86">
        <f>'Capaciteiten &amp; forfaits'!$H$5*'Overzicht BTA'!$D$36*10/6</f>
        <v>199.65166666666664</v>
      </c>
      <c r="G28" s="84" t="s">
        <v>278</v>
      </c>
      <c r="H28" s="86">
        <f>'Capaciteiten &amp; forfaits'!$H$5*'Overzicht BTA'!$D$36*10/6</f>
        <v>199.65166666666664</v>
      </c>
      <c r="I28" s="84" t="s">
        <v>278</v>
      </c>
      <c r="J28" s="86">
        <f>'Capaciteiten &amp; forfaits'!$H$5*'Overzicht BTA'!$D$36*10/6</f>
        <v>199.65166666666664</v>
      </c>
      <c r="K28" s="84" t="s">
        <v>278</v>
      </c>
    </row>
    <row r="29" spans="1:14" ht="13.8" x14ac:dyDescent="0.3">
      <c r="A29" s="277" t="s">
        <v>360</v>
      </c>
      <c r="B29" s="88" t="e">
        <f>B23/B28</f>
        <v>#DIV/0!</v>
      </c>
      <c r="C29" s="21"/>
      <c r="D29" s="88" t="e">
        <f>D23/D28</f>
        <v>#DIV/0!</v>
      </c>
      <c r="E29" s="21"/>
      <c r="F29" s="88" t="e">
        <f>F23/F28</f>
        <v>#DIV/0!</v>
      </c>
      <c r="G29" s="21"/>
      <c r="H29" s="88" t="e">
        <f>H23/H28</f>
        <v>#DIV/0!</v>
      </c>
      <c r="I29" s="21"/>
      <c r="J29" s="88" t="e">
        <f>J23/J28</f>
        <v>#DIV/0!</v>
      </c>
      <c r="K29" s="21"/>
    </row>
    <row r="30" spans="1:14" ht="13.8" x14ac:dyDescent="0.3">
      <c r="A30" s="142"/>
      <c r="B30" s="252"/>
      <c r="C30" s="18"/>
      <c r="D30" s="252"/>
      <c r="E30" s="18"/>
      <c r="F30" s="252"/>
      <c r="G30" s="18"/>
      <c r="H30" s="252"/>
      <c r="I30" s="18"/>
      <c r="J30" s="252"/>
      <c r="K30" s="18"/>
    </row>
    <row r="31" spans="1:14" ht="13.8" x14ac:dyDescent="0.3">
      <c r="A31" s="509" t="s">
        <v>322</v>
      </c>
      <c r="B31" s="252"/>
      <c r="C31" s="18"/>
      <c r="D31" s="252"/>
      <c r="E31" s="18"/>
      <c r="F31" s="252"/>
      <c r="G31" s="18"/>
      <c r="H31" s="252"/>
      <c r="I31" s="18"/>
      <c r="J31" s="252"/>
      <c r="K31" s="18"/>
    </row>
    <row r="32" spans="1:14" ht="13.8" x14ac:dyDescent="0.3">
      <c r="A32" s="142" t="s">
        <v>363</v>
      </c>
      <c r="B32" s="254">
        <f>IFERROR(IF(AND(ISNUMBER(MATCH(Bron!$B$10,'analyse bij belofte 2'!$B$1:$H$1,0)),ISNUMBER(MATCH(Bron!$B$11,'analyse bij belofte 2'!$B$1:$H$1,0))),IF(B1=Bron!$B$10,samen!$G$66*(samen!$H$66-50)*samen!$I$66,samen!$K$57),IF(B1=Bron!$B$8,'NB 21%'!$G$37*('NB 21%'!$H$37-50)*'NB 21%'!$I$37,IF(B1=Bron!$B$9,'NB 6-12-21%'!$G$48*('NB 6-12-21%'!$H$48-50)*'NB 6-12-21%'!$I$48+'NB 6-12-21%'!$G$56*('NB 6-12-21%'!$H$56-50)*'NB 6-12-21%'!$I$56,IF(B1=Bron!$B$10,UITB!$G$49*(UITB!$H$49-50)*UITB!$I$49,IF(B1=Bron!$B$11,VERB!$K$56,IF(B1=Bron!$B$12,VERB!$K$56,IF(B1=Bron!$B$13,'NB 21% light'!$G$50*('NB 21% light'!$H$50-50)*'NB 21% light'!$I$50,IF(B1=Bron!$B$14,'NB 6-12-21% light'!$G$47*('NB 6-12-21% light'!$H$47-50)*'NB 6-12-21% light'!$I$47+'NB 6-12-21% light'!$G$55*('NB 6-12-21% light'!$H$55-50)*'NB 6-12-21% light'!$I$55,IF(B1=Bron!$B$16,'AK+VERB'!$K$72,0))))))))),0)</f>
        <v>0</v>
      </c>
      <c r="C32" s="18"/>
      <c r="D32" s="254">
        <f>IFERROR(IF(AND(ISNUMBER(MATCH(Bron!$B$10,'analyse bij belofte 2'!$B$1:$H$1,0)),ISNUMBER(MATCH(Bron!$B$11,'analyse bij belofte 2'!$B$1:$H$1,0))),IF(D1=Bron!$B$10,samen!$G$66*(samen!$H$66-50)*samen!$I$66,samen!$K$57),IF(D1=Bron!$B$8,'NB 21%'!$G$37*('NB 21%'!$H$37-50)*'NB 21%'!$I$37,IF(D1=Bron!$B$9,'NB 6-12-21%'!$G$48*('NB 6-12-21%'!$H$48-50)*'NB 6-12-21%'!$I$48+'NB 6-12-21%'!$G$56*('NB 6-12-21%'!$H$56-50)*'NB 6-12-21%'!$I$56,IF(D1=Bron!$B$10,UITB!$G$49*(UITB!$H$49-50)*UITB!$I$49,IF(D1=Bron!$B$11,VERB!$K$56,IF(D1=Bron!$B$12,VERB!$K$56,IF(D1=Bron!$B$13,'NB 21% light'!$G$50*('NB 21% light'!$H$50-50)*'NB 21% light'!$I$50,IF(D1=Bron!$B$14,'NB 6-12-21% light'!$G$47*('NB 6-12-21% light'!$H$47-50)*'NB 6-12-21% light'!$I$47+'NB 6-12-21% light'!$G$55*('NB 6-12-21% light'!$H$55-50)*'NB 6-12-21% light'!$I$55,IF(D1=Bron!$B$16,'AK+VERB'!$K$72,0))))))))),0)</f>
        <v>0</v>
      </c>
      <c r="E32" s="51"/>
      <c r="F32" s="254">
        <f>IFERROR(IF(AND(ISNUMBER(MATCH(Bron!$B$10,'analyse bij belofte 2'!$B$1:$H$1,0)),ISNUMBER(MATCH(Bron!$B$11,'analyse bij belofte 2'!$B$1:$H$1,0))),IF(F1=Bron!$B$10,samen!$G$66*(samen!$H$66-50)*samen!$I$66,samen!$K$57),IF(F1=Bron!$B$8,'NB 21%'!$G$37*('NB 21%'!$H$37-50)*'NB 21%'!$I$37,IF(F1=Bron!$B$9,'NB 6-12-21%'!$G$48*('NB 6-12-21%'!$H$48-50)*'NB 6-12-21%'!$I$48+'NB 6-12-21%'!$G$56*('NB 6-12-21%'!$H$56-50)*'NB 6-12-21%'!$I$56,IF(F1=Bron!$B$10,UITB!$G$49*(UITB!$H$49-50)*UITB!$I$49,IF(F1=Bron!$B$11,VERB!$K$56,IF(F1=Bron!$B$12,VERB!$K$56,IF(F1=Bron!$B$13,'NB 21% light'!$G$50*('NB 21% light'!$H$50-50)*'NB 21% light'!$I$50,IF(F1=Bron!$B$14,'NB 6-12-21% light'!$G$47*('NB 6-12-21% light'!$H$47-50)*'NB 6-12-21% light'!$I$47+'NB 6-12-21% light'!$G$55*('NB 6-12-21% light'!$H$55-50)*'NB 6-12-21% light'!$I$55,IF(F1=Bron!$B$16,'AK+VERB'!$K$72,0))))))))),0)</f>
        <v>0</v>
      </c>
      <c r="G32" s="51"/>
      <c r="H32" s="254">
        <f>IFERROR(IF(AND(ISNUMBER(MATCH(Bron!$B$10,'analyse bij belofte 2'!$B$1:$H$1,0)),ISNUMBER(MATCH(Bron!$B$11,'analyse bij belofte 2'!$B$1:$H$1,0))),IF(H1=Bron!$B$10,samen!$G$66*(samen!$H$66-50)*samen!$I$66,samen!$K$57),IF(H1=Bron!$B$8,'NB 21%'!$G$37*('NB 21%'!$H$37-50)*'NB 21%'!$I$37,IF(H1=Bron!$B$9,'NB 6-12-21%'!$G$48*('NB 6-12-21%'!$H$48-50)*'NB 6-12-21%'!$I$48+'NB 6-12-21%'!$G$56*('NB 6-12-21%'!$H$56-50)*'NB 6-12-21%'!$I$56,IF(H1=Bron!$B$10,UITB!$G$49*(UITB!$H$49-50)*UITB!$I$49,IF(H1=Bron!$B$11,VERB!$K$56,IF(H1=Bron!$B$12,VERB!$K$56,IF(H1=Bron!$B$13,'NB 21% light'!$G$50*('NB 21% light'!$H$50-50)*'NB 21% light'!$I$50,IF(H1=Bron!$B$14,'NB 6-12-21% light'!$G$47*('NB 6-12-21% light'!$H$47-50)*'NB 6-12-21% light'!$I$47+'NB 6-12-21% light'!$G$55*('NB 6-12-21% light'!$H$55-50)*'NB 6-12-21% light'!$I$55,IF(H1=Bron!$B$16,'AK+VERB'!$K$72,0))))))))),0)</f>
        <v>0</v>
      </c>
      <c r="I32" s="51"/>
      <c r="J32" s="255">
        <f>H32+F32+D32+B32</f>
        <v>0</v>
      </c>
      <c r="K32" s="18"/>
    </row>
    <row r="33" spans="1:12" ht="13.8" x14ac:dyDescent="0.3">
      <c r="A33" s="142" t="s">
        <v>364</v>
      </c>
      <c r="B33" s="816">
        <f>IFERROR(IF(AND(ISNUMBER(MATCH(Bron!$B$10,'analyse bij belofte 1'!$B$1:$H$1,0)),ISNUMBER(MATCH(Bron!$B$11,'analyse bij belofte 1'!$B$1:$H$1,0))),IF(B1=Bron!$B$10,samen!$K$118+samen!$K$128*samen!$G$114/samen!$G$122,samen!$K$109+samen!$K$128*samen!$G$102/samen!$G$122),IF(B1=Bron!$B$9,'NB 6-12-21%'!$K$62,IF(B1=Bron!$B$10,UITB!$K$76,IF(OR(B1=Bron!$B$11,B1=Bron!$B$12),VERB!$K$83,IF(B1=Bron!$B$8,'NB 21%'!$J$56,IF(B1=Bron!$B$13,'NB 21% light'!$J$54,IF(B1=Bron!$B$14,'NB 6-12-21% light'!$K$61,IF(B1=Bron!$B$16,'AK+VERB'!$K$75,0)))))))),0)</f>
        <v>0</v>
      </c>
      <c r="C33" s="18"/>
      <c r="D33" s="816">
        <f>IFERROR(IF(AND(ISNUMBER(MATCH(Bron!$B$10,'analyse bij belofte 1'!$B$1:$H$1,0)),ISNUMBER(MATCH(Bron!$B$11,'analyse bij belofte 1'!$B$1:$H$1,0))),IF(D1=Bron!$B$10,samen!$K$118+samen!$K$128*samen!$G$114/samen!$G$122,samen!$K$109+samen!$K$128*samen!$G$102/samen!$G$122),IF(D1=Bron!$B$9,'NB 6-12-21%'!$K$62,IF(D1=Bron!$B$10,UITB!$K$76,IF(OR(D1=Bron!$B$11,D1=Bron!$B$12),VERB!$K$83,IF(D1=Bron!$B$8,'NB 21%'!$J$56,IF(D1=Bron!$B$13,'NB 21% light'!$J$54,IF(D1=Bron!$B$14,'NB 6-12-21% light'!$K$61,IF(D1=Bron!$B$16,'AK+VERB'!$K$75,0)))))))),0)</f>
        <v>0</v>
      </c>
      <c r="E33" s="51"/>
      <c r="F33" s="816">
        <f>IFERROR(IF(AND(ISNUMBER(MATCH(Bron!$B$10,'analyse bij belofte 1'!$B$1:$H$1,0)),ISNUMBER(MATCH(Bron!$B$11,'analyse bij belofte 1'!$B$1:$H$1,0))),IF(F1=Bron!$B$10,samen!$K$118+samen!$K$128*samen!$G$114/samen!$G$122,samen!$K$109+samen!$K$128*samen!$G$102/samen!$G$122),IF(F1=Bron!$B$9,'NB 6-12-21%'!$K$62,IF(F1=Bron!$B$10,UITB!$K$76,IF(OR(F1=Bron!$B$11,F1=Bron!$B$12),VERB!$K$83,IF(F1=Bron!$B$8,'NB 21%'!$J$56,IF(F1=Bron!$B$13,'NB 21% light'!$J$54,IF(F1=Bron!$B$14,'NB 6-12-21% light'!$K$61,IF(F1=Bron!$B$16,'AK+VERB'!$K$75,0)))))))),0)</f>
        <v>0</v>
      </c>
      <c r="G33" s="51"/>
      <c r="H33" s="816">
        <f>IFERROR(IF(AND(ISNUMBER(MATCH(Bron!$B$10,'analyse bij belofte 1'!$B$1:$H$1,0)),ISNUMBER(MATCH(Bron!$B$11,'analyse bij belofte 1'!$B$1:$H$1,0))),IF(H1=Bron!$B$10,samen!$K$118+samen!$K$128*samen!$G$114/samen!$G$122,samen!$K$109+samen!$K$128*samen!$G$102/samen!$G$122),IF(H1=Bron!$B$9,'NB 6-12-21%'!$K$62,IF(H1=Bron!$B$10,UITB!$K$76,IF(OR(H1=Bron!$B$11,H1=Bron!$B$12),VERB!$K$83,IF(H1=Bron!$B$8,'NB 21%'!$J$56,IF(H1=Bron!$B$13,'NB 21% light'!$J$54,IF(H1=Bron!$B$14,'NB 6-12-21% light'!$K$61,IF(H1=Bron!$B$16,'AK+VERB'!$K$75,0)))))))),0)</f>
        <v>0</v>
      </c>
      <c r="I33" s="51"/>
      <c r="J33" s="255">
        <f>H33+F33+D33+B33</f>
        <v>0</v>
      </c>
      <c r="K33" s="18"/>
    </row>
    <row r="34" spans="1:12" ht="13.8" x14ac:dyDescent="0.3">
      <c r="A34" s="142" t="s">
        <v>395</v>
      </c>
      <c r="B34" s="816">
        <f>IFERROR(IF(AND(ISNUMBER(MATCH(Bron!$B$10,$B$1:$H$1,0)),ISNUMBER(MATCH(Bron!$B$11,$B$1:$H$1,0))),IF(B1=Bron!$B$10,samen!$K$95*samen!$G$114/samen!$G$122,IF(B1=Bron!$B$11,samen!$K$95*samen!$G$102/samen!$G$122,0)),IF(B1=Bron!$B$9,'NB 6-12-21%'!$K$78,IF(B1=Bron!$B$10,UITB!$K$78,IF(OR(B1=Bron!$B$11,B1=Bron!$B$12),VERB!$K$85,IF(B1=Bron!$B$8,'NB 21%'!$J$58,IF(B1=Bron!$B$13,'NB 21% light'!$J$79,IF(B1=Bron!$B$14,'NB 6-12-21% light'!$K$77,IF(B1=Bron!$B$16,'AK+VERB'!$K$95,0)))))))),0)</f>
        <v>0</v>
      </c>
      <c r="C34" s="18"/>
      <c r="D34" s="816">
        <f>IFERROR(IF(AND(ISNUMBER(MATCH(Bron!$B$10,$B$1:$H$1,0)),ISNUMBER(MATCH(Bron!$B$11,$B$1:$H$1,0))),IF(D1=Bron!$B$10,samen!$K$95*samen!$G$114/samen!$G$122,IF(D1=Bron!$B$11,samen!$K$95*samen!$G$102/samen!$G$122,0)),IF(D1=Bron!$B$9,'NB 6-12-21%'!$K$78,IF(D1=Bron!$B$10,UITB!$K$78,IF(OR(D1=Bron!$B$11,D1=Bron!$B$12),VERB!$K$85,IF(D1=Bron!$B$8,'NB 21%'!$J$58,IF(D1=Bron!$B$13,'NB 21% light'!$J$79,IF(D1=Bron!$B$14,'NB 6-12-21% light'!$K$77,IF(D1=Bron!$B$16,'AK+VERB'!$K$95,0)))))))),0)</f>
        <v>0</v>
      </c>
      <c r="E34" s="51"/>
      <c r="F34" s="816">
        <f>IFERROR(IF(AND(ISNUMBER(MATCH(Bron!$B$10,$B$1:$H$1,0)),ISNUMBER(MATCH(Bron!$B$11,$B$1:$H$1,0))),IF(F1=Bron!$B$10,samen!$K$95*samen!$G$114/samen!$G$122,IF(F1=Bron!$B$11,samen!$K$95*samen!$G$102/samen!$G$122,0)),IF(F1=Bron!$B$9,'NB 6-12-21%'!$K$78,IF(F1=Bron!$B$10,UITB!$K$78,IF(OR(F1=Bron!$B$11,F1=Bron!$B$12),VERB!$K$85,IF(F1=Bron!$B$8,'NB 21%'!$J$58,IF(F1=Bron!$B$13,'NB 21% light'!$J$79,IF(F1=Bron!$B$14,'NB 6-12-21% light'!$K$77,IF(F1=Bron!$B$16,'AK+VERB'!$K$95,0)))))))),0)</f>
        <v>0</v>
      </c>
      <c r="G34" s="51"/>
      <c r="H34" s="816">
        <f>IFERROR(IF(AND(ISNUMBER(MATCH(Bron!$B$10,$B$1:$H$1,0)),ISNUMBER(MATCH(Bron!$B$11,$B$1:$H$1,0))),IF(H1=Bron!$B$10,samen!$K$95*samen!$G$114/samen!$G$122,IF(H1=Bron!$B$11,samen!$K$95*samen!$G$102/samen!$G$122,0)),IF(H1=Bron!$B$9,'NB 6-12-21%'!$K$78,IF(H1=Bron!$B$10,UITB!$K$78,IF(OR(H1=Bron!$B$11,H1=Bron!$B$12),VERB!$K$85,IF(H1=Bron!$B$8,'NB 21%'!$J$58,IF(H1=Bron!$B$13,'NB 21% light'!$J$79,IF(H1=Bron!$B$14,'NB 6-12-21% light'!$K$77,IF(H1=Bron!$B$16,'AK+VERB'!$K$95,0)))))))),0)</f>
        <v>0</v>
      </c>
      <c r="I34" s="51"/>
      <c r="J34" s="255"/>
      <c r="K34" s="18"/>
      <c r="L34" s="59">
        <f>IF(AND(ISNUMBER(MATCH(Bron!$B$10,'analyse bij belofte 2'!$B$1:$H$1,0)),ISNUMBER(MATCH(Bron!$B$11,'analyse bij belofte 2'!$B$1:$H$1,0))),IF(D1=Bron!$B$10,samen!$G$66*(samen!$H$66-50)*samen!$I$66,samen!$K$57),0)</f>
        <v>0</v>
      </c>
    </row>
    <row r="35" spans="1:12" ht="13.8" x14ac:dyDescent="0.3">
      <c r="A35" s="142" t="s">
        <v>365</v>
      </c>
      <c r="B35" s="254" t="str">
        <f>IF(B1=Bron!$B$15,AKzondVERB!$K$7,IF(B1=Bron!$B$16,'AK+VERB'!$K$62,""))</f>
        <v/>
      </c>
      <c r="C35" s="18"/>
      <c r="D35" s="254" t="str">
        <f>IF(D1=Bron!$B$15,AKzondVERB!$K$7,IF(D1=Bron!$B$16,'AK+VERB'!$K$62,""))</f>
        <v/>
      </c>
      <c r="E35" s="51"/>
      <c r="F35" s="254" t="str">
        <f>IF(F1=Bron!$B$15,AKzondVERB!$K$7,IF(F1=Bron!$B$16,'AK+VERB'!$K$62,""))</f>
        <v/>
      </c>
      <c r="G35" s="51"/>
      <c r="H35" s="254" t="str">
        <f>IF(H1=Bron!$B$15,AKzondVERB!$K$7,IF(H1=Bron!$B$16,'AK+VERB'!$K$62,""))</f>
        <v/>
      </c>
      <c r="I35" s="51"/>
      <c r="J35" s="255">
        <f>IF(ISNUMBER(H35),H35,0)+IF(ISNUMBER(F35),F35,0)+IF(ISNUMBER(D35),D35,0)+IF(ISNUMBER(B35),B35,0)</f>
        <v>0</v>
      </c>
      <c r="K35" s="18"/>
    </row>
    <row r="36" spans="1:12" ht="13.8" x14ac:dyDescent="0.3">
      <c r="A36" s="142" t="s">
        <v>366</v>
      </c>
      <c r="B36" s="254" t="str">
        <f>IF(B1=Bron!$B$15,AKzondVERB!$K$9,IF(B1=Bron!$B$16,'AK+VERB'!$K$69+'AK+VERB'!$K$70,""))</f>
        <v/>
      </c>
      <c r="C36" s="18"/>
      <c r="D36" s="254" t="str">
        <f>IF(D1=Bron!$B$15,AKzondVERB!$K$9,IF(D1=Bron!$B$16,'AK+VERB'!$K$69+'AK+VERB'!$K$70,""))</f>
        <v/>
      </c>
      <c r="E36" s="51"/>
      <c r="F36" s="254" t="str">
        <f>IF(F1=Bron!$B$15,AKzondVERB!$K$9,IF(F1=Bron!$B$16,'AK+VERB'!$K$69+'AK+VERB'!$K$70,""))</f>
        <v/>
      </c>
      <c r="G36" s="51"/>
      <c r="H36" s="254" t="str">
        <f>IF(H1=Bron!$B$15,AKzondVERB!$K$9,IF(H1=Bron!$B$16,'AK+VERB'!$K$69+'AK+VERB'!$K$70,""))</f>
        <v/>
      </c>
      <c r="I36" s="51"/>
      <c r="J36" s="255">
        <f>IF(ISNUMBER(H36),H36,0)+IF(ISNUMBER(F36),F36,0)+IF(ISNUMBER(D36),D36,0)+IF(ISNUMBER(B36),B36,0)</f>
        <v>0</v>
      </c>
      <c r="K36" s="18"/>
    </row>
    <row r="37" spans="1:12" ht="13.8" x14ac:dyDescent="0.3">
      <c r="A37" s="509" t="s">
        <v>367</v>
      </c>
      <c r="B37" s="254"/>
      <c r="C37" s="18"/>
      <c r="D37" s="254"/>
      <c r="E37" s="51"/>
      <c r="F37" s="254"/>
      <c r="G37" s="51"/>
      <c r="H37" s="254"/>
      <c r="I37" s="51"/>
      <c r="J37" s="255"/>
      <c r="K37" s="18"/>
    </row>
    <row r="38" spans="1:12" ht="13.8" x14ac:dyDescent="0.3">
      <c r="A38" s="142" t="s">
        <v>368</v>
      </c>
      <c r="B38" s="254">
        <f>IFERROR(IF(AND(ISNUMBER(MATCH(Bron!$B$10,'analyse bij belofte 2'!$B$1:$H$1,0)),ISNUMBER(MATCH(Bron!$B$11,'analyse bij belofte 2'!$B$1:$H$1,0))),IF(B1=Bron!$B$10,samen!K102*(samen!$H$102-50)*samen!$I$102,IF(B1=Bron!$B$11,samen!$K$105,0)),IF(B1=Bron!$B$8,'NB 21%'!$G$72*('NB 21%'!$H$72-50)*'NB 21%'!$I$72,IF(B1=Bron!$B$9,'NB 6-12-21%'!$G$92*('NB 6-12-21%'!$H$92-50)*'NB 6-12-21%'!$I$92+'NB 6-12-21%'!$G$100*('NB 6-12-21%'!$H$100-50)*'NB 6-12-21%'!$I$100,IF(B1=Bron!$B$10,UITB!$G$93*(UITB!$H$93-50)*UITB!$I$93,IF(B1=Bron!$B$11,VERB!$K$104,IF(B1=Bron!$B$12,VERB!$K$104,IF(B1=Bron!$B$13,'NB 21% light'!$G$94*('NB 21% light'!$H$94-50)*'NB 21% light'!$I$94,IF(B1=Bron!$B$14,'NB 6-12-21% light'!$G$91*('NB 6-12-21% light'!$H$91-50)*'NB 6-12-21% light'!$I$91+'NB 6-12-21% light'!$G$99*('NB 6-12-21% light'!$H$99-50)*'NB 6-12-21% light'!$I$99,IF(B1=Bron!$B$16,'AK+VERB'!$K$128,0))))))))),0)</f>
        <v>0</v>
      </c>
      <c r="C38" s="18"/>
      <c r="D38" s="254">
        <f>IFERROR(IF(AND(ISNUMBER(MATCH(Bron!$B$10,'analyse bij belofte 2'!$B$1:$H$1,0)),ISNUMBER(MATCH(Bron!$B$11,'analyse bij belofte 2'!$B$1:$H$1,0))),IF(D1=Bron!$B$10,samen!M102*(samen!$H$102-50)*samen!$I$102,IF(D1=Bron!$B$11,samen!$K$105,0)),IF(D1=Bron!$B$8,'NB 21%'!$G$72*('NB 21%'!$H$72-50)*'NB 21%'!$I$72,IF(D1=Bron!$B$9,'NB 6-12-21%'!$G$92*('NB 6-12-21%'!$H$92-50)*'NB 6-12-21%'!$I$92+'NB 6-12-21%'!$G$100*('NB 6-12-21%'!$H$100-50)*'NB 6-12-21%'!$I$100,IF(D1=Bron!$B$10,UITB!$G$93*(UITB!$H$93-50)*UITB!$I$93,IF(D1=Bron!$B$11,VERB!$K$104,IF(D1=Bron!$B$12,VERB!$K$104,IF(D1=Bron!$B$13,'NB 21% light'!$G$94*('NB 21% light'!$H$94-50)*'NB 21% light'!$I$94,IF(D1=Bron!$B$14,'NB 6-12-21% light'!$G$91*('NB 6-12-21% light'!$H$91-50)*'NB 6-12-21% light'!$I$91+'NB 6-12-21% light'!$G$99*('NB 6-12-21% light'!$H$99-50)*'NB 6-12-21% light'!$I$99,IF(D1=Bron!$B$16,'AK+VERB'!$K$128,0))))))))),0)</f>
        <v>0</v>
      </c>
      <c r="E38" s="51"/>
      <c r="F38" s="254">
        <f>IFERROR(IF(AND(ISNUMBER(MATCH(Bron!$B$10,'analyse bij belofte 2'!$B$1:$H$1,0)),ISNUMBER(MATCH(Bron!$B$11,'analyse bij belofte 2'!$B$1:$H$1,0))),IF(F1=Bron!$B$10,samen!O102*(samen!$H$102-50)*samen!$I$102,IF(F1=Bron!$B$11,samen!$K$105,0)),IF(F1=Bron!$B$8,'NB 21%'!$G$72*('NB 21%'!$H$72-50)*'NB 21%'!$I$72,IF(F1=Bron!$B$9,'NB 6-12-21%'!$G$92*('NB 6-12-21%'!$H$92-50)*'NB 6-12-21%'!$I$92+'NB 6-12-21%'!$G$100*('NB 6-12-21%'!$H$100-50)*'NB 6-12-21%'!$I$100,IF(F1=Bron!$B$10,UITB!$G$93*(UITB!$H$93-50)*UITB!$I$93,IF(F1=Bron!$B$11,VERB!$K$104,IF(F1=Bron!$B$12,VERB!$K$104,IF(F1=Bron!$B$13,'NB 21% light'!$G$94*('NB 21% light'!$H$94-50)*'NB 21% light'!$I$94,IF(F1=Bron!$B$14,'NB 6-12-21% light'!$G$91*('NB 6-12-21% light'!$H$91-50)*'NB 6-12-21% light'!$I$91+'NB 6-12-21% light'!$G$99*('NB 6-12-21% light'!$H$99-50)*'NB 6-12-21% light'!$I$99,IF(F1=Bron!$B$16,'AK+VERB'!$K$128,0))))))))),0)</f>
        <v>0</v>
      </c>
      <c r="G38" s="51"/>
      <c r="H38" s="254">
        <f>IFERROR(IF(AND(ISNUMBER(MATCH(Bron!$B$10,'analyse bij belofte 2'!$B$1:$H$1,0)),ISNUMBER(MATCH(Bron!$B$11,'analyse bij belofte 2'!$B$1:$H$1,0))),IF(H1=Bron!$B$10,samen!Q102*(samen!$H$102-50)*samen!$I$102,IF(H1=Bron!$B$11,samen!$K$105,0)),IF(H1=Bron!$B$8,'NB 21%'!$G$72*('NB 21%'!$H$72-50)*'NB 21%'!$I$72,IF(H1=Bron!$B$9,'NB 6-12-21%'!$G$92*('NB 6-12-21%'!$H$92-50)*'NB 6-12-21%'!$I$92+'NB 6-12-21%'!$G$100*('NB 6-12-21%'!$H$100-50)*'NB 6-12-21%'!$I$100,IF(H1=Bron!$B$10,UITB!$G$93*(UITB!$H$93-50)*UITB!$I$93,IF(H1=Bron!$B$11,VERB!$K$104,IF(H1=Bron!$B$12,VERB!$K$104,IF(H1=Bron!$B$13,'NB 21% light'!$G$94*('NB 21% light'!$H$94-50)*'NB 21% light'!$I$94,IF(H1=Bron!$B$14,'NB 6-12-21% light'!$G$91*('NB 6-12-21% light'!$H$91-50)*'NB 6-12-21% light'!$I$91+'NB 6-12-21% light'!$G$99*('NB 6-12-21% light'!$H$99-50)*'NB 6-12-21% light'!$I$99,IF(H1=Bron!$B$16,'AK+VERB'!$K$128,0))))))))),0)</f>
        <v>0</v>
      </c>
      <c r="I38" s="51"/>
      <c r="J38" s="255">
        <f t="shared" ref="J38:J39" si="0">H38+F38+D38+B38</f>
        <v>0</v>
      </c>
      <c r="K38" s="18"/>
    </row>
    <row r="39" spans="1:12" ht="13.8" x14ac:dyDescent="0.3">
      <c r="A39" s="142" t="s">
        <v>369</v>
      </c>
      <c r="B39" s="254">
        <f>IFERROR(IF(AND(ISNUMBER(MATCH(Bron!$B$10,'analyse bij belofte 2'!$B$1:$H$1,0)),ISNUMBER(MATCH(Bron!$B$11,'analyse bij belofte 2'!$B$1:$H$1,0))),IF(B1=Bron!$B$10,samen!$K$118+samen!$K$141*samen!$G$114/samen!$G$122,IF(B1=Bron!$B$11,samen!$K$109+samen!$K$128*samen!$G$102/samen!$G$122,0)),IF(B1=Bron!$B$9,'NB 6-12-21%'!$K$62,IF(B1=Bron!$B$10,UITB!$K$76,IF(B1=Bron!$B$11,VERB!$K$83,IF(B1=Bron!$B$8,'NB 21%'!$J$41,IF(B1=Bron!$B$13,'NB 21% light'!$J$54,IF(B1=Bron!$B$14,'NB 6-12-21% light'!$K$61,IF(B1=Bron!$B$16,'AK+VERB'!$K$79,0)))))))),0)</f>
        <v>0</v>
      </c>
      <c r="C39" s="18"/>
      <c r="D39" s="254">
        <f>IFERROR(IF(AND(ISNUMBER(MATCH(Bron!$B$10,'analyse bij belofte 2'!$B$1:$H$1,0)),ISNUMBER(MATCH(Bron!$B$11,'analyse bij belofte 2'!$B$1:$H$1,0))),IF(D1=Bron!$B$10,samen!$K$118+samen!$K$141*samen!$G$114/samen!$G$122,IF(D1=Bron!$B$11,samen!$K$109+samen!$K$128*samen!$G$102/samen!$G$122,0)),IF(D1=Bron!$B$9,'NB 6-12-21%'!$K$62,IF(D1=Bron!$B$10,UITB!$K$76,IF(D1=Bron!$B$11,VERB!$K$83,IF(D1=Bron!$B$8,'NB 21%'!$J$41,IF(D1=Bron!$B$13,'NB 21% light'!$J$54,IF(D1=Bron!$B$14,'NB 6-12-21% light'!$K$61,IF(D1=Bron!$B$16,'AK+VERB'!$K$79,0)))))))),0)</f>
        <v>0</v>
      </c>
      <c r="E39" s="51"/>
      <c r="F39" s="254">
        <f>IFERROR(IF(AND(ISNUMBER(MATCH(Bron!$B$10,'analyse bij belofte 2'!$B$1:$H$1,0)),ISNUMBER(MATCH(Bron!$B$11,'analyse bij belofte 2'!$B$1:$H$1,0))),IF(F1=Bron!$B$10,samen!$K$118+samen!$K$141*samen!$G$114/samen!$G$122,IF(F1=Bron!$B$11,samen!$K$109+samen!$K$128*samen!$G$102/samen!$G$122,0)),IF(F1=Bron!$B$9,'NB 6-12-21%'!$K$62,IF(F1=Bron!$B$10,UITB!$K$76,IF(F1=Bron!$B$11,VERB!$K$83,IF(F1=Bron!$B$8,'NB 21%'!$J$41,IF(F1=Bron!$B$13,'NB 21% light'!$J$54,IF(F1=Bron!$B$14,'NB 6-12-21% light'!$K$61,IF(F1=Bron!$B$16,'AK+VERB'!$K$79,0)))))))),0)</f>
        <v>0</v>
      </c>
      <c r="G39" s="51"/>
      <c r="H39" s="254">
        <f>IFERROR(IF(AND(ISNUMBER(MATCH(Bron!$B$10,'analyse bij belofte 2'!$B$1:$H$1,0)),ISNUMBER(MATCH(Bron!$B$11,'analyse bij belofte 2'!$B$1:$H$1,0))),IF(H1=Bron!$B$10,samen!$K$118+samen!$K$141*samen!$G$114/samen!$G$122,IF(H1=Bron!$B$11,samen!$K$109+samen!$K$128*samen!$G$102/samen!$G$122,0)),IF(H1=Bron!$B$9,'NB 6-12-21%'!$K$62,IF(H1=Bron!$B$10,UITB!$K$76,IF(H1=Bron!$B$11,VERB!$K$83,IF(H1=Bron!$B$8,'NB 21%'!$J$41,IF(H1=Bron!$B$13,'NB 21% light'!$J$54,IF(H1=Bron!$B$14,'NB 6-12-21% light'!$K$61,IF(H1=Bron!$B$16,'AK+VERB'!$K$79,0)))))))),0)</f>
        <v>0</v>
      </c>
      <c r="I39" s="51"/>
      <c r="J39" s="255">
        <f t="shared" si="0"/>
        <v>0</v>
      </c>
      <c r="K39" s="18"/>
    </row>
    <row r="40" spans="1:12" ht="13.8" x14ac:dyDescent="0.3">
      <c r="A40" s="509" t="s">
        <v>370</v>
      </c>
      <c r="B40" s="254"/>
      <c r="C40" s="18"/>
      <c r="D40" s="254"/>
      <c r="E40" s="51"/>
      <c r="F40" s="254"/>
      <c r="G40" s="51"/>
      <c r="H40" s="254"/>
      <c r="I40" s="51"/>
      <c r="J40" s="255"/>
      <c r="K40" s="18"/>
    </row>
    <row r="41" spans="1:12" ht="13.8" x14ac:dyDescent="0.3">
      <c r="A41" s="142" t="s">
        <v>363</v>
      </c>
      <c r="B41" s="254">
        <f>IFERROR(IF(AND(ISNUMBER(MATCH(Bron!$B$10,'analyse bij belofte 2'!$B$1:$H$1,0)),ISNUMBER(MATCH(Bron!$B$11,'analyse bij belofte 2'!$B$1:$H$1,0))),IF(B1=Bron!$B$10,samen!$G$17*(samen!$H$17-50)*samen!$I$17,samen!K8),IF(B1=Bron!$B$8,'NB 21%'!$G$4*('NB 21%'!$BH$4-50)*'NB 21%'!$I$4,IF(B1=Bron!$B$9,'NB 6-12-21%'!$G$4*('NB 6-12-21%'!$ZH$4-50)*'NB 6-12-21%'!$I$4+'NB 6-12-21%'!$G$12*('NB 6-12-21%'!$H$12-50)*'NB 6-12-21%'!$I$12,IF(B1=Bron!$B$10,UITB!$G$5*(UITB!$H$5-50)*UITB!$I$5,IF(B1=Bron!$B$11,VERB!$K$8,IF(B1=Bron!$B$12,VERB!$K$8,IF(B1=Bron!$B$13,'NB 21% light'!$G$5*('NB 21% light'!$H$5-50)*'NB 21% light'!$I$5,IF(B1=Bron!$B$14,'NB 6-12-21% light'!$G$4*('NB 6-12-21% light'!$H$4-50)*'NB 6-12-21% light'!$I$4+'NB 6-12-21% light'!$G$12*('NB 6-12-21% light'!$H$12-50)*'NB 6-12-21% light'!$I$12,IF(B1=Bron!$B$16,'AK+VERB'!$K$8,0))))))))),0)</f>
        <v>0</v>
      </c>
      <c r="C41" s="18"/>
      <c r="D41" s="254">
        <f>IFERROR(IF(AND(ISNUMBER(MATCH(Bron!$B$10,'analyse bij belofte 2'!$B$1:$H$1,0)),ISNUMBER(MATCH(Bron!$B$11,'analyse bij belofte 2'!$B$1:$H$1,0))),IF(D1=Bron!$B$10,samen!$G$17*(samen!$H$17-50)*samen!$I$17,samen!M8),IF(D1=Bron!$B$8,'NB 21%'!$G$4*('NB 21%'!$BH$4-50)*'NB 21%'!$I$4,IF(D1=Bron!$B$9,'NB 6-12-21%'!$G$4*('NB 6-12-21%'!$ZH$4-50)*'NB 6-12-21%'!$I$4+'NB 6-12-21%'!$G$12*('NB 6-12-21%'!$H$12-50)*'NB 6-12-21%'!$I$12,IF(D1=Bron!$B$10,UITB!$G$5*(UITB!$H$5-50)*UITB!$I$5,IF(D1=Bron!$B$11,VERB!$K$8,IF(D1=Bron!$B$12,VERB!$K$8,IF(D1=Bron!$B$13,'NB 21% light'!$G$5*('NB 21% light'!$H$5-50)*'NB 21% light'!$I$5,IF(D1=Bron!$B$14,'NB 6-12-21% light'!$G$4*('NB 6-12-21% light'!$H$4-50)*'NB 6-12-21% light'!$I$4+'NB 6-12-21% light'!$G$12*('NB 6-12-21% light'!$H$12-50)*'NB 6-12-21% light'!$I$12,IF(D1=Bron!$B$16,'AK+VERB'!$K$8,0))))))))),0)</f>
        <v>0</v>
      </c>
      <c r="E41" s="51"/>
      <c r="F41" s="254">
        <f>IFERROR(IF(AND(ISNUMBER(MATCH(Bron!$B$10,'analyse bij belofte 2'!$B$1:$H$1,0)),ISNUMBER(MATCH(Bron!$B$11,'analyse bij belofte 2'!$B$1:$H$1,0))),IF(F1=Bron!$B$10,samen!$G$17*(samen!$H$17-50)*samen!$I$17,samen!O8),IF(F1=Bron!$B$8,'NB 21%'!$G$4*('NB 21%'!$BH$4-50)*'NB 21%'!$I$4,IF(F1=Bron!$B$9,'NB 6-12-21%'!$G$4*('NB 6-12-21%'!$ZH$4-50)*'NB 6-12-21%'!$I$4+'NB 6-12-21%'!$G$12*('NB 6-12-21%'!$H$12-50)*'NB 6-12-21%'!$I$12,IF(F1=Bron!$B$10,UITB!$G$5*(UITB!$H$5-50)*UITB!$I$5,IF(F1=Bron!$B$11,VERB!$K$8,IF(F1=Bron!$B$12,VERB!$K$8,IF(F1=Bron!$B$13,'NB 21% light'!$G$5*('NB 21% light'!$H$5-50)*'NB 21% light'!$I$5,IF(F1=Bron!$B$14,'NB 6-12-21% light'!$G$4*('NB 6-12-21% light'!$H$4-50)*'NB 6-12-21% light'!$I$4+'NB 6-12-21% light'!$G$12*('NB 6-12-21% light'!$H$12-50)*'NB 6-12-21% light'!$I$12,IF(F1=Bron!$B$16,'AK+VERB'!$K$8,0))))))))),0)</f>
        <v>0</v>
      </c>
      <c r="G41" s="51"/>
      <c r="H41" s="254">
        <f>IFERROR(IF(AND(ISNUMBER(MATCH(Bron!$B$10,'analyse bij belofte 2'!$B$1:$H$1,0)),ISNUMBER(MATCH(Bron!$B$11,'analyse bij belofte 2'!$B$1:$H$1,0))),IF(H1=Bron!$B$10,samen!$G$17*(samen!$H$17-50)*samen!$I$17,samen!Q8),IF(H1=Bron!$B$8,'NB 21%'!$G$4*('NB 21%'!$BH$4-50)*'NB 21%'!$I$4,IF(H1=Bron!$B$9,'NB 6-12-21%'!$G$4*('NB 6-12-21%'!$ZH$4-50)*'NB 6-12-21%'!$I$4+'NB 6-12-21%'!$G$12*('NB 6-12-21%'!$H$12-50)*'NB 6-12-21%'!$I$12,IF(H1=Bron!$B$10,UITB!$G$5*(UITB!$H$5-50)*UITB!$I$5,IF(H1=Bron!$B$11,VERB!$K$8,IF(H1=Bron!$B$12,VERB!$K$8,IF(H1=Bron!$B$13,'NB 21% light'!$G$5*('NB 21% light'!$H$5-50)*'NB 21% light'!$I$5,IF(H1=Bron!$B$14,'NB 6-12-21% light'!$G$4*('NB 6-12-21% light'!$H$4-50)*'NB 6-12-21% light'!$I$4+'NB 6-12-21% light'!$G$12*('NB 6-12-21% light'!$H$12-50)*'NB 6-12-21% light'!$I$12,IF(H1=Bron!$B$16,'AK+VERB'!$K$8,0))))))))),0)</f>
        <v>0</v>
      </c>
      <c r="I41" s="51"/>
      <c r="J41" s="255">
        <f>H41+F41+D41+B41</f>
        <v>0</v>
      </c>
      <c r="K41" s="18"/>
    </row>
    <row r="42" spans="1:12" ht="13.8" x14ac:dyDescent="0.3">
      <c r="A42" s="142" t="s">
        <v>364</v>
      </c>
      <c r="B42" s="816">
        <f>IFERROR(IF(AND(ISNUMBER(MATCH(Bron!$B$10,'analyse bij belofte 1'!$B$1:$H$1,0)),ISNUMBER(MATCH(Bron!$B$11,'analyse bij belofte 1'!$B$1:$H$1,0))),IF(B1=Bron!$B$10,samen!$K$21+samen!$K$31*samen!$G$17/samen!$G$25,samen!$K$12+samen!$K$31*samen!$G$5/samen!$G$25),IF(B1=Bron!$B$9,'NB 6-12-21%'!$K$62,IF(B1=Bron!$B$10,UITB!$K$76,IF(OR(B1=Bron!$B$11,B1=Bron!B12),VERB!$K$35,IF(B1=Bron!$B$8,'NB 21%'!$J$21,IF(B1=Bron!$B$13,'NB 21% light'!$J$32,IF(B1=Bron!$B$14,'NB 6-12-21% light'!$K$31,IF(B1=Bron!$B$16,'AK+VERB'!$K$37,0)))))))),0)</f>
        <v>0</v>
      </c>
      <c r="C42" s="18"/>
      <c r="D42" s="816">
        <f>IFERROR(IF(AND(ISNUMBER(MATCH(Bron!$B$10,'analyse bij belofte 1'!$B$1:$H$1,0)),ISNUMBER(MATCH(Bron!$B$11,'analyse bij belofte 1'!$B$1:$H$1,0))),IF(D1=Bron!$B$10,samen!$K$21+samen!$K$31*samen!$G$17/samen!$G$25,samen!$K$12+samen!$K$31*samen!$G$5/samen!$G$25),IF(D1=Bron!$B$9,'NB 6-12-21%'!$K$62,IF(D1=Bron!$B$10,UITB!$K$76,IF(OR(D1=Bron!$B$11,D1=Bron!D12),VERB!$K$35,IF(D1=Bron!$B$8,'NB 21%'!$J$21,IF(D1=Bron!$B$13,'NB 21% light'!$J$32,IF(D1=Bron!$B$14,'NB 6-12-21% light'!$K$31,IF(D1=Bron!$B$16,'AK+VERB'!$K$37,0)))))))),0)</f>
        <v>0</v>
      </c>
      <c r="E42" s="51"/>
      <c r="F42" s="816">
        <f>IFERROR(IF(AND(ISNUMBER(MATCH(Bron!$B$10,'analyse bij belofte 1'!$B$1:$H$1,0)),ISNUMBER(MATCH(Bron!$B$11,'analyse bij belofte 1'!$B$1:$H$1,0))),IF(F1=Bron!$B$10,samen!$K$21+samen!$K$31*samen!$G$17/samen!$G$25,samen!$K$12+samen!$K$31*samen!$G$5/samen!$G$25),IF(F1=Bron!$B$9,'NB 6-12-21%'!$K$62,IF(F1=Bron!$B$10,UITB!$K$76,IF(OR(F1=Bron!$B$11,F1=Bron!F12),VERB!$K$35,IF(F1=Bron!$B$8,'NB 21%'!$J$21,IF(F1=Bron!$B$13,'NB 21% light'!$J$32,IF(F1=Bron!$B$14,'NB 6-12-21% light'!$K$31,IF(F1=Bron!$B$16,'AK+VERB'!$K$37,0)))))))),0)</f>
        <v>0</v>
      </c>
      <c r="G42" s="51"/>
      <c r="H42" s="816">
        <f>IFERROR(IF(AND(ISNUMBER(MATCH(Bron!$B$10,'analyse bij belofte 1'!$B$1:$H$1,0)),ISNUMBER(MATCH(Bron!$B$11,'analyse bij belofte 1'!$B$1:$H$1,0))),IF(H1=Bron!$B$10,samen!$K$21+samen!$K$31*samen!$G$17/samen!$G$25,samen!$K$12+samen!$K$31*samen!$G$5/samen!$G$25),IF(H1=Bron!$B$9,'NB 6-12-21%'!$K$62,IF(H1=Bron!$B$10,UITB!$K$76,IF(OR(H1=Bron!$B$11,H1=Bron!H12),VERB!$K$35,IF(H1=Bron!$B$8,'NB 21%'!$J$21,IF(H1=Bron!$B$13,'NB 21% light'!$J$32,IF(H1=Bron!$B$14,'NB 6-12-21% light'!$K$31,IF(H1=Bron!$B$16,'AK+VERB'!$K$37,0)))))))),0)</f>
        <v>0</v>
      </c>
      <c r="I42" s="51"/>
      <c r="J42" s="255">
        <f t="shared" ref="J42" si="1">H42+F42+D42+B42</f>
        <v>0</v>
      </c>
      <c r="K42" s="18"/>
    </row>
    <row r="43" spans="1:12" ht="13.8" x14ac:dyDescent="0.3">
      <c r="A43" s="142" t="s">
        <v>395</v>
      </c>
      <c r="B43" s="816">
        <f>IFERROR(IF(AND(ISNUMBER(MATCH(Bron!$B$10,$B$1:$H$1,0)),ISNUMBER(MATCH(Bron!$B$11,$B$1:$H$1,0))),IF(B1=Bron!$B$10,samen!$K$46*samen!$G$17/samen!$G$25,IF(B1=Bron!$B$11,samen!$K$46*samen!$G$5/samen!$G$25,0)),IF(B1=Bron!$B$9,'NB 6-12-21%'!$K$34,IF(B1=Bron!$B$10,UITB!$K$34,IF(OR(B1=Bron!$B$11,B1=Bron!$B$12),VERB!$K$37,IF(B1=Bron!$B$8,'NB 21%'!$J$23,IF(B1=Bron!$B$13,'NB 21% light'!$J$34,IF(B1=Bron!$B$14,'NB 6-12-21% light'!$K$33,IF(B1=Bron!$B$16,'AK+VERB'!$K$39,0)))))))),0)</f>
        <v>0</v>
      </c>
      <c r="C43" s="18"/>
      <c r="D43" s="816">
        <f>IFERROR(IF(AND(ISNUMBER(MATCH(Bron!$B$10,$B$1:$H$1,0)),ISNUMBER(MATCH(Bron!$B$11,$B$1:$H$1,0))),IF(D1=Bron!$B$10,samen!$K$46*samen!$G$17/samen!$G$25,IF(D1=Bron!$B$11,samen!$K$46*samen!$G$5/samen!$G$25,0)),IF(D1=Bron!$B$9,'NB 6-12-21%'!$K$34,IF(D1=Bron!$B$10,UITB!$K$34,IF(OR(D1=Bron!$B$11,D1=Bron!$B$12),VERB!$K$37,IF(D1=Bron!$B$8,'NB 21%'!$J$23,IF(D1=Bron!$B$13,'NB 21% light'!$J$34,IF(D1=Bron!$B$14,'NB 6-12-21% light'!$K$33,IF(D1=Bron!$B$16,'AK+VERB'!$K$39,0)))))))),0)</f>
        <v>0</v>
      </c>
      <c r="E43" s="51"/>
      <c r="F43" s="816">
        <f>IFERROR(IF(AND(ISNUMBER(MATCH(Bron!$B$10,$B$1:$H$1,0)),ISNUMBER(MATCH(Bron!$B$11,$B$1:$H$1,0))),IF(F1=Bron!$B$10,samen!$K$46*samen!$G$17/samen!$G$25,IF(F1=Bron!$B$11,samen!$K$46*samen!$G$5/samen!$G$25,0)),IF(F1=Bron!$B$9,'NB 6-12-21%'!$K$34,IF(F1=Bron!$B$10,UITB!$K$34,IF(OR(F1=Bron!$B$11,F1=Bron!$B$12),VERB!$K$37,IF(F1=Bron!$B$8,'NB 21%'!$J$23,IF(F1=Bron!$B$13,'NB 21% light'!$J$34,IF(F1=Bron!$B$14,'NB 6-12-21% light'!$K$33,IF(F1=Bron!$B$16,'AK+VERB'!$K$39,0)))))))),0)</f>
        <v>0</v>
      </c>
      <c r="G43" s="51"/>
      <c r="H43" s="816">
        <f>IFERROR(IF(AND(ISNUMBER(MATCH(Bron!$B$10,$B$1:$H$1,0)),ISNUMBER(MATCH(Bron!$B$11,$B$1:$H$1,0))),IF(H1=Bron!$B$10,samen!$K$46*samen!$G$17/samen!$G$25,IF(H1=Bron!$B$11,samen!$K$46*samen!$G$5/samen!$G$25,0)),IF(H1=Bron!$B$9,'NB 6-12-21%'!$K$34,IF(H1=Bron!$B$10,UITB!$K$34,IF(OR(H1=Bron!$B$11,H1=Bron!$B$12),VERB!$K$37,IF(H1=Bron!$B$8,'NB 21%'!$J$23,IF(H1=Bron!$B$13,'NB 21% light'!$J$34,IF(H1=Bron!$B$14,'NB 6-12-21% light'!$K$33,IF(H1=Bron!$B$16,'AK+VERB'!$K$39,0)))))))),0)</f>
        <v>0</v>
      </c>
      <c r="I43" s="51"/>
      <c r="J43" s="255"/>
      <c r="K43" s="18"/>
    </row>
    <row r="44" spans="1:12" ht="13.8" x14ac:dyDescent="0.3">
      <c r="A44" s="142" t="s">
        <v>365</v>
      </c>
      <c r="B44" s="254" t="str">
        <f>IF(B1=Bron!$B$15,AKzondVERB!$K$7,IF(B1=Bron!$B$16,'AK+VERB'!$K$62,""))</f>
        <v/>
      </c>
      <c r="C44" s="18"/>
      <c r="D44" s="254" t="str">
        <f>IF(D1=Bron!$B$15,AKzondVERB!$K$7,IF(D1=Bron!$B$16,'AK+VERB'!$K$62,""))</f>
        <v/>
      </c>
      <c r="E44" s="51"/>
      <c r="F44" s="254" t="str">
        <f>IF(F1=Bron!$B$15,AKzondVERB!$K$7,IF(F1=Bron!$B$16,'AK+VERB'!$K$62,""))</f>
        <v/>
      </c>
      <c r="G44" s="51"/>
      <c r="H44" s="254" t="str">
        <f>IF(H1=Bron!$B$15,AKzondVERB!$K$7,IF(H1=Bron!$B$16,'AK+VERB'!$K$62,""))</f>
        <v/>
      </c>
      <c r="I44" s="51"/>
      <c r="J44" s="255">
        <f>IF(ISNUMBER(H44),H44,0)+IF(ISNUMBER(F44),F44,0)+IF(ISNUMBER(D44),D44,0)+IF(ISNUMBER(B44),B44,0)</f>
        <v>0</v>
      </c>
      <c r="K44" s="18"/>
    </row>
    <row r="45" spans="1:12" ht="13.8" x14ac:dyDescent="0.3">
      <c r="A45" s="142" t="s">
        <v>366</v>
      </c>
      <c r="B45" s="254" t="str">
        <f>IF(B1=Bron!$B$15,AKzondVERB!$K$9,IF(B1=Bron!$B$16,'AK+VERB'!$K$69+'AK+VERB'!$K$70,""))</f>
        <v/>
      </c>
      <c r="C45" s="18"/>
      <c r="D45" s="254" t="str">
        <f>IF(D1=Bron!$B$15,AKzondVERB!$K$9,IF(D1=Bron!$B$16,'AK+VERB'!$K$69+'AK+VERB'!$K$70,""))</f>
        <v/>
      </c>
      <c r="E45" s="51"/>
      <c r="F45" s="254" t="str">
        <f>IF(F1=Bron!$B$15,AKzondVERB!$K$9,IF(F1=Bron!$B$16,'AK+VERB'!$K$69+'AK+VERB'!$K$70,""))</f>
        <v/>
      </c>
      <c r="G45" s="51"/>
      <c r="H45" s="254" t="str">
        <f>IF(H1=Bron!$B$15,AKzondVERB!$K$9,IF(H1=Bron!$B$16,'AK+VERB'!$K$69+'AK+VERB'!$K$70,""))</f>
        <v/>
      </c>
      <c r="I45" s="51"/>
      <c r="J45" s="255">
        <f>IF(ISNUMBER(H45),H45,0)+IF(ISNUMBER(F45),F45,0)+IF(ISNUMBER(D45),D45,0)+IF(ISNUMBER(B45),B45,0)</f>
        <v>0</v>
      </c>
      <c r="K45" s="18"/>
    </row>
    <row r="46" spans="1:12" ht="13.8" x14ac:dyDescent="0.3">
      <c r="A46" s="142"/>
      <c r="B46" s="451"/>
      <c r="C46" s="273"/>
      <c r="D46" s="272"/>
      <c r="E46" s="273"/>
      <c r="F46" s="272"/>
      <c r="G46" s="273"/>
      <c r="H46" s="272"/>
      <c r="I46" s="273"/>
      <c r="J46" s="272"/>
      <c r="K46" s="18"/>
    </row>
    <row r="47" spans="1:12" ht="13.8" x14ac:dyDescent="0.3">
      <c r="A47" s="274" t="s">
        <v>371</v>
      </c>
      <c r="B47" s="509" t="s">
        <v>370</v>
      </c>
      <c r="C47" s="18"/>
      <c r="D47" s="509" t="s">
        <v>322</v>
      </c>
      <c r="E47" s="18"/>
      <c r="F47" s="509" t="s">
        <v>367</v>
      </c>
      <c r="G47" s="18"/>
      <c r="H47" s="252"/>
      <c r="I47" s="18"/>
      <c r="J47" s="143"/>
      <c r="K47" s="18"/>
    </row>
    <row r="48" spans="1:12" ht="13.8" x14ac:dyDescent="0.3">
      <c r="A48" s="275" t="s">
        <v>375</v>
      </c>
      <c r="B48" s="452">
        <f>J41</f>
        <v>0</v>
      </c>
      <c r="C48" s="18"/>
      <c r="D48" s="452">
        <f>J32</f>
        <v>0</v>
      </c>
      <c r="E48" s="18"/>
      <c r="F48" s="452">
        <f>J38</f>
        <v>0</v>
      </c>
      <c r="G48" s="18"/>
      <c r="H48" s="148"/>
      <c r="I48" s="18"/>
      <c r="J48" s="580"/>
      <c r="K48" s="18"/>
    </row>
    <row r="49" spans="1:11" ht="13.8" x14ac:dyDescent="0.3">
      <c r="A49" s="275" t="s">
        <v>376</v>
      </c>
      <c r="B49" s="452">
        <f>'uitgebreide raming'!J36</f>
        <v>0</v>
      </c>
      <c r="C49" s="18"/>
      <c r="D49" s="452">
        <f>'uitgebreide raming_gewijzigd'!J36</f>
        <v>0</v>
      </c>
      <c r="E49" s="18"/>
      <c r="F49" s="452">
        <f>D49</f>
        <v>0</v>
      </c>
      <c r="G49" s="18"/>
      <c r="I49" s="18"/>
      <c r="J49" s="580"/>
      <c r="K49" s="18"/>
    </row>
    <row r="50" spans="1:11" ht="13.8" x14ac:dyDescent="0.3">
      <c r="A50" s="18"/>
      <c r="B50" s="107" t="e">
        <f>B48/B49</f>
        <v>#DIV/0!</v>
      </c>
      <c r="C50" s="18"/>
      <c r="D50" s="107" t="e">
        <f>D48/D49</f>
        <v>#DIV/0!</v>
      </c>
      <c r="E50" s="18"/>
      <c r="F50" s="107" t="e">
        <f>F48/F49</f>
        <v>#DIV/0!</v>
      </c>
      <c r="G50" s="18"/>
      <c r="I50" s="18"/>
      <c r="J50" s="146"/>
      <c r="K50" s="18"/>
    </row>
    <row r="51" spans="1:11" ht="13.8" x14ac:dyDescent="0.3">
      <c r="A51" s="275" t="s">
        <v>377</v>
      </c>
      <c r="B51" s="452">
        <f>J42+J45</f>
        <v>0</v>
      </c>
      <c r="C51" s="18"/>
      <c r="D51" s="452">
        <f>J33+J35</f>
        <v>0</v>
      </c>
      <c r="E51" s="18"/>
      <c r="F51" s="452">
        <f>J39+J36</f>
        <v>0</v>
      </c>
      <c r="G51" s="18"/>
      <c r="H51" s="148"/>
      <c r="I51" s="18"/>
      <c r="J51" s="580"/>
      <c r="K51" s="18"/>
    </row>
    <row r="52" spans="1:11" ht="13.8" x14ac:dyDescent="0.3">
      <c r="A52" s="275" t="s">
        <v>146</v>
      </c>
      <c r="B52" s="452">
        <f>'uitgebreide raming'!J53</f>
        <v>0</v>
      </c>
      <c r="C52" s="18"/>
      <c r="D52" s="452">
        <f>'uitgebreide raming_gewijzigd'!J53</f>
        <v>0</v>
      </c>
      <c r="E52" s="18"/>
      <c r="F52" s="452">
        <f>D52</f>
        <v>0</v>
      </c>
      <c r="G52" s="18"/>
      <c r="H52" s="148"/>
      <c r="I52" s="18"/>
      <c r="J52" s="580"/>
      <c r="K52" s="18"/>
    </row>
    <row r="53" spans="1:11" ht="13.8" x14ac:dyDescent="0.3">
      <c r="B53" s="107" t="e">
        <f>B51/B52</f>
        <v>#DIV/0!</v>
      </c>
      <c r="C53" s="18"/>
      <c r="D53" s="107" t="e">
        <f>D51/D52</f>
        <v>#DIV/0!</v>
      </c>
      <c r="E53" s="18"/>
      <c r="F53" s="107" t="e">
        <f>F51/F52</f>
        <v>#DIV/0!</v>
      </c>
      <c r="G53" s="18"/>
      <c r="H53" s="146"/>
      <c r="I53" s="18"/>
      <c r="J53" s="146"/>
      <c r="K53" s="18"/>
    </row>
    <row r="54" spans="1:11" ht="13.8" x14ac:dyDescent="0.3">
      <c r="A54" s="18"/>
      <c r="B54" s="146"/>
      <c r="C54" s="18"/>
      <c r="D54" s="146"/>
      <c r="E54" s="18"/>
      <c r="F54" s="146"/>
      <c r="G54" s="18"/>
      <c r="H54" s="146"/>
      <c r="I54" s="18"/>
      <c r="J54" s="252"/>
      <c r="K54" s="18"/>
    </row>
    <row r="55" spans="1:11" ht="13.8" x14ac:dyDescent="0.3">
      <c r="A55" s="275" t="s">
        <v>385</v>
      </c>
      <c r="B55" s="81" t="e">
        <f>B18/B6</f>
        <v>#DIV/0!</v>
      </c>
      <c r="C55" s="21"/>
      <c r="D55" s="81" t="e">
        <f>D18/D6</f>
        <v>#DIV/0!</v>
      </c>
      <c r="E55" s="21"/>
      <c r="F55" s="81" t="e">
        <f>F18/F6</f>
        <v>#DIV/0!</v>
      </c>
      <c r="G55" s="21"/>
      <c r="H55" s="81" t="e">
        <f>H18/H6</f>
        <v>#DIV/0!</v>
      </c>
      <c r="I55" s="21"/>
      <c r="J55" s="81" t="e">
        <f>J18/J6</f>
        <v>#DIV/0!</v>
      </c>
      <c r="K55" s="21"/>
    </row>
    <row r="56" spans="1:11" ht="13.8" x14ac:dyDescent="0.3">
      <c r="A56" s="276" t="s">
        <v>386</v>
      </c>
      <c r="B56" s="92">
        <v>0</v>
      </c>
      <c r="C56" s="85"/>
      <c r="D56" s="92">
        <v>0</v>
      </c>
      <c r="E56" s="85"/>
      <c r="F56" s="92">
        <v>0</v>
      </c>
      <c r="G56" s="85"/>
      <c r="H56" s="92">
        <v>0</v>
      </c>
      <c r="I56" s="85"/>
      <c r="J56" s="92">
        <v>0</v>
      </c>
      <c r="K56" s="85"/>
    </row>
    <row r="57" spans="1:11" ht="14.4" x14ac:dyDescent="0.3">
      <c r="A57" s="277" t="s">
        <v>387</v>
      </c>
      <c r="B57" s="88" t="e">
        <f>B55/B56</f>
        <v>#DIV/0!</v>
      </c>
      <c r="C57" s="89"/>
      <c r="D57" s="88" t="e">
        <f>D55/D56</f>
        <v>#DIV/0!</v>
      </c>
      <c r="E57" s="21"/>
      <c r="F57" s="88" t="e">
        <f>F55/F56</f>
        <v>#DIV/0!</v>
      </c>
      <c r="G57" s="21"/>
      <c r="H57" s="88" t="e">
        <f>H55/H56</f>
        <v>#DIV/0!</v>
      </c>
      <c r="I57" s="21"/>
      <c r="J57" s="88" t="e">
        <f>J55/J56</f>
        <v>#DIV/0!</v>
      </c>
      <c r="K57" s="21"/>
    </row>
    <row r="58" spans="1:11" ht="13.8" x14ac:dyDescent="0.3">
      <c r="A58" s="18"/>
      <c r="B58" s="18"/>
      <c r="C58" s="18"/>
      <c r="D58" s="18"/>
      <c r="E58" s="18"/>
      <c r="F58" s="18"/>
      <c r="G58" s="18"/>
      <c r="H58" s="18"/>
      <c r="I58" s="18"/>
      <c r="J58" s="18"/>
      <c r="K58" s="18"/>
    </row>
    <row r="59" spans="1:11" ht="13.8" x14ac:dyDescent="0.3">
      <c r="A59" s="18"/>
      <c r="B59" s="18"/>
      <c r="C59" s="18"/>
      <c r="D59" s="18"/>
      <c r="E59" s="18"/>
      <c r="F59" s="18"/>
      <c r="G59" s="18"/>
      <c r="H59" s="18"/>
      <c r="I59" s="18"/>
      <c r="J59" s="18"/>
      <c r="K59" s="18"/>
    </row>
    <row r="61" spans="1:11" ht="13.8" x14ac:dyDescent="0.3">
      <c r="A61" s="274" t="s">
        <v>388</v>
      </c>
      <c r="C61" s="18"/>
    </row>
    <row r="62" spans="1:11" ht="13.8" x14ac:dyDescent="0.3">
      <c r="A62" s="18" t="s">
        <v>389</v>
      </c>
      <c r="B62" s="18"/>
      <c r="C62" s="18"/>
    </row>
    <row r="63" spans="1:11" ht="13.8" x14ac:dyDescent="0.3">
      <c r="A63" s="18" t="s">
        <v>390</v>
      </c>
      <c r="B63" s="18"/>
      <c r="C63" s="18" t="s">
        <v>391</v>
      </c>
    </row>
    <row r="64" spans="1:11" ht="13.8" x14ac:dyDescent="0.3">
      <c r="A64" s="18" t="s">
        <v>390</v>
      </c>
      <c r="B64" s="18"/>
      <c r="C64" s="18" t="s">
        <v>392</v>
      </c>
    </row>
    <row r="65" spans="1:3" ht="13.8" x14ac:dyDescent="0.3">
      <c r="A65" s="18" t="s">
        <v>393</v>
      </c>
      <c r="B65" s="18"/>
      <c r="C65" s="18"/>
    </row>
  </sheetData>
  <pageMargins left="0.7" right="0.7" top="0.75" bottom="0.75" header="0.3" footer="0.3"/>
  <pageSetup paperSize="9" orientation="portrait"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E2210-86BD-42FF-91EE-41F6A3F99125}">
  <sheetPr codeName="Blad22"/>
  <dimension ref="A1:N65"/>
  <sheetViews>
    <sheetView topLeftCell="A25" workbookViewId="0">
      <selection activeCell="I39" sqref="I39"/>
    </sheetView>
  </sheetViews>
  <sheetFormatPr defaultColWidth="9.109375" defaultRowHeight="13.2" x14ac:dyDescent="0.25"/>
  <cols>
    <col min="1" max="1" width="43.88671875" style="59" bestFit="1" customWidth="1"/>
    <col min="2" max="2" width="19.5546875" style="59" customWidth="1"/>
    <col min="3" max="3" width="9.109375" style="59" customWidth="1"/>
    <col min="4" max="4" width="16.6640625" style="59" customWidth="1"/>
    <col min="5" max="5" width="11.44140625" style="59" customWidth="1"/>
    <col min="6" max="6" width="18.33203125" style="59" customWidth="1"/>
    <col min="7" max="7" width="7.6640625" style="59" customWidth="1"/>
    <col min="8" max="8" width="16.6640625" style="59" customWidth="1"/>
    <col min="9" max="9" width="7.6640625" style="59" customWidth="1"/>
    <col min="10" max="10" width="17" style="59" customWidth="1"/>
    <col min="11" max="11" width="7.6640625" style="59" bestFit="1" customWidth="1"/>
    <col min="12" max="16384" width="9.109375" style="59"/>
  </cols>
  <sheetData>
    <row r="1" spans="1:12" ht="13.8" x14ac:dyDescent="0.3">
      <c r="A1" s="147" t="s">
        <v>337</v>
      </c>
      <c r="B1" s="91" t="str">
        <f>'Overzicht BTA'!N7</f>
        <v>Kies kostensoort</v>
      </c>
      <c r="C1" s="18"/>
      <c r="D1" s="91" t="str">
        <f>'Overzicht BTA'!N8</f>
        <v>Kies kostensoort</v>
      </c>
      <c r="E1" s="18"/>
      <c r="F1" s="91" t="str">
        <f>'Overzicht BTA'!N9</f>
        <v>Kies kostensoort</v>
      </c>
      <c r="G1" s="18"/>
      <c r="H1" s="91" t="str">
        <f>'Overzicht BTA'!N10</f>
        <v>Kies kostensoort</v>
      </c>
      <c r="I1" s="18"/>
      <c r="J1" s="22" t="s">
        <v>110</v>
      </c>
      <c r="K1" s="18"/>
    </row>
    <row r="2" spans="1:12" ht="13.8" x14ac:dyDescent="0.3">
      <c r="A2" s="21" t="s">
        <v>394</v>
      </c>
      <c r="B2" s="427">
        <f>'Overzicht BTA'!O7</f>
        <v>0</v>
      </c>
      <c r="C2" s="430"/>
      <c r="D2" s="428">
        <f>'Overzicht BTA'!O8</f>
        <v>0</v>
      </c>
      <c r="E2" s="430"/>
      <c r="F2" s="428">
        <f>'Overzicht BTA'!O9</f>
        <v>0</v>
      </c>
      <c r="G2" s="430"/>
      <c r="H2" s="428">
        <f>'Overzicht BTA'!O10</f>
        <v>0</v>
      </c>
      <c r="I2" s="242"/>
      <c r="J2" s="624">
        <f>B2+D2+F2+H2</f>
        <v>0</v>
      </c>
      <c r="K2" s="18"/>
    </row>
    <row r="3" spans="1:12" ht="13.8" x14ac:dyDescent="0.3">
      <c r="A3" s="21" t="s">
        <v>342</v>
      </c>
      <c r="B3" s="427">
        <f>'Overzicht BTA'!P7</f>
        <v>0</v>
      </c>
      <c r="C3" s="430"/>
      <c r="D3" s="428">
        <f>'Overzicht BTA'!P8</f>
        <v>0</v>
      </c>
      <c r="E3" s="430"/>
      <c r="F3" s="428">
        <f>'Overzicht BTA'!P9</f>
        <v>0</v>
      </c>
      <c r="G3" s="430"/>
      <c r="H3" s="428">
        <f>'Overzicht BTA'!P10</f>
        <v>0</v>
      </c>
      <c r="I3" s="242"/>
      <c r="J3" s="624">
        <f>B3+D3+F3+H3</f>
        <v>0</v>
      </c>
      <c r="K3" s="18"/>
    </row>
    <row r="4" spans="1:12" ht="13.8" x14ac:dyDescent="0.3">
      <c r="A4" s="21"/>
      <c r="B4" s="90"/>
      <c r="C4" s="18"/>
      <c r="D4" s="91"/>
      <c r="E4" s="18"/>
      <c r="F4" s="91"/>
      <c r="G4" s="18"/>
      <c r="H4" s="91"/>
      <c r="I4" s="18"/>
      <c r="J4" s="22"/>
      <c r="K4" s="56"/>
    </row>
    <row r="5" spans="1:12" ht="13.8" x14ac:dyDescent="0.3">
      <c r="A5" s="147" t="s">
        <v>343</v>
      </c>
      <c r="B5" s="55"/>
      <c r="C5" s="18"/>
      <c r="D5" s="22"/>
      <c r="E5" s="18"/>
      <c r="F5" s="22"/>
      <c r="G5" s="18"/>
      <c r="H5" s="22"/>
      <c r="I5" s="18"/>
      <c r="J5" s="22"/>
      <c r="K5" s="18"/>
    </row>
    <row r="6" spans="1:12" ht="13.8" x14ac:dyDescent="0.3">
      <c r="A6" s="21" t="s">
        <v>344</v>
      </c>
      <c r="B6" s="188">
        <f>SUM(B7:B8)</f>
        <v>0</v>
      </c>
      <c r="C6" s="91" t="e">
        <f>'Overzicht BTA'!D25</f>
        <v>#N/A</v>
      </c>
      <c r="D6" s="188">
        <f>SUM(D7:D8)</f>
        <v>0</v>
      </c>
      <c r="E6" s="91" t="e">
        <f>'Overzicht BTA'!$D$25</f>
        <v>#N/A</v>
      </c>
      <c r="F6" s="188">
        <f>SUM(F7:F8)</f>
        <v>0</v>
      </c>
      <c r="G6" s="91" t="e">
        <f>'Overzicht BTA'!$D$25</f>
        <v>#N/A</v>
      </c>
      <c r="H6" s="188">
        <f>SUM(H7:H8)</f>
        <v>0</v>
      </c>
      <c r="I6" s="91" t="e">
        <f>'Overzicht BTA'!$D$25</f>
        <v>#N/A</v>
      </c>
      <c r="J6" s="249">
        <f>B6+D6+F6+H6</f>
        <v>0</v>
      </c>
      <c r="K6" s="91" t="e">
        <f>'Overzicht BTA'!$D$25</f>
        <v>#N/A</v>
      </c>
      <c r="L6" s="60"/>
    </row>
    <row r="7" spans="1:12" ht="13.8" x14ac:dyDescent="0.3">
      <c r="A7" s="21" t="s">
        <v>345</v>
      </c>
      <c r="B7" s="188">
        <f>'Overzicht BTA'!Q7</f>
        <v>0</v>
      </c>
      <c r="C7" s="91" t="e">
        <f>'Overzicht BTA'!D26</f>
        <v>#N/A</v>
      </c>
      <c r="D7" s="188">
        <f>'Overzicht BTA'!Q8</f>
        <v>0</v>
      </c>
      <c r="E7" s="91" t="e">
        <f>'Overzicht BTA'!$D$26</f>
        <v>#N/A</v>
      </c>
      <c r="F7" s="188">
        <f>'Overzicht BTA'!Q9</f>
        <v>0</v>
      </c>
      <c r="G7" s="91" t="e">
        <f>'Overzicht BTA'!$D$26</f>
        <v>#N/A</v>
      </c>
      <c r="H7" s="188">
        <f>'Overzicht BTA'!Q10</f>
        <v>0</v>
      </c>
      <c r="I7" s="91" t="e">
        <f>'Overzicht BTA'!$D$26</f>
        <v>#N/A</v>
      </c>
      <c r="J7" s="22">
        <f>IF(AND(B7="",D7="",F7="",H7=""),"",B7+D7+F7+H7)</f>
        <v>0</v>
      </c>
      <c r="K7" s="91" t="e">
        <f>'Overzicht BTA'!$D$26</f>
        <v>#N/A</v>
      </c>
    </row>
    <row r="8" spans="1:12" ht="13.8" x14ac:dyDescent="0.3">
      <c r="A8" s="21" t="s">
        <v>346</v>
      </c>
      <c r="B8" s="188">
        <f>'Overzicht BTA'!R7</f>
        <v>0</v>
      </c>
      <c r="C8" s="91" t="e">
        <f>'Overzicht BTA'!D27</f>
        <v>#N/A</v>
      </c>
      <c r="D8" s="188">
        <f>'Overzicht BTA'!R8</f>
        <v>0</v>
      </c>
      <c r="E8" s="91" t="e">
        <f>'Overzicht BTA'!$D$27</f>
        <v>#N/A</v>
      </c>
      <c r="F8" s="188">
        <f>'Overzicht BTA'!R9</f>
        <v>0</v>
      </c>
      <c r="G8" s="91" t="e">
        <f>'Overzicht BTA'!$D$27</f>
        <v>#N/A</v>
      </c>
      <c r="H8" s="188">
        <f>'Overzicht BTA'!R10</f>
        <v>0</v>
      </c>
      <c r="I8" s="91" t="e">
        <f>'Overzicht BTA'!$D$27</f>
        <v>#N/A</v>
      </c>
      <c r="J8" s="22">
        <f>B8+D8</f>
        <v>0</v>
      </c>
      <c r="K8" s="91" t="e">
        <f>'Overzicht BTA'!$D$27</f>
        <v>#N/A</v>
      </c>
    </row>
    <row r="9" spans="1:12" ht="13.8" x14ac:dyDescent="0.3">
      <c r="A9" s="21" t="s">
        <v>347</v>
      </c>
      <c r="B9" s="93" t="str">
        <f>IF(D6&gt;0,D2/D6,"")</f>
        <v/>
      </c>
      <c r="C9" s="18"/>
      <c r="D9" s="91" t="str">
        <f>IF(D6&gt;0,D2/D6,"")</f>
        <v/>
      </c>
      <c r="E9" s="18"/>
      <c r="F9" s="91" t="str">
        <f>IF(F6&gt;0,F2/F6,"")</f>
        <v/>
      </c>
      <c r="G9" s="18"/>
      <c r="H9" s="91" t="str">
        <f>IF(H6&gt;0,H2/H6,"")</f>
        <v/>
      </c>
      <c r="I9" s="18"/>
      <c r="J9" s="206" t="e">
        <f>J2/J6</f>
        <v>#DIV/0!</v>
      </c>
      <c r="K9" s="18"/>
      <c r="L9" s="101"/>
    </row>
    <row r="10" spans="1:12" ht="13.8" x14ac:dyDescent="0.3">
      <c r="A10" s="18"/>
      <c r="B10" s="18"/>
      <c r="C10" s="18"/>
      <c r="D10" s="18"/>
      <c r="E10" s="18"/>
      <c r="F10" s="18"/>
      <c r="G10" s="18"/>
      <c r="H10" s="18"/>
      <c r="I10" s="18"/>
      <c r="J10" s="18"/>
      <c r="K10" s="18"/>
    </row>
    <row r="11" spans="1:12" ht="13.8" x14ac:dyDescent="0.3">
      <c r="A11" s="18"/>
      <c r="B11" s="18"/>
      <c r="C11" s="18"/>
      <c r="D11" s="18"/>
      <c r="E11" s="18"/>
      <c r="F11" s="18"/>
      <c r="G11" s="18"/>
      <c r="H11" s="18"/>
      <c r="I11" s="18"/>
      <c r="J11" s="18"/>
      <c r="K11" s="18"/>
    </row>
    <row r="12" spans="1:12" ht="13.8" x14ac:dyDescent="0.3">
      <c r="A12" s="274" t="s">
        <v>348</v>
      </c>
    </row>
    <row r="13" spans="1:12" ht="13.8" x14ac:dyDescent="0.3">
      <c r="A13" s="275" t="s">
        <v>349</v>
      </c>
      <c r="B13" s="81">
        <f>'uitgebreide raming'!B33</f>
        <v>0</v>
      </c>
      <c r="C13" s="82" t="e">
        <f>B13/B18</f>
        <v>#DIV/0!</v>
      </c>
      <c r="D13" s="81">
        <f>'uitgebreide raming'!D33</f>
        <v>0</v>
      </c>
      <c r="E13" s="82" t="e">
        <f>D13/D18</f>
        <v>#DIV/0!</v>
      </c>
      <c r="F13" s="81">
        <f>'uitgebreide raming'!F33</f>
        <v>0</v>
      </c>
      <c r="G13" s="82" t="e">
        <f>F13/F18</f>
        <v>#DIV/0!</v>
      </c>
      <c r="H13" s="81">
        <f>'uitgebreide raming'!H33</f>
        <v>0</v>
      </c>
      <c r="I13" s="82" t="e">
        <f>H13/H18</f>
        <v>#DIV/0!</v>
      </c>
      <c r="J13" s="81">
        <f>'uitgebreide raming'!J33</f>
        <v>0</v>
      </c>
      <c r="K13" s="82" t="e">
        <f>J13/J18</f>
        <v>#DIV/0!</v>
      </c>
    </row>
    <row r="14" spans="1:12" ht="13.8" x14ac:dyDescent="0.3">
      <c r="A14" s="275" t="s">
        <v>350</v>
      </c>
      <c r="B14" s="81">
        <f>'uitgebreide raming'!B34</f>
        <v>0</v>
      </c>
      <c r="C14" s="82" t="e">
        <f>B14/B18</f>
        <v>#DIV/0!</v>
      </c>
      <c r="D14" s="81">
        <f>'uitgebreide raming'!D34</f>
        <v>0</v>
      </c>
      <c r="E14" s="82" t="e">
        <f>D14/D18</f>
        <v>#DIV/0!</v>
      </c>
      <c r="F14" s="81">
        <f>'uitgebreide raming'!F34</f>
        <v>0</v>
      </c>
      <c r="G14" s="82" t="e">
        <f>F14/F18</f>
        <v>#DIV/0!</v>
      </c>
      <c r="H14" s="81">
        <f>'uitgebreide raming'!H34</f>
        <v>0</v>
      </c>
      <c r="I14" s="82" t="e">
        <f>H14/H18</f>
        <v>#DIV/0!</v>
      </c>
      <c r="J14" s="81">
        <f>'uitgebreide raming'!J34</f>
        <v>0</v>
      </c>
      <c r="K14" s="82" t="e">
        <f>J14/J18</f>
        <v>#DIV/0!</v>
      </c>
    </row>
    <row r="15" spans="1:12" ht="13.8" x14ac:dyDescent="0.3">
      <c r="A15" s="275" t="s">
        <v>351</v>
      </c>
      <c r="B15" s="81">
        <f>'uitgebreide raming'!B35</f>
        <v>0</v>
      </c>
      <c r="C15" s="82" t="e">
        <f>B15/B18</f>
        <v>#DIV/0!</v>
      </c>
      <c r="D15" s="81">
        <f>'uitgebreide raming'!D35</f>
        <v>0</v>
      </c>
      <c r="E15" s="82" t="e">
        <f>D15/D18</f>
        <v>#DIV/0!</v>
      </c>
      <c r="F15" s="81">
        <f>'uitgebreide raming'!F35</f>
        <v>0</v>
      </c>
      <c r="G15" s="82" t="e">
        <f>F15/F18</f>
        <v>#DIV/0!</v>
      </c>
      <c r="H15" s="81">
        <f>'uitgebreide raming'!H35</f>
        <v>0</v>
      </c>
      <c r="I15" s="82" t="e">
        <f>H15/H18</f>
        <v>#DIV/0!</v>
      </c>
      <c r="J15" s="81">
        <f>'uitgebreide raming'!J35</f>
        <v>0</v>
      </c>
      <c r="K15" s="82" t="e">
        <f>J15/J18</f>
        <v>#DIV/0!</v>
      </c>
    </row>
    <row r="16" spans="1:12" ht="13.8" x14ac:dyDescent="0.3">
      <c r="A16" s="275" t="s">
        <v>352</v>
      </c>
      <c r="B16" s="83">
        <f>'uitgebreide raming'!B36</f>
        <v>0</v>
      </c>
      <c r="C16" s="82" t="e">
        <f>B16/B18</f>
        <v>#DIV/0!</v>
      </c>
      <c r="D16" s="83">
        <f>'uitgebreide raming'!D36</f>
        <v>0</v>
      </c>
      <c r="E16" s="82" t="e">
        <f>D16/D18</f>
        <v>#DIV/0!</v>
      </c>
      <c r="F16" s="83">
        <f>'uitgebreide raming'!F36</f>
        <v>0</v>
      </c>
      <c r="G16" s="82" t="e">
        <f>F16/F18</f>
        <v>#DIV/0!</v>
      </c>
      <c r="H16" s="83">
        <f>'uitgebreide raming'!H36</f>
        <v>0</v>
      </c>
      <c r="I16" s="82" t="e">
        <f>H16/H18</f>
        <v>#DIV/0!</v>
      </c>
      <c r="J16" s="83">
        <f>SUM(J13+J14+J15)</f>
        <v>0</v>
      </c>
      <c r="K16" s="82" t="e">
        <f>J16/J18</f>
        <v>#DIV/0!</v>
      </c>
    </row>
    <row r="17" spans="1:14" ht="13.8" x14ac:dyDescent="0.3">
      <c r="A17" s="275" t="s">
        <v>353</v>
      </c>
      <c r="B17" s="81">
        <f>'uitgebreide raming'!B37</f>
        <v>0</v>
      </c>
      <c r="C17" s="82" t="e">
        <f>B17/B18</f>
        <v>#DIV/0!</v>
      </c>
      <c r="D17" s="81">
        <f>'uitgebreide raming'!D37</f>
        <v>0</v>
      </c>
      <c r="E17" s="82" t="e">
        <f>D17/D18</f>
        <v>#DIV/0!</v>
      </c>
      <c r="F17" s="81">
        <f>'uitgebreide raming'!F37</f>
        <v>0</v>
      </c>
      <c r="G17" s="82" t="e">
        <f>F17/F18</f>
        <v>#DIV/0!</v>
      </c>
      <c r="H17" s="81">
        <f>'uitgebreide raming'!H37</f>
        <v>0</v>
      </c>
      <c r="I17" s="82" t="e">
        <f>H17/H18</f>
        <v>#DIV/0!</v>
      </c>
      <c r="J17" s="81">
        <f>'uitgebreide raming'!J37</f>
        <v>0</v>
      </c>
      <c r="K17" s="82" t="e">
        <f>J17/J18</f>
        <v>#DIV/0!</v>
      </c>
    </row>
    <row r="18" spans="1:14" ht="13.8" x14ac:dyDescent="0.3">
      <c r="A18" s="275" t="s">
        <v>354</v>
      </c>
      <c r="B18" s="83">
        <f>'uitgebreide raming'!B38</f>
        <v>0</v>
      </c>
      <c r="C18" s="82" t="e">
        <f>B18/B18</f>
        <v>#DIV/0!</v>
      </c>
      <c r="D18" s="83">
        <f>'uitgebreide raming'!D38</f>
        <v>0</v>
      </c>
      <c r="E18" s="82" t="e">
        <f>D18/D18</f>
        <v>#DIV/0!</v>
      </c>
      <c r="F18" s="83">
        <f>'uitgebreide raming'!F38</f>
        <v>0</v>
      </c>
      <c r="G18" s="82" t="e">
        <f>F18/F18</f>
        <v>#DIV/0!</v>
      </c>
      <c r="H18" s="83">
        <f>'uitgebreide raming'!H38</f>
        <v>0</v>
      </c>
      <c r="I18" s="82" t="e">
        <f>H18/H18</f>
        <v>#DIV/0!</v>
      </c>
      <c r="J18" s="83">
        <f>J16+J17</f>
        <v>0</v>
      </c>
      <c r="K18" s="82" t="e">
        <f>J18/J18</f>
        <v>#DIV/0!</v>
      </c>
    </row>
    <row r="19" spans="1:14" ht="13.8" x14ac:dyDescent="0.3">
      <c r="A19" s="18"/>
      <c r="B19" s="250"/>
      <c r="C19" s="251"/>
      <c r="D19" s="250"/>
      <c r="E19" s="251"/>
      <c r="F19" s="250"/>
      <c r="G19" s="251"/>
      <c r="H19" s="250"/>
      <c r="I19" s="251"/>
      <c r="J19" s="250"/>
      <c r="K19" s="251"/>
    </row>
    <row r="20" spans="1:14" ht="13.8" x14ac:dyDescent="0.3">
      <c r="A20" s="274" t="s">
        <v>355</v>
      </c>
      <c r="B20" s="18"/>
      <c r="C20" s="18"/>
      <c r="D20" s="18"/>
      <c r="E20" s="18"/>
      <c r="F20" s="18"/>
      <c r="G20" s="18"/>
      <c r="H20" s="18"/>
      <c r="I20" s="18"/>
      <c r="J20" s="18"/>
      <c r="K20" s="18"/>
    </row>
    <row r="21" spans="1:14" ht="13.8" x14ac:dyDescent="0.3">
      <c r="A21" s="275"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row>
    <row r="22" spans="1:14" ht="13.8" x14ac:dyDescent="0.3">
      <c r="A22" s="275"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row>
    <row r="23" spans="1:14" ht="13.8" x14ac:dyDescent="0.3">
      <c r="A23" s="275"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row>
    <row r="24" spans="1:14" ht="13.8" x14ac:dyDescent="0.3">
      <c r="A24" s="276" t="s">
        <v>359</v>
      </c>
      <c r="B24" s="86">
        <f>IF(B1=Bron!$B$7,0,(IF(B1=Bron!$B$11,VLOOKUP('Overzicht BTA'!$C$3,'Capaciteiten &amp; forfaits'!$B$4:$H$69,6,FALSE)*0.75,VLOOKUP('Overzicht BTA'!$C$3,'Capaciteiten &amp; forfaits'!$B$4:$H$69,5,FALSE))-50)*'Overzicht BTA'!$D$36*10/6)</f>
        <v>0</v>
      </c>
      <c r="C24" s="84" t="s">
        <v>278</v>
      </c>
      <c r="D24" s="86">
        <f>IF(D1=Bron!$B$7,0,(IF(D1=Bron!$B$11,VLOOKUP('Overzicht BTA'!$C$3,'Capaciteiten &amp; forfaits'!$B$4:$H$69,6,FALSE)*0.75,VLOOKUP('Overzicht BTA'!$C$3,'Capaciteiten &amp; forfaits'!$B$4:$H$69,5,FALSE))-50)*'Overzicht BTA'!$D$36*10/6)</f>
        <v>0</v>
      </c>
      <c r="E24" s="84" t="s">
        <v>278</v>
      </c>
      <c r="F24" s="86">
        <f>IF(F1=Bron!$B$7,0,(IF(F1=Bron!$B$11,VLOOKUP('Overzicht BTA'!$C$3,'Capaciteiten &amp; forfaits'!$B$4:$H$69,6,FALSE)*0.75,VLOOKUP('Overzicht BTA'!$C$3,'Capaciteiten &amp; forfaits'!$B$4:$H$69,5,FALSE))-50)*'Overzicht BTA'!$D$36*10/6)</f>
        <v>0</v>
      </c>
      <c r="G24" s="84" t="s">
        <v>278</v>
      </c>
      <c r="H24" s="86">
        <f>IF(H1=Bron!$B$7,0,(IF(H1=Bron!$B$11,VLOOKUP('Overzicht BTA'!$C$3,'Capaciteiten &amp; forfaits'!$B$4:$H$69,6,FALSE)*0.75,VLOOKUP('Overzicht BTA'!$C$3,'Capaciteiten &amp; forfaits'!$B$4:$H$69,5,FALSE))-50)*'Overzicht BTA'!$D$36*10/6)</f>
        <v>0</v>
      </c>
      <c r="I24" s="84" t="s">
        <v>278</v>
      </c>
      <c r="J24" s="86">
        <f>MAX(H24,F24,D24,B24)</f>
        <v>0</v>
      </c>
      <c r="K24" s="84" t="s">
        <v>278</v>
      </c>
      <c r="N24" s="101"/>
    </row>
    <row r="25" spans="1:14" ht="13.8" x14ac:dyDescent="0.3">
      <c r="A25" s="277" t="s">
        <v>360</v>
      </c>
      <c r="B25" s="806" t="e">
        <f>B21/B24</f>
        <v>#DIV/0!</v>
      </c>
      <c r="C25" s="21"/>
      <c r="D25" s="806" t="e">
        <f>D21/D24</f>
        <v>#DIV/0!</v>
      </c>
      <c r="E25" s="21"/>
      <c r="F25" s="806" t="e">
        <f>F21/F24</f>
        <v>#DIV/0!</v>
      </c>
      <c r="G25" s="21"/>
      <c r="H25" s="806" t="e">
        <f>H21/H24</f>
        <v>#DIV/0!</v>
      </c>
      <c r="I25" s="21"/>
      <c r="J25" s="429" t="e">
        <f>J21/J24</f>
        <v>#DIV/0!</v>
      </c>
      <c r="K25" s="21"/>
    </row>
    <row r="26" spans="1:14" ht="13.8" x14ac:dyDescent="0.3">
      <c r="A26" s="276" t="s">
        <v>361</v>
      </c>
      <c r="B26" s="86">
        <f>B24+50*'Overzicht BTA'!$D$36*10/6</f>
        <v>199.65166666666664</v>
      </c>
      <c r="C26" s="84" t="s">
        <v>278</v>
      </c>
      <c r="D26" s="86">
        <f>D24+50*'Overzicht BTA'!$D$36*10/6</f>
        <v>199.65166666666664</v>
      </c>
      <c r="E26" s="84" t="s">
        <v>278</v>
      </c>
      <c r="F26" s="86">
        <f>F24+50*'Overzicht BTA'!$D$36*10/6</f>
        <v>199.65166666666664</v>
      </c>
      <c r="G26" s="84" t="s">
        <v>278</v>
      </c>
      <c r="H26" s="86">
        <f>H24+50*'Overzicht BTA'!$D$36*10/6</f>
        <v>199.65166666666664</v>
      </c>
      <c r="I26" s="84" t="s">
        <v>278</v>
      </c>
      <c r="J26" s="86">
        <f>J24+50*'Overzicht BTA'!$D$36*10/6</f>
        <v>199.65166666666664</v>
      </c>
      <c r="K26" s="84" t="s">
        <v>278</v>
      </c>
    </row>
    <row r="27" spans="1:14" ht="13.8" x14ac:dyDescent="0.3">
      <c r="A27" s="277" t="s">
        <v>360</v>
      </c>
      <c r="B27" s="88" t="e">
        <f>B22/B26</f>
        <v>#DIV/0!</v>
      </c>
      <c r="C27" s="21"/>
      <c r="D27" s="88" t="e">
        <f>D22/D26</f>
        <v>#DIV/0!</v>
      </c>
      <c r="E27" s="21"/>
      <c r="F27" s="88" t="e">
        <f>F22/F26</f>
        <v>#DIV/0!</v>
      </c>
      <c r="G27" s="21"/>
      <c r="H27" s="88" t="e">
        <f>H22/H26</f>
        <v>#DIV/0!</v>
      </c>
      <c r="I27" s="21"/>
      <c r="J27" s="88" t="e">
        <f>J22/J26</f>
        <v>#DIV/0!</v>
      </c>
      <c r="K27" s="21"/>
    </row>
    <row r="28" spans="1:14" ht="13.8" x14ac:dyDescent="0.3">
      <c r="A28" s="276" t="s">
        <v>362</v>
      </c>
      <c r="B28" s="86">
        <f>'Capaciteiten &amp; forfaits'!$H$5*'Overzicht BTA'!$D$36*10/6</f>
        <v>199.65166666666664</v>
      </c>
      <c r="C28" s="84" t="s">
        <v>278</v>
      </c>
      <c r="D28" s="86">
        <f>'Capaciteiten &amp; forfaits'!$H$5*'Overzicht BTA'!$D$36*10/6</f>
        <v>199.65166666666664</v>
      </c>
      <c r="E28" s="84" t="s">
        <v>278</v>
      </c>
      <c r="F28" s="86">
        <f>'Capaciteiten &amp; forfaits'!$H$5*'Overzicht BTA'!$D$36*10/6</f>
        <v>199.65166666666664</v>
      </c>
      <c r="G28" s="84" t="s">
        <v>278</v>
      </c>
      <c r="H28" s="86">
        <f>'Capaciteiten &amp; forfaits'!$H$5*'Overzicht BTA'!$D$36*10/6</f>
        <v>199.65166666666664</v>
      </c>
      <c r="I28" s="84" t="s">
        <v>278</v>
      </c>
      <c r="J28" s="86">
        <f>'Capaciteiten &amp; forfaits'!$H$5*'Overzicht BTA'!$D$36*10/6</f>
        <v>199.65166666666664</v>
      </c>
      <c r="K28" s="84" t="s">
        <v>278</v>
      </c>
    </row>
    <row r="29" spans="1:14" ht="13.8" x14ac:dyDescent="0.3">
      <c r="A29" s="277" t="s">
        <v>360</v>
      </c>
      <c r="B29" s="88" t="e">
        <f>B23/B28</f>
        <v>#DIV/0!</v>
      </c>
      <c r="C29" s="21"/>
      <c r="D29" s="88" t="e">
        <f>D23/D28</f>
        <v>#DIV/0!</v>
      </c>
      <c r="E29" s="21"/>
      <c r="F29" s="88" t="e">
        <f>F23/F28</f>
        <v>#DIV/0!</v>
      </c>
      <c r="G29" s="21"/>
      <c r="H29" s="88" t="e">
        <f>H23/H28</f>
        <v>#DIV/0!</v>
      </c>
      <c r="I29" s="21"/>
      <c r="J29" s="88" t="e">
        <f>J23/J28</f>
        <v>#DIV/0!</v>
      </c>
      <c r="K29" s="21"/>
    </row>
    <row r="30" spans="1:14" ht="13.8" x14ac:dyDescent="0.3">
      <c r="A30" s="142"/>
      <c r="B30" s="252"/>
      <c r="C30" s="18"/>
      <c r="D30" s="252"/>
      <c r="E30" s="18"/>
      <c r="F30" s="252"/>
      <c r="G30" s="18"/>
      <c r="H30" s="252"/>
      <c r="I30" s="18"/>
      <c r="J30" s="252"/>
      <c r="K30" s="18"/>
    </row>
    <row r="31" spans="1:14" ht="13.8" x14ac:dyDescent="0.3">
      <c r="A31" s="509" t="s">
        <v>322</v>
      </c>
      <c r="B31" s="252"/>
      <c r="C31" s="18"/>
      <c r="D31" s="252"/>
      <c r="E31" s="18"/>
      <c r="F31" s="252"/>
      <c r="G31" s="18"/>
      <c r="H31" s="252"/>
      <c r="I31" s="18"/>
      <c r="J31" s="252"/>
      <c r="K31" s="18"/>
    </row>
    <row r="32" spans="1:14" ht="13.8" x14ac:dyDescent="0.3">
      <c r="A32" s="142" t="s">
        <v>363</v>
      </c>
      <c r="B32" s="254">
        <f>IF(AND(ISNUMBER(MATCH(Bron!$B$10,'analyse bij belofte 3'!$B$1:$H$1,0)),ISNUMBER(MATCH(Bron!$B$11,'analyse bij belofte 3'!$B$1:$H$1,0))),IF(B1=Bron!$B$10,samen!$M$66*(samen!$N$66-50)*samen!$O$66,samen!$Q$57),IF(B1=Bron!$B$8,'NB 21%'!$M$37*('NB 21%'!$N$37-50)*'NB 21%'!$O$37,IF(B1=Bron!$B$9,'NB 6-12-21%'!$M$48*('NB 6-12-21%'!$N$48-50)*'NB 6-12-21%'!$O$48+'NB 6-12-21%'!$M$56*('NB 6-12-21%'!$N$56-50)*'NB 6-12-21%'!$O$56,IF(B1=Bron!$B$10,UITB!$M$49*(UITB!$N$49-50)*UITB!$O$49,IF(B1=Bron!$B$11,VERB!$Q$56,IF(B1=Bron!$B$12,VERB!$Q$56,IF(B1=Bron!$B$13,'NB 21% light'!$M$50*('NB 21% light'!$N$50-50)*'NB 21% light'!$O$50,IF(B1=Bron!$B$14,'NB 6-12-21% light'!$M$47*('NB 6-12-21% light'!$N$47-50)*'NB 6-12-21% light'!$O$47+'NB 6-12-21% light'!$M$55*('NB 6-12-21% light'!$N$55-50)*'NB 6-12-21% light'!$O$55,IF(B1=Bron!$B$16,'AK+VERB'!$Q$72,0)))))))))</f>
        <v>0</v>
      </c>
      <c r="C32" s="18"/>
      <c r="D32" s="254">
        <f>IF(AND(ISNUMBER(MATCH(Bron!$B$10,'analyse bij belofte 3'!$B$1:$H$1,0)),ISNUMBER(MATCH(Bron!$B$11,'analyse bij belofte 3'!$B$1:$H$1,0))),IF(D1=Bron!$B$10,samen!$M$66*(samen!$N$66-50)*samen!$O$66,samen!$Q$57),IF(D1=Bron!$B$8,'NB 21%'!$M$37*('NB 21%'!$N$37-50)*'NB 21%'!$O$37,IF(D1=Bron!$B$9,'NB 6-12-21%'!$M$48*('NB 6-12-21%'!$N$48-50)*'NB 6-12-21%'!$O$48+'NB 6-12-21%'!$M$56*('NB 6-12-21%'!$N$56-50)*'NB 6-12-21%'!$O$56,IF(D1=Bron!$B$10,UITB!$M$49*(UITB!$N$49-50)*UITB!$O$49,IF(D1=Bron!$B$11,VERB!$Q$56,IF(D1=Bron!$B$12,VERB!$Q$56,IF(D1=Bron!$B$13,'NB 21% light'!$M$50*('NB 21% light'!$N$50-50)*'NB 21% light'!$O$50,IF(D1=Bron!$B$14,'NB 6-12-21% light'!$M$47*('NB 6-12-21% light'!$N$47-50)*'NB 6-12-21% light'!$O$47+'NB 6-12-21% light'!$M$55*('NB 6-12-21% light'!$N$55-50)*'NB 6-12-21% light'!$O$55,IF(D1=Bron!$B$16,'AK+VERB'!$Q$72,0)))))))))</f>
        <v>0</v>
      </c>
      <c r="E32" s="51"/>
      <c r="F32" s="254">
        <f>IF(AND(ISNUMBER(MATCH(Bron!$B$10,'analyse bij belofte 3'!$B$1:$H$1,0)),ISNUMBER(MATCH(Bron!$B$11,'analyse bij belofte 3'!$B$1:$H$1,0))),IF(F1=Bron!$B$10,samen!$M$66*(samen!$N$66-50)*samen!$O$66,samen!$Q$57),IF(F1=Bron!$B$8,'NB 21%'!$M$37*('NB 21%'!$N$37-50)*'NB 21%'!$O$37,IF(F1=Bron!$B$9,'NB 6-12-21%'!$M$48*('NB 6-12-21%'!$N$48-50)*'NB 6-12-21%'!$O$48+'NB 6-12-21%'!$M$56*('NB 6-12-21%'!$N$56-50)*'NB 6-12-21%'!$O$56,IF(F1=Bron!$B$10,UITB!$M$49*(UITB!$N$49-50)*UITB!$O$49,IF(F1=Bron!$B$11,VERB!$Q$56,IF(F1=Bron!$B$12,VERB!$Q$56,IF(F1=Bron!$B$13,'NB 21% light'!$M$50*('NB 21% light'!$N$50-50)*'NB 21% light'!$O$50,IF(F1=Bron!$B$14,'NB 6-12-21% light'!$M$47*('NB 6-12-21% light'!$N$47-50)*'NB 6-12-21% light'!$O$47+'NB 6-12-21% light'!$M$55*('NB 6-12-21% light'!$N$55-50)*'NB 6-12-21% light'!$O$55,IF(F1=Bron!$B$16,'AK+VERB'!$Q$72,0)))))))))</f>
        <v>0</v>
      </c>
      <c r="G32" s="51"/>
      <c r="H32" s="254">
        <f>IF(AND(ISNUMBER(MATCH(Bron!$B$10,'analyse bij belofte 3'!$B$1:$H$1,0)),ISNUMBER(MATCH(Bron!$B$11,'analyse bij belofte 3'!$B$1:$H$1,0))),IF(H1=Bron!$B$10,samen!$M$66*(samen!$N$66-50)*samen!$O$66,samen!$Q$57),IF(H1=Bron!$B$8,'NB 21%'!$M$37*('NB 21%'!$N$37-50)*'NB 21%'!$O$37,IF(H1=Bron!$B$9,'NB 6-12-21%'!$M$48*('NB 6-12-21%'!$N$48-50)*'NB 6-12-21%'!$O$48+'NB 6-12-21%'!$M$56*('NB 6-12-21%'!$N$56-50)*'NB 6-12-21%'!$O$56,IF(H1=Bron!$B$10,UITB!$M$49*(UITB!$N$49-50)*UITB!$O$49,IF(H1=Bron!$B$11,VERB!$Q$56,IF(H1=Bron!$B$12,VERB!$Q$56,IF(H1=Bron!$B$13,'NB 21% light'!$M$50*('NB 21% light'!$N$50-50)*'NB 21% light'!$O$50,IF(H1=Bron!$B$14,'NB 6-12-21% light'!$M$47*('NB 6-12-21% light'!$N$47-50)*'NB 6-12-21% light'!$O$47+'NB 6-12-21% light'!$M$55*('NB 6-12-21% light'!$N$55-50)*'NB 6-12-21% light'!$O$55,IF(H1=Bron!$B$16,'AK+VERB'!$Q$72,0)))))))))</f>
        <v>0</v>
      </c>
      <c r="I32" s="51"/>
      <c r="J32" s="255">
        <f>H32+F32+D32+B32</f>
        <v>0</v>
      </c>
      <c r="K32" s="18"/>
    </row>
    <row r="33" spans="1:11" ht="13.8" x14ac:dyDescent="0.3">
      <c r="A33" s="142" t="s">
        <v>364</v>
      </c>
      <c r="B33" s="816">
        <f>IFERROR(IF(AND(ISNUMBER(MATCH(Bron!$B$10,'analyse bij belofte 1'!$B$1:$H$1,0)),ISNUMBER(MATCH(Bron!$B$11,'analyse bij belofte 1'!$B$1:$H$1,0))),IF(B1=Bron!$B$10,samen!$Q$118+samen!$Q$128*samen!$M$114/samen!$G$122,samen!$Q$109+samen!$Q$128*samen!$M$102/samen!$M$122),IF(B1=Bron!$B$9,'NB 6-12-21%'!$Q$62,IF(B1=Bron!$B$10,UITB!$Q$76,IF(OR(B1=Bron!$B$11,B1=Bron!$B$12),VERB!$Q$83,IF(B1=Bron!$B$8,'NB 21%'!$P$56,IF(B1=Bron!$B$13,'NB 21% light'!$P$54,IF(B1=Bron!$B$14,'NB 6-12-21% light'!$Q$61,IF(B1=Bron!$B$16,'AK+VERB'!$Q$75,0)))))))),0)</f>
        <v>0</v>
      </c>
      <c r="C33" s="18"/>
      <c r="D33" s="816">
        <f>IFERROR(IF(AND(ISNUMBER(MATCH(Bron!$B$10,'analyse bij belofte 1'!$B$1:$H$1,0)),ISNUMBER(MATCH(Bron!$B$11,'analyse bij belofte 1'!$B$1:$H$1,0))),IF(D1=Bron!$B$10,samen!$Q$118+samen!$Q$128*samen!$M$114/samen!$G$122,samen!$Q$109+samen!$Q$128*samen!$M$102/samen!$M$122),IF(D1=Bron!$B$9,'NB 6-12-21%'!$Q$62,IF(D1=Bron!$B$10,UITB!$Q$76,IF(OR(D1=Bron!$B$11,D1=Bron!$B$12),VERB!$Q$83,IF(D1=Bron!$B$8,'NB 21%'!$P$56,IF(D1=Bron!$B$13,'NB 21% light'!$P$54,IF(D1=Bron!$B$14,'NB 6-12-21% light'!$Q$61,IF(D1=Bron!$B$16,'AK+VERB'!$Q$75,0)))))))),0)</f>
        <v>0</v>
      </c>
      <c r="E33" s="51"/>
      <c r="F33" s="816">
        <f>IFERROR(IF(AND(ISNUMBER(MATCH(Bron!$B$10,'analyse bij belofte 1'!$B$1:$H$1,0)),ISNUMBER(MATCH(Bron!$B$11,'analyse bij belofte 1'!$B$1:$H$1,0))),IF(F1=Bron!$B$10,samen!$Q$118+samen!$Q$128*samen!$M$114/samen!$G$122,samen!$Q$109+samen!$Q$128*samen!$M$102/samen!$M$122),IF(F1=Bron!$B$9,'NB 6-12-21%'!$Q$62,IF(F1=Bron!$B$10,UITB!$Q$76,IF(OR(F1=Bron!$B$11,F1=Bron!$B$12),VERB!$Q$83,IF(F1=Bron!$B$8,'NB 21%'!$P$56,IF(F1=Bron!$B$13,'NB 21% light'!$P$54,IF(F1=Bron!$B$14,'NB 6-12-21% light'!$Q$61,IF(F1=Bron!$B$16,'AK+VERB'!$Q$75,0)))))))),0)</f>
        <v>0</v>
      </c>
      <c r="G33" s="51"/>
      <c r="H33" s="816">
        <f>IFERROR(IF(AND(ISNUMBER(MATCH(Bron!$B$10,'analyse bij belofte 1'!$B$1:$H$1,0)),ISNUMBER(MATCH(Bron!$B$11,'analyse bij belofte 1'!$B$1:$H$1,0))),IF(H1=Bron!$B$10,samen!$Q$118+samen!$Q$128*samen!$M$114/samen!$G$122,samen!$Q$109+samen!$Q$128*samen!$M$102/samen!$M$122),IF(H1=Bron!$B$9,'NB 6-12-21%'!$Q$62,IF(H1=Bron!$B$10,UITB!$Q$76,IF(OR(H1=Bron!$B$11,H1=Bron!$B$12),VERB!$Q$83,IF(H1=Bron!$B$8,'NB 21%'!$P$56,IF(H1=Bron!$B$13,'NB 21% light'!$P$54,IF(H1=Bron!$B$14,'NB 6-12-21% light'!$Q$61,IF(H1=Bron!$B$16,'AK+VERB'!$Q$75,0)))))))),0)</f>
        <v>0</v>
      </c>
      <c r="I33" s="51"/>
      <c r="J33" s="255">
        <f>H33+F33+D33+B33</f>
        <v>0</v>
      </c>
      <c r="K33" s="18"/>
    </row>
    <row r="34" spans="1:11" ht="13.8" x14ac:dyDescent="0.3">
      <c r="A34" s="142" t="s">
        <v>395</v>
      </c>
      <c r="B34" s="816">
        <f>IFERROR(IF(AND(ISNUMBER(MATCH(Bron!$B$10,$B$1:$H$1,0)),ISNUMBER(MATCH(Bron!$B$11,$B$1:$H$1,0))),IF(B1=Bron!$B$10,samen!$Q$95*samen!$M$114/samen!$M$122,IF(B1=Bron!$B$11,samen!$Q$95*samen!$M$102/samen!$M$122,0)),IF(B1=Bron!$B$9,'NB 6-12-21%'!$Q$78,IF(B1=Bron!$B$10,UITB!$Q$78,IF(OR(B1=Bron!$B$11,B1=Bron!$B$12),VERB!$Q$85,IF(B1=Bron!$B$8,'NB 21%'!$P$58,IF(B1=Bron!$B$13,'NB 21% light'!$P$79,IF(B1=Bron!$B$14,'NB 6-12-21% light'!$Q$77,IF(B1=Bron!$B$16,'AK+VERB'!$Q$95,0)))))))),0)</f>
        <v>0</v>
      </c>
      <c r="C34" s="18"/>
      <c r="D34" s="816">
        <f>IFERROR(IF(AND(ISNUMBER(MATCH(Bron!$B$10,$B$1:$H$1,0)),ISNUMBER(MATCH(Bron!$B$11,$B$1:$H$1,0))),IF(D1=Bron!$B$10,samen!$Q$95*samen!$M$114/samen!$M$122,IF(D1=Bron!$B$11,samen!$Q$95*samen!$M$102/samen!$M$122,0)),IF(D1=Bron!$B$9,'NB 6-12-21%'!$Q$78,IF(D1=Bron!$B$10,UITB!$Q$78,IF(OR(D1=Bron!$B$11,D1=Bron!$B$12),VERB!$Q$85,IF(D1=Bron!$B$8,'NB 21%'!$P$58,IF(D1=Bron!$B$13,'NB 21% light'!$P$79,IF(D1=Bron!$B$14,'NB 6-12-21% light'!$Q$77,IF(D1=Bron!$B$16,'AK+VERB'!$Q$95,0)))))))),0)</f>
        <v>0</v>
      </c>
      <c r="E34" s="51"/>
      <c r="F34" s="816">
        <f>IFERROR(IF(AND(ISNUMBER(MATCH(Bron!$B$10,$B$1:$H$1,0)),ISNUMBER(MATCH(Bron!$B$11,$B$1:$H$1,0))),IF(F1=Bron!$B$10,samen!$Q$95*samen!$M$114/samen!$M$122,IF(F1=Bron!$B$11,samen!$Q$95*samen!$M$102/samen!$M$122,0)),IF(F1=Bron!$B$9,'NB 6-12-21%'!$Q$78,IF(F1=Bron!$B$10,UITB!$Q$78,IF(OR(F1=Bron!$B$11,F1=Bron!$B$12),VERB!$Q$85,IF(F1=Bron!$B$8,'NB 21%'!$P$58,IF(F1=Bron!$B$13,'NB 21% light'!$P$79,IF(F1=Bron!$B$14,'NB 6-12-21% light'!$Q$77,IF(F1=Bron!$B$16,'AK+VERB'!$Q$95,0)))))))),0)</f>
        <v>0</v>
      </c>
      <c r="G34" s="51"/>
      <c r="H34" s="816">
        <f>IFERROR(IF(AND(ISNUMBER(MATCH(Bron!$B$10,$B$1:$H$1,0)),ISNUMBER(MATCH(Bron!$B$11,$B$1:$H$1,0))),IF(H1=Bron!$B$10,samen!$Q$95*samen!$M$114/samen!$M$122,IF(H1=Bron!$B$11,samen!$Q$95*samen!$M$102/samen!$M$122,0)),IF(H1=Bron!$B$9,'NB 6-12-21%'!$Q$78,IF(H1=Bron!$B$10,UITB!$Q$78,IF(OR(H1=Bron!$B$11,H1=Bron!$B$12),VERB!$Q$85,IF(H1=Bron!$B$8,'NB 21%'!$P$58,IF(H1=Bron!$B$13,'NB 21% light'!$P$79,IF(H1=Bron!$B$14,'NB 6-12-21% light'!$Q$77,IF(H1=Bron!$B$16,'AK+VERB'!$Q$95,0)))))))),0)</f>
        <v>0</v>
      </c>
      <c r="I34" s="51"/>
      <c r="J34" s="255">
        <f>H34+F34+D34+B34</f>
        <v>0</v>
      </c>
      <c r="K34" s="18"/>
    </row>
    <row r="35" spans="1:11" ht="13.8" x14ac:dyDescent="0.3">
      <c r="A35" s="142" t="s">
        <v>365</v>
      </c>
      <c r="B35" s="254" t="str">
        <f>IF(B5=Bron!$B$15,AKzondVERB!$Q$7,IF(B5=Bron!$B$16,'AK+VERB'!$Q$62,""))</f>
        <v/>
      </c>
      <c r="C35" s="18"/>
      <c r="D35" s="254" t="str">
        <f>IF(D5=Bron!$B$15,AKzondVERB!$Q$7,IF(D5=Bron!$B$16,'AK+VERB'!$Q$62,""))</f>
        <v/>
      </c>
      <c r="E35" s="51"/>
      <c r="F35" s="254" t="str">
        <f>IF(F5=Bron!$B$15,AKzondVERB!$Q$7,IF(F5=Bron!$B$16,'AK+VERB'!$Q$62,""))</f>
        <v/>
      </c>
      <c r="G35" s="51"/>
      <c r="H35" s="254" t="str">
        <f>IF(H5=Bron!$B$15,AKzondVERB!$Q$7,IF(H5=Bron!$B$16,'AK+VERB'!$Q$62,""))</f>
        <v/>
      </c>
      <c r="I35" s="51"/>
      <c r="J35" s="255">
        <f>IF(ISNUMBER(H35),H35,0)+IF(ISNUMBER(F35),F35,0)+IF(ISNUMBER(D35),D35,0)+IF(ISNUMBER(B35),B35,0)</f>
        <v>0</v>
      </c>
      <c r="K35" s="18"/>
    </row>
    <row r="36" spans="1:11" ht="13.8" x14ac:dyDescent="0.3">
      <c r="A36" s="142" t="s">
        <v>366</v>
      </c>
      <c r="B36" s="254" t="str">
        <f>IF(B5=Bron!$B$15,AKzondVERB!$Q$9,IF(B5=Bron!$B$16,'AK+VERB'!$Q$69+'AK+VERB'!$Q$70,""))</f>
        <v/>
      </c>
      <c r="C36" s="18"/>
      <c r="D36" s="254" t="str">
        <f>IF(D5=Bron!$B$15,AKzondVERB!$Q$9,IF(D5=Bron!$B$16,'AK+VERB'!$Q$69+'AK+VERB'!$Q$70,""))</f>
        <v/>
      </c>
      <c r="E36" s="51"/>
      <c r="F36" s="254" t="str">
        <f>IF(F5=Bron!$B$15,AKzondVERB!$Q$9,IF(F5=Bron!$B$16,'AK+VERB'!$Q$69+'AK+VERB'!$Q$70,""))</f>
        <v/>
      </c>
      <c r="G36" s="51"/>
      <c r="H36" s="254" t="str">
        <f>IF(H5=Bron!$B$15,AKzondVERB!$Q$9,IF(H5=Bron!$B$16,'AK+VERB'!$Q$69+'AK+VERB'!$Q$70,""))</f>
        <v/>
      </c>
      <c r="I36" s="51"/>
      <c r="J36" s="255">
        <f>IF(ISNUMBER(H36),H36,0)+IF(ISNUMBER(F36),F36,0)+IF(ISNUMBER(D36),D36,0)+IF(ISNUMBER(B36),B36,0)</f>
        <v>0</v>
      </c>
      <c r="K36" s="18"/>
    </row>
    <row r="37" spans="1:11" ht="13.8" x14ac:dyDescent="0.3">
      <c r="A37" s="509" t="s">
        <v>367</v>
      </c>
      <c r="B37" s="254"/>
      <c r="C37" s="18"/>
      <c r="D37" s="254"/>
      <c r="E37" s="51"/>
      <c r="F37" s="254"/>
      <c r="G37" s="51"/>
      <c r="H37" s="254"/>
      <c r="I37" s="51"/>
      <c r="J37" s="255"/>
      <c r="K37" s="18"/>
    </row>
    <row r="38" spans="1:11" ht="13.8" x14ac:dyDescent="0.3">
      <c r="A38" s="142" t="s">
        <v>368</v>
      </c>
      <c r="B38" s="254">
        <f>IF(AND(ISNUMBER(MATCH(Bron!$B$10,'analyse bij belofte 3'!$B$1:$H$1,0)),ISNUMBER(MATCH(Bron!$B$11,'analyse bij belofte 3'!$B$1:$H$1,0))),IF(B1=Bron!$B$10,samen!Q106*(samen!$N$102-50)*samen!$O$102,samen!$Q$105),IF(B1=Bron!$B$8,'NB 21%'!$M$72*('NB 21%'!$N$72-50)*'NB 21%'!$O$72,IF(B1=Bron!$B$9,'NB 6-12-21%'!$M$92*('NB 6-12-21%'!$N$92-50)*'NB 6-12-21%'!OI$92+'NB 6-12-21%'!$M$100*('NB 6-12-21%'!$N$100-50)*'NB 6-12-21%'!$O$100,IF(B1=Bron!$B$10,UITB!$M$93*(UITB!$N$93-50)*UITB!$O$93,IF(B1=Bron!$B$11,VERB!$Q$104,IF(B1=Bron!$B$12,VERB!$Q$104,IF(B1=Bron!$B$13,'NB 21% light'!$M$94*('NB 21% light'!$N$94-50)*'NB 21% light'!$O$94,IF(B1=Bron!$B$14,'NB 6-12-21% light'!$M$91*('NB 6-12-21% light'!$N$91-50)*'NB 6-12-21% light'!$O$91+'NB 6-12-21% light'!$M$99*('NB 6-12-21% light'!$N$99-50)*'NB 6-12-21% light'!$O$99,IF(B1=Bron!$B$16,'AK+VERB'!$Q$128,0)))))))))</f>
        <v>0</v>
      </c>
      <c r="C38" s="18"/>
      <c r="D38" s="254">
        <f>IF(AND(ISNUMBER(MATCH(Bron!$B$10,'analyse bij belofte 3'!$B$1:$H$1,0)),ISNUMBER(MATCH(Bron!$B$11,'analyse bij belofte 3'!$B$1:$H$1,0))),IF(D1=Bron!$B$10,samen!S99*(samen!$N$102-50)*samen!$O$102,samen!$Q$105),IF(D1=Bron!$B$8,'NB 21%'!$M$72*('NB 21%'!$N$72-50)*'NB 21%'!$O$72,IF(D1=Bron!$B$9,'NB 6-12-21%'!$M$92*('NB 6-12-21%'!$N$92-50)*'NB 6-12-21%'!OK$92+'NB 6-12-21%'!$M$100*('NB 6-12-21%'!$N$100-50)*'NB 6-12-21%'!$O$100,IF(D1=Bron!$B$10,UITB!$M$93*(UITB!$N$93-50)*UITB!$O$93,IF(D1=Bron!$B$11,VERB!$Q$104,IF(D1=Bron!$B$12,VERB!$Q$104,IF(D1=Bron!$B$13,'NB 21% light'!$M$94*('NB 21% light'!$N$94-50)*'NB 21% light'!$O$94,IF(D1=Bron!$B$14,'NB 6-12-21% light'!$M$91*('NB 6-12-21% light'!$N$91-50)*'NB 6-12-21% light'!$O$91+'NB 6-12-21% light'!$M$99*('NB 6-12-21% light'!$N$99-50)*'NB 6-12-21% light'!$O$99,IF(D1=Bron!$B$16,'AK+VERB'!$Q$128,0)))))))))</f>
        <v>0</v>
      </c>
      <c r="E38" s="51"/>
      <c r="F38" s="254">
        <f>IF(AND(ISNUMBER(MATCH(Bron!$B$10,'analyse bij belofte 3'!$B$1:$H$1,0)),ISNUMBER(MATCH(Bron!$B$11,'analyse bij belofte 3'!$B$1:$H$1,0))),IF(F1=Bron!$B$10,samen!U99*(samen!$N$102-50)*samen!$O$102,samen!$Q$105),IF(F1=Bron!$B$8,'NB 21%'!$M$72*('NB 21%'!$N$72-50)*'NB 21%'!$O$72,IF(F1=Bron!$B$9,'NB 6-12-21%'!$M$92*('NB 6-12-21%'!$N$92-50)*'NB 6-12-21%'!OM$92+'NB 6-12-21%'!$M$100*('NB 6-12-21%'!$N$100-50)*'NB 6-12-21%'!$O$100,IF(F1=Bron!$B$10,UITB!$M$93*(UITB!$N$93-50)*UITB!$O$93,IF(F1=Bron!$B$11,VERB!$Q$104,IF(F1=Bron!$B$12,VERB!$Q$104,IF(F1=Bron!$B$13,'NB 21% light'!$M$94*('NB 21% light'!$N$94-50)*'NB 21% light'!$O$94,IF(F1=Bron!$B$14,'NB 6-12-21% light'!$M$91*('NB 6-12-21% light'!$N$91-50)*'NB 6-12-21% light'!$O$91+'NB 6-12-21% light'!$M$99*('NB 6-12-21% light'!$N$99-50)*'NB 6-12-21% light'!$O$99,IF(F1=Bron!$B$16,'AK+VERB'!$Q$128,0)))))))))</f>
        <v>0</v>
      </c>
      <c r="G38" s="51"/>
      <c r="H38" s="254">
        <f>IF(AND(ISNUMBER(MATCH(Bron!$B$10,'analyse bij belofte 3'!$B$1:$H$1,0)),ISNUMBER(MATCH(Bron!$B$11,'analyse bij belofte 3'!$B$1:$H$1,0))),IF(H1=Bron!$B$10,samen!W99*(samen!$N$102-50)*samen!$O$102,samen!$Q$105),IF(H1=Bron!$B$8,'NB 21%'!$M$72*('NB 21%'!$N$72-50)*'NB 21%'!$O$72,IF(H1=Bron!$B$9,'NB 6-12-21%'!$M$92*('NB 6-12-21%'!$N$92-50)*'NB 6-12-21%'!OO$92+'NB 6-12-21%'!$M$100*('NB 6-12-21%'!$N$100-50)*'NB 6-12-21%'!$O$100,IF(H1=Bron!$B$10,UITB!$M$93*(UITB!$N$93-50)*UITB!$O$93,IF(H1=Bron!$B$11,VERB!$Q$104,IF(H1=Bron!$B$12,VERB!$Q$104,IF(H1=Bron!$B$13,'NB 21% light'!$M$94*('NB 21% light'!$N$94-50)*'NB 21% light'!$O$94,IF(H1=Bron!$B$14,'NB 6-12-21% light'!$M$91*('NB 6-12-21% light'!$N$91-50)*'NB 6-12-21% light'!$O$91+'NB 6-12-21% light'!$M$99*('NB 6-12-21% light'!$N$99-50)*'NB 6-12-21% light'!$O$99,IF(H1=Bron!$B$16,'AK+VERB'!$Q$128,0)))))))))</f>
        <v>0</v>
      </c>
      <c r="I38" s="51"/>
      <c r="J38" s="255">
        <f t="shared" ref="J38:J39" si="0">H38+F38+D38+B38</f>
        <v>0</v>
      </c>
      <c r="K38" s="18"/>
    </row>
    <row r="39" spans="1:11" ht="13.8" x14ac:dyDescent="0.3">
      <c r="A39" s="142" t="s">
        <v>369</v>
      </c>
      <c r="B39" s="254">
        <f>IF(AND(ISNUMBER(MATCH(Bron!$B$10,'analyse bij belofte 3'!$B$1:$H$1,0)),ISNUMBER(MATCH(Bron!$B$11,'analyse bij belofte 3'!$B$1:$H$1,0))),IF(B1=Bron!$B$10,samen!$Q$118+samen!$Q$141*samen!$M$114/samen!$M$122,samen!$Q$109+samen!$Q$128*samen!$M$102/samen!$M$122),IF(B1=Bron!$B$9,'NB 6-12-21%'!$Q$62,IF(B1=Bron!$B$10,UITB!$Q$76,IF(B1=Bron!$B$11,VERB!$Q$83,IF(B1=Bron!$B$12,VERB!$Q$83,IF(B1=Bron!$B$8,'NB 21%'!$P$41,IF(B1=Bron!$B$13,'NB 21% light'!$P$54,IF(B1=Bron!$B$14,'NB 6-12-21% light'!$Q$61,IF(B1=Bron!$B$16,'AK+VERB'!$Q$79,0)))))))))</f>
        <v>0</v>
      </c>
      <c r="C39" s="18"/>
      <c r="D39" s="254">
        <f>IF(AND(ISNUMBER(MATCH(Bron!$B$10,'analyse bij belofte 3'!$B$1:$H$1,0)),ISNUMBER(MATCH(Bron!$B$11,'analyse bij belofte 3'!$B$1:$H$1,0))),IF(D1=Bron!$B$10,samen!$Q$118+samen!$Q$141*samen!$M$114/samen!$M$122,samen!$Q$109+samen!$Q$128*samen!$M$102/samen!$M$122),IF(D1=Bron!$B$9,'NB 6-12-21%'!$Q$62,IF(D1=Bron!$B$10,UITB!$Q$76,IF(D1=Bron!$B$11,VERB!$Q$83,IF(D1=Bron!$B$12,VERB!$Q$83,IF(D1=Bron!$B$8,'NB 21%'!$P$41,IF(D1=Bron!$B$13,'NB 21% light'!$P$54,IF(D1=Bron!$B$14,'NB 6-12-21% light'!$Q$61,IF(D1=Bron!$B$16,'AK+VERB'!$Q$79,0)))))))))</f>
        <v>0</v>
      </c>
      <c r="E39" s="51"/>
      <c r="F39" s="254">
        <f>IF(AND(ISNUMBER(MATCH(Bron!$B$10,'analyse bij belofte 3'!$B$1:$H$1,0)),ISNUMBER(MATCH(Bron!$B$11,'analyse bij belofte 3'!$B$1:$H$1,0))),IF(F1=Bron!$B$10,samen!$Q$118+samen!$Q$141*samen!$M$114/samen!$M$122,samen!$Q$109+samen!$Q$128*samen!$M$102/samen!$M$122),IF(F1=Bron!$B$9,'NB 6-12-21%'!$Q$62,IF(F1=Bron!$B$10,UITB!$Q$76,IF(F1=Bron!$B$11,VERB!$Q$83,IF(F1=Bron!$B$12,VERB!$Q$83,IF(F1=Bron!$B$8,'NB 21%'!$P$41,IF(F1=Bron!$B$13,'NB 21% light'!$P$54,IF(F1=Bron!$B$14,'NB 6-12-21% light'!$Q$61,IF(F1=Bron!$B$16,'AK+VERB'!$Q$79,0)))))))))</f>
        <v>0</v>
      </c>
      <c r="G39" s="51"/>
      <c r="H39" s="254">
        <f>IF(AND(ISNUMBER(MATCH(Bron!$B$10,'analyse bij belofte 3'!$B$1:$H$1,0)),ISNUMBER(MATCH(Bron!$B$11,'analyse bij belofte 3'!$B$1:$H$1,0))),IF(H1=Bron!$B$10,samen!$Q$118+samen!$Q$141*samen!$M$114/samen!$M$122,samen!$Q$109+samen!$Q$128*samen!$M$102/samen!$M$122),IF(H1=Bron!$B$9,'NB 6-12-21%'!$Q$62,IF(H1=Bron!$B$10,UITB!$Q$76,IF(H1=Bron!$B$11,VERB!$Q$83,IF(H1=Bron!$B$12,VERB!$Q$83,IF(H1=Bron!$B$8,'NB 21%'!$P$41,IF(H1=Bron!$B$13,'NB 21% light'!$P$54,IF(H1=Bron!$B$14,'NB 6-12-21% light'!$Q$61,IF(H1=Bron!$B$16,'AK+VERB'!$Q$79,0)))))))))</f>
        <v>0</v>
      </c>
      <c r="I39" s="51"/>
      <c r="J39" s="255">
        <f t="shared" si="0"/>
        <v>0</v>
      </c>
      <c r="K39" s="18"/>
    </row>
    <row r="40" spans="1:11" ht="13.8" x14ac:dyDescent="0.3">
      <c r="A40" s="509" t="s">
        <v>370</v>
      </c>
      <c r="B40" s="254"/>
      <c r="C40" s="18"/>
      <c r="D40" s="254"/>
      <c r="E40" s="51"/>
      <c r="F40" s="254"/>
      <c r="G40" s="51"/>
      <c r="H40" s="254"/>
      <c r="I40" s="51"/>
      <c r="J40" s="255"/>
      <c r="K40" s="18"/>
    </row>
    <row r="41" spans="1:11" ht="13.8" x14ac:dyDescent="0.3">
      <c r="A41" s="142" t="s">
        <v>363</v>
      </c>
      <c r="B41" s="254">
        <f>IF(AND(ISNUMBER(MATCH(Bron!$B$10,'analyse bij belofte 3'!$B$1:$H$1,0)),ISNUMBER(MATCH(Bron!$B$11,'analyse bij belofte 3'!$B$1:$H$1,0))),IF(B1=Bron!$B$10,samen!$M$17*(samen!$N$17-50)*samen!$O$17,samen!Q12),IF(B1=Bron!$B$8,'NB 21%'!$M$4*('NB 21%'!$N$4-50)*'NB 21%'!$O$4,IF(B1=Bron!$B$9,'NB 6-12-21%'!$M$4*('NB 6-12-21%'!$N$4-50)*'NB 6-12-21%'!$O$4+'NB 6-12-21%'!$M$12*('NB 6-12-21%'!$N$12-50)*'NB 6-12-21%'!$O$12,IF(B1=Bron!$B$10,UITB!$M$5*(UITB!$N$5-50)*UITB!$O$5,IF(B1=Bron!$B$11,VERB!$Q$8,IF(B1=Bron!$B$12,VERB!$Q$8,IF(B1=Bron!$B$13,'NB 21% light'!$M$5*('NB 21% light'!$N$5-50)*'NB 21% light'!$O$5,IF(B1=Bron!$B$14,'NB 6-12-21% light'!$M$4*('NB 6-12-21% light'!$N$4-50)*'NB 6-12-21% light'!$O$4+'NB 6-12-21% light'!$M$12*('NB 6-12-21% light'!$N$12-50)*'NB 6-12-21% light'!$O$12,IF(B1=Bron!$B$16,'AK+VERB'!$Q$8,0)))))))))</f>
        <v>0</v>
      </c>
      <c r="C41" s="18"/>
      <c r="D41" s="254">
        <f>IF(AND(ISNUMBER(MATCH(Bron!$B$10,'analyse bij belofte 3'!$B$1:$H$1,0)),ISNUMBER(MATCH(Bron!$B$11,'analyse bij belofte 3'!$B$1:$H$1,0))),IF(D1=Bron!$B$10,samen!$M$17*(samen!$N$17-50)*samen!$O$17,samen!S12),IF(D1=Bron!$B$8,'NB 21%'!$M$4*('NB 21%'!$N$4-50)*'NB 21%'!$O$4,IF(D1=Bron!$B$9,'NB 6-12-21%'!$M$4*('NB 6-12-21%'!$N$4-50)*'NB 6-12-21%'!$O$4+'NB 6-12-21%'!$M$12*('NB 6-12-21%'!$N$12-50)*'NB 6-12-21%'!$O$12,IF(D1=Bron!$B$10,UITB!$M$5*(UITB!$N$5-50)*UITB!$O$5,IF(D1=Bron!$B$11,VERB!$Q$8,IF(D1=Bron!$B$12,VERB!$Q$8,IF(D1=Bron!$B$13,'NB 21% light'!$M$5*('NB 21% light'!$N$5-50)*'NB 21% light'!$O$5,IF(D1=Bron!$B$14,'NB 6-12-21% light'!$M$4*('NB 6-12-21% light'!$N$4-50)*'NB 6-12-21% light'!$O$4+'NB 6-12-21% light'!$M$12*('NB 6-12-21% light'!$N$12-50)*'NB 6-12-21% light'!$O$12,IF(D1=Bron!$B$16,'AK+VERB'!$Q$8,0)))))))))</f>
        <v>0</v>
      </c>
      <c r="E41" s="51"/>
      <c r="F41" s="254">
        <f>IF(AND(ISNUMBER(MATCH(Bron!$B$10,'analyse bij belofte 3'!$B$1:$H$1,0)),ISNUMBER(MATCH(Bron!$B$11,'analyse bij belofte 3'!$B$1:$H$1,0))),IF(F1=Bron!$B$10,samen!$M$17*(samen!$N$17-50)*samen!$O$17,samen!U12),IF(F1=Bron!$B$8,'NB 21%'!$M$4*('NB 21%'!$N$4-50)*'NB 21%'!$O$4,IF(F1=Bron!$B$9,'NB 6-12-21%'!$M$4*('NB 6-12-21%'!$N$4-50)*'NB 6-12-21%'!$O$4+'NB 6-12-21%'!$M$12*('NB 6-12-21%'!$N$12-50)*'NB 6-12-21%'!$O$12,IF(F1=Bron!$B$10,UITB!$M$5*(UITB!$N$5-50)*UITB!$O$5,IF(F1=Bron!$B$11,VERB!$Q$8,IF(F1=Bron!$B$12,VERB!$Q$8,IF(F1=Bron!$B$13,'NB 21% light'!$M$5*('NB 21% light'!$N$5-50)*'NB 21% light'!$O$5,IF(F1=Bron!$B$14,'NB 6-12-21% light'!$M$4*('NB 6-12-21% light'!$N$4-50)*'NB 6-12-21% light'!$O$4+'NB 6-12-21% light'!$M$12*('NB 6-12-21% light'!$N$12-50)*'NB 6-12-21% light'!$O$12,IF(F1=Bron!$B$16,'AK+VERB'!$Q$8,0)))))))))</f>
        <v>0</v>
      </c>
      <c r="G41" s="51"/>
      <c r="H41" s="254">
        <f>IF(AND(ISNUMBER(MATCH(Bron!$B$10,'analyse bij belofte 3'!$B$1:$H$1,0)),ISNUMBER(MATCH(Bron!$B$11,'analyse bij belofte 3'!$B$1:$H$1,0))),IF(H1=Bron!$B$10,samen!$M$17*(samen!$N$17-50)*samen!$O$17,samen!W12),IF(H1=Bron!$B$8,'NB 21%'!$M$4*('NB 21%'!$N$4-50)*'NB 21%'!$O$4,IF(H1=Bron!$B$9,'NB 6-12-21%'!$M$4*('NB 6-12-21%'!$N$4-50)*'NB 6-12-21%'!$O$4+'NB 6-12-21%'!$M$12*('NB 6-12-21%'!$N$12-50)*'NB 6-12-21%'!$O$12,IF(H1=Bron!$B$10,UITB!$M$5*(UITB!$N$5-50)*UITB!$O$5,IF(H1=Bron!$B$11,VERB!$Q$8,IF(H1=Bron!$B$12,VERB!$Q$8,IF(H1=Bron!$B$13,'NB 21% light'!$M$5*('NB 21% light'!$N$5-50)*'NB 21% light'!$O$5,IF(H1=Bron!$B$14,'NB 6-12-21% light'!$M$4*('NB 6-12-21% light'!$N$4-50)*'NB 6-12-21% light'!$O$4+'NB 6-12-21% light'!$M$12*('NB 6-12-21% light'!$N$12-50)*'NB 6-12-21% light'!$O$12,IF(H1=Bron!$B$16,'AK+VERB'!$Q$8,0)))))))))</f>
        <v>0</v>
      </c>
      <c r="I41" s="51"/>
      <c r="J41" s="255">
        <f>H41+F41+D41+B41</f>
        <v>0</v>
      </c>
      <c r="K41" s="18"/>
    </row>
    <row r="42" spans="1:11" ht="13.8" x14ac:dyDescent="0.3">
      <c r="A42" s="142" t="s">
        <v>364</v>
      </c>
      <c r="B42" s="816">
        <f>IFERROR(IF(AND(ISNUMBER(MATCH(Bron!$B$10,'analyse bij belofte 1'!$B$1:$H$1,0)),ISNUMBER(MATCH(Bron!$B$11,'analyse bij belofte 1'!$B$1:$H$1,0))),IF(B1=Bron!$B$10,samen!$Q$21+samen!$Q$31*samen!$M$17/samen!$M$25,samen!$Q$12+samen!$Q$31*samen!$M$5/samen!$M$25),IF(B1=Bron!$B$9,'NB 6-12-21%'!$Q$62,IF(B1=Bron!$B$10,UITB!$Q$76,IF(OR(B1=Bron!$B$11,B1=Bron!B12),VERB!$Q$35,IF(B1=Bron!$B$8,'NB 21%'!$P$21,IF(B1=Bron!$B$13,'NB 21% light'!$P$32,IF(B1=Bron!$B$14,'NB 6-12-21% light'!$Q$31,IF(B1=Bron!$B$16,'AK+VERB'!$Q$37,0)))))))),0)</f>
        <v>0</v>
      </c>
      <c r="C42" s="18"/>
      <c r="D42" s="816">
        <f>IFERROR(IF(AND(ISNUMBER(MATCH(Bron!$B$10,'analyse bij belofte 1'!$B$1:$H$1,0)),ISNUMBER(MATCH(Bron!$B$11,'analyse bij belofte 1'!$B$1:$H$1,0))),IF(D1=Bron!$B$10,samen!$Q$21+samen!$Q$31*samen!$M$17/samen!$M$25,samen!$Q$12+samen!$Q$31*samen!$M$5/samen!$M$25),IF(D1=Bron!$B$9,'NB 6-12-21%'!$Q$62,IF(D1=Bron!$B$10,UITB!$Q$76,IF(OR(D1=Bron!$B$11,D1=Bron!D12),VERB!$Q$35,IF(D1=Bron!$B$8,'NB 21%'!$P$21,IF(D1=Bron!$B$13,'NB 21% light'!$P$32,IF(D1=Bron!$B$14,'NB 6-12-21% light'!$Q$31,IF(D1=Bron!$B$16,'AK+VERB'!$Q$37,0)))))))),0)</f>
        <v>0</v>
      </c>
      <c r="E42" s="51"/>
      <c r="F42" s="816">
        <f>IFERROR(IF(AND(ISNUMBER(MATCH(Bron!$B$10,'analyse bij belofte 1'!$B$1:$H$1,0)),ISNUMBER(MATCH(Bron!$B$11,'analyse bij belofte 1'!$B$1:$H$1,0))),IF(F1=Bron!$B$10,samen!$Q$21+samen!$Q$31*samen!$M$17/samen!$M$25,samen!$Q$12+samen!$Q$31*samen!$M$5/samen!$M$25),IF(F1=Bron!$B$9,'NB 6-12-21%'!$Q$62,IF(F1=Bron!$B$10,UITB!$Q$76,IF(OR(F1=Bron!$B$11,F1=Bron!F12),VERB!$Q$35,IF(F1=Bron!$B$8,'NB 21%'!$P$21,IF(F1=Bron!$B$13,'NB 21% light'!$P$32,IF(F1=Bron!$B$14,'NB 6-12-21% light'!$Q$31,IF(F1=Bron!$B$16,'AK+VERB'!$Q$37,0)))))))),0)</f>
        <v>0</v>
      </c>
      <c r="G42" s="51"/>
      <c r="H42" s="816">
        <f>IFERROR(IF(AND(ISNUMBER(MATCH(Bron!$B$10,'analyse bij belofte 1'!$B$1:$H$1,0)),ISNUMBER(MATCH(Bron!$B$11,'analyse bij belofte 1'!$B$1:$H$1,0))),IF(H1=Bron!$B$10,samen!$Q$21+samen!$Q$31*samen!$M$17/samen!$M$25,samen!$Q$12+samen!$Q$31*samen!$M$5/samen!$M$25),IF(H1=Bron!$B$9,'NB 6-12-21%'!$Q$62,IF(H1=Bron!$B$10,UITB!$Q$76,IF(OR(H1=Bron!$B$11,H1=Bron!H12),VERB!$Q$35,IF(H1=Bron!$B$8,'NB 21%'!$P$21,IF(H1=Bron!$B$13,'NB 21% light'!$P$32,IF(H1=Bron!$B$14,'NB 6-12-21% light'!$Q$31,IF(H1=Bron!$B$16,'AK+VERB'!$Q$37,0)))))))),0)</f>
        <v>0</v>
      </c>
      <c r="I42" s="51"/>
      <c r="J42" s="255">
        <f t="shared" ref="J42:J43" si="1">H42+F42+D42+B42</f>
        <v>0</v>
      </c>
      <c r="K42" s="18"/>
    </row>
    <row r="43" spans="1:11" ht="13.8" x14ac:dyDescent="0.3">
      <c r="A43" s="142" t="s">
        <v>395</v>
      </c>
      <c r="B43" s="816">
        <f>IFERROR(IF(AND(ISNUMBER(MATCH(Bron!$B$10,$B$1:$H$1,0)),ISNUMBER(MATCH(Bron!$B$11,$B$1:$H$1,0))),IF(B1=Bron!$B$10,samen!$Q$46*samen!$M$17/samen!$M$25,IF(B1=Bron!$B$11,samen!$Q$46*samen!$M$5/samen!$M$25,0)),IF(B1=Bron!$B$9,'NB 6-12-21%'!$Q$34,IF(B1=Bron!$B$10,UITB!$Q$34,IF(OR(B1=Bron!$B$11,B1=Bron!$B$12),VERB!$Q$37,IF(B1=Bron!$B$8,'NB 21%'!$P$23,IF(B1=Bron!$B$13,'NB 21% light'!$P$34,IF(B1=Bron!$B$14,'NB 6-12-21% light'!$Q$33,IF(B1=Bron!$B$16,'AK+VERB'!$Q$39,0)))))))),0)</f>
        <v>0</v>
      </c>
      <c r="C43" s="18"/>
      <c r="D43" s="816">
        <f>IFERROR(IF(AND(ISNUMBER(MATCH(Bron!$B$10,$B$1:$H$1,0)),ISNUMBER(MATCH(Bron!$B$11,$B$1:$H$1,0))),IF(D1=Bron!$B$10,samen!$Q$46*samen!$M$17/samen!$M$25,IF(D1=Bron!$B$11,samen!$Q$46*samen!$M$5/samen!$M$25,0)),IF(D1=Bron!$B$9,'NB 6-12-21%'!$Q$34,IF(D1=Bron!$B$10,UITB!$Q$34,IF(OR(D1=Bron!$B$11,D1=Bron!$B$12),VERB!$Q$37,IF(D1=Bron!$B$8,'NB 21%'!$P$23,IF(D1=Bron!$B$13,'NB 21% light'!$P$34,IF(D1=Bron!$B$14,'NB 6-12-21% light'!$Q$33,IF(D1=Bron!$B$16,'AK+VERB'!$Q$39,0)))))))),0)</f>
        <v>0</v>
      </c>
      <c r="E43" s="51"/>
      <c r="F43" s="816">
        <f>IFERROR(IF(AND(ISNUMBER(MATCH(Bron!$B$10,$B$1:$H$1,0)),ISNUMBER(MATCH(Bron!$B$11,$B$1:$H$1,0))),IF(F1=Bron!$B$10,samen!$Q$46*samen!$M$17/samen!$M$25,IF(F1=Bron!$B$11,samen!$Q$46*samen!$M$5/samen!$M$25,0)),IF(F1=Bron!$B$9,'NB 6-12-21%'!$Q$34,IF(F1=Bron!$B$10,UITB!$Q$34,IF(OR(F1=Bron!$B$11,F1=Bron!$B$12),VERB!$Q$37,IF(F1=Bron!$B$8,'NB 21%'!$P$23,IF(F1=Bron!$B$13,'NB 21% light'!$P$34,IF(F1=Bron!$B$14,'NB 6-12-21% light'!$Q$33,IF(F1=Bron!$B$16,'AK+VERB'!$Q$39,0)))))))),0)</f>
        <v>0</v>
      </c>
      <c r="G43" s="51"/>
      <c r="H43" s="816">
        <f>IFERROR(IF(AND(ISNUMBER(MATCH(Bron!$B$10,$B$1:$H$1,0)),ISNUMBER(MATCH(Bron!$B$11,$B$1:$H$1,0))),IF(H1=Bron!$B$10,samen!$Q$46*samen!$M$17/samen!$M$25,IF(H1=Bron!$B$11,samen!$Q$46*samen!$M$5/samen!$M$25,0)),IF(H1=Bron!$B$9,'NB 6-12-21%'!$Q$34,IF(H1=Bron!$B$10,UITB!$Q$34,IF(OR(H1=Bron!$B$11,H1=Bron!$B$12),VERB!$Q$37,IF(H1=Bron!$B$8,'NB 21%'!$P$23,IF(H1=Bron!$B$13,'NB 21% light'!$P$34,IF(H1=Bron!$B$14,'NB 6-12-21% light'!$Q$33,IF(H1=Bron!$B$16,'AK+VERB'!$Q$39,0)))))))),0)</f>
        <v>0</v>
      </c>
      <c r="I43" s="51"/>
      <c r="J43" s="255">
        <f t="shared" si="1"/>
        <v>0</v>
      </c>
      <c r="K43" s="18"/>
    </row>
    <row r="44" spans="1:11" ht="13.8" x14ac:dyDescent="0.3">
      <c r="A44" s="142" t="s">
        <v>365</v>
      </c>
      <c r="B44" s="254" t="str">
        <f>IF(B5=Bron!$B$15,AKzondVERB!$K$7,IF(B5=Bron!$B$16,'AK+VERB'!$K$62,""))</f>
        <v/>
      </c>
      <c r="C44" s="18"/>
      <c r="D44" s="254" t="str">
        <f>IF(D5=Bron!$B$15,AKzondVERB!$K$7,IF(D5=Bron!$B$16,'AK+VERB'!$K$62,""))</f>
        <v/>
      </c>
      <c r="E44" s="51"/>
      <c r="F44" s="254" t="str">
        <f>IF(F5=Bron!$B$15,AKzondVERB!$K$7,IF(F5=Bron!$B$16,'AK+VERB'!$K$62,""))</f>
        <v/>
      </c>
      <c r="G44" s="51"/>
      <c r="H44" s="254" t="str">
        <f>IF(H5=Bron!$B$15,AKzondVERB!$K$7,IF(H5=Bron!$B$16,'AK+VERB'!$K$62,""))</f>
        <v/>
      </c>
      <c r="I44" s="51"/>
      <c r="J44" s="255">
        <f>IF(ISNUMBER(H44),H44,0)+IF(ISNUMBER(F44),F44,0)+IF(ISNUMBER(D44),D44,0)+IF(ISNUMBER(B44),B44,0)</f>
        <v>0</v>
      </c>
      <c r="K44" s="766"/>
    </row>
    <row r="45" spans="1:11" ht="13.8" x14ac:dyDescent="0.3">
      <c r="A45" s="142" t="s">
        <v>366</v>
      </c>
      <c r="B45" s="254" t="str">
        <f>IF(B5=Bron!$B$15,AKzondVERB!$K$9,IF(B5=Bron!$B$16,'AK+VERB'!$K$69+'AK+VERB'!$K$70,""))</f>
        <v/>
      </c>
      <c r="C45" s="18"/>
      <c r="D45" s="254" t="str">
        <f>IF(D5=Bron!$B$15,AKzondVERB!$K$9,IF(D5=Bron!$B$16,'AK+VERB'!$K$69+'AK+VERB'!$K$70,""))</f>
        <v/>
      </c>
      <c r="E45" s="51"/>
      <c r="F45" s="254" t="str">
        <f>IF(F5=Bron!$B$15,AKzondVERB!$K$9,IF(F5=Bron!$B$16,'AK+VERB'!$K$69+'AK+VERB'!$K$70,""))</f>
        <v/>
      </c>
      <c r="G45" s="51"/>
      <c r="H45" s="254" t="str">
        <f>IF(H5=Bron!$B$15,AKzondVERB!$K$9,IF(H5=Bron!$B$16,'AK+VERB'!$K$69+'AK+VERB'!$K$70,""))</f>
        <v/>
      </c>
      <c r="I45" s="51"/>
      <c r="J45" s="255">
        <f>IF(ISNUMBER(H45),H45,0)+IF(ISNUMBER(F45),F45,0)+IF(ISNUMBER(D45),D45,0)+IF(ISNUMBER(B45),B45,0)</f>
        <v>0</v>
      </c>
      <c r="K45" s="18"/>
    </row>
    <row r="46" spans="1:11" ht="13.8" x14ac:dyDescent="0.3">
      <c r="A46" s="142"/>
      <c r="B46" s="252"/>
      <c r="C46" s="18"/>
      <c r="D46" s="252"/>
      <c r="E46" s="18"/>
      <c r="F46" s="252"/>
      <c r="G46" s="18"/>
      <c r="H46" s="252"/>
      <c r="I46" s="18"/>
      <c r="J46" s="252"/>
      <c r="K46" s="18"/>
    </row>
    <row r="47" spans="1:11" ht="13.8" x14ac:dyDescent="0.3">
      <c r="A47" s="274" t="s">
        <v>371</v>
      </c>
      <c r="B47" s="509" t="s">
        <v>370</v>
      </c>
      <c r="C47" s="18"/>
      <c r="D47" s="509" t="s">
        <v>322</v>
      </c>
      <c r="E47" s="18"/>
      <c r="F47" s="509" t="s">
        <v>367</v>
      </c>
      <c r="G47" s="18"/>
      <c r="H47" s="252"/>
      <c r="I47" s="18"/>
      <c r="J47" s="252"/>
      <c r="K47" s="18"/>
    </row>
    <row r="48" spans="1:11" ht="13.8" x14ac:dyDescent="0.3">
      <c r="A48" s="275" t="s">
        <v>375</v>
      </c>
      <c r="B48" s="452">
        <f>J41</f>
        <v>0</v>
      </c>
      <c r="C48" s="18"/>
      <c r="D48" s="452">
        <f>J32</f>
        <v>0</v>
      </c>
      <c r="E48" s="18"/>
      <c r="F48" s="452">
        <f>J38</f>
        <v>0</v>
      </c>
      <c r="G48" s="18"/>
      <c r="H48" s="148"/>
      <c r="I48" s="18"/>
      <c r="J48" s="580"/>
    </row>
    <row r="49" spans="1:10" ht="13.8" x14ac:dyDescent="0.3">
      <c r="A49" s="275" t="s">
        <v>376</v>
      </c>
      <c r="B49" s="452">
        <f>'uitgebreide raming'!J63</f>
        <v>0</v>
      </c>
      <c r="C49" s="18"/>
      <c r="D49" s="452">
        <f>'uitgebreide raming_gewijzigd'!J63</f>
        <v>0</v>
      </c>
      <c r="E49" s="18"/>
      <c r="F49" s="452">
        <f>D49</f>
        <v>0</v>
      </c>
      <c r="G49" s="18"/>
      <c r="I49" s="18"/>
      <c r="J49" s="580"/>
    </row>
    <row r="50" spans="1:10" ht="13.8" x14ac:dyDescent="0.3">
      <c r="A50" s="18"/>
      <c r="B50" s="107" t="e">
        <f>B48/B49</f>
        <v>#DIV/0!</v>
      </c>
      <c r="C50" s="18"/>
      <c r="D50" s="107" t="e">
        <f>D48/D49</f>
        <v>#DIV/0!</v>
      </c>
      <c r="E50" s="18"/>
      <c r="F50" s="107" t="e">
        <f>F48/F49</f>
        <v>#DIV/0!</v>
      </c>
      <c r="G50" s="18"/>
      <c r="I50" s="18"/>
      <c r="J50" s="146"/>
    </row>
    <row r="51" spans="1:10" ht="13.8" x14ac:dyDescent="0.3">
      <c r="A51" s="275" t="s">
        <v>377</v>
      </c>
      <c r="B51" s="452">
        <f>J42+J45</f>
        <v>0</v>
      </c>
      <c r="C51" s="18"/>
      <c r="D51" s="452">
        <f>J33+J35</f>
        <v>0</v>
      </c>
      <c r="E51" s="18"/>
      <c r="F51" s="452">
        <f>J39+J36</f>
        <v>0</v>
      </c>
      <c r="G51" s="18"/>
      <c r="H51" s="148"/>
      <c r="I51" s="18"/>
      <c r="J51" s="580"/>
    </row>
    <row r="52" spans="1:10" ht="13.8" x14ac:dyDescent="0.3">
      <c r="A52" s="275" t="s">
        <v>146</v>
      </c>
      <c r="B52" s="452">
        <f>'uitgebreide raming'!J80</f>
        <v>0</v>
      </c>
      <c r="C52" s="18"/>
      <c r="D52" s="452">
        <f>'uitgebreide raming_gewijzigd'!J80</f>
        <v>0</v>
      </c>
      <c r="E52" s="18"/>
      <c r="F52" s="452">
        <f>D52</f>
        <v>0</v>
      </c>
      <c r="G52" s="18"/>
      <c r="H52" s="148"/>
      <c r="I52" s="18"/>
      <c r="J52" s="580"/>
    </row>
    <row r="53" spans="1:10" ht="13.8" x14ac:dyDescent="0.3">
      <c r="B53" s="107" t="e">
        <f>B51/B52</f>
        <v>#DIV/0!</v>
      </c>
      <c r="C53" s="18"/>
      <c r="D53" s="107" t="e">
        <f>D51/D52</f>
        <v>#DIV/0!</v>
      </c>
      <c r="E53" s="18"/>
      <c r="F53" s="107" t="e">
        <f>F51/F52</f>
        <v>#DIV/0!</v>
      </c>
      <c r="G53" s="18"/>
      <c r="H53" s="146"/>
      <c r="I53" s="18"/>
      <c r="J53" s="146"/>
    </row>
    <row r="54" spans="1:10" ht="13.8" x14ac:dyDescent="0.3">
      <c r="A54" s="18"/>
      <c r="B54" s="146"/>
      <c r="C54" s="18"/>
      <c r="D54" s="146"/>
      <c r="E54" s="18"/>
      <c r="F54" s="146"/>
      <c r="G54" s="18"/>
      <c r="H54" s="146"/>
      <c r="I54" s="18"/>
      <c r="J54" s="252"/>
    </row>
    <row r="55" spans="1:10" ht="13.8" x14ac:dyDescent="0.3">
      <c r="A55" s="275" t="s">
        <v>385</v>
      </c>
      <c r="B55" s="81" t="e">
        <f>B18/B6</f>
        <v>#DIV/0!</v>
      </c>
      <c r="C55" s="21"/>
      <c r="D55" s="81" t="e">
        <f>D18/D6</f>
        <v>#DIV/0!</v>
      </c>
      <c r="E55" s="21"/>
      <c r="F55" s="81" t="e">
        <f>F18/F6</f>
        <v>#DIV/0!</v>
      </c>
      <c r="G55" s="21"/>
      <c r="H55" s="81" t="e">
        <f>H18/H6</f>
        <v>#DIV/0!</v>
      </c>
      <c r="I55" s="21"/>
      <c r="J55" s="81" t="e">
        <f>J18/J6</f>
        <v>#DIV/0!</v>
      </c>
    </row>
    <row r="56" spans="1:10" ht="13.8" x14ac:dyDescent="0.3">
      <c r="A56" s="276" t="s">
        <v>386</v>
      </c>
      <c r="B56" s="92">
        <v>0</v>
      </c>
      <c r="C56" s="85"/>
      <c r="D56" s="92">
        <v>0</v>
      </c>
      <c r="E56" s="85"/>
      <c r="F56" s="92">
        <v>0</v>
      </c>
      <c r="G56" s="85"/>
      <c r="H56" s="92">
        <v>0</v>
      </c>
      <c r="I56" s="85"/>
      <c r="J56" s="92">
        <v>0</v>
      </c>
    </row>
    <row r="57" spans="1:10" ht="14.4" x14ac:dyDescent="0.3">
      <c r="A57" s="277" t="s">
        <v>387</v>
      </c>
      <c r="B57" s="88" t="e">
        <f>B55/B56</f>
        <v>#DIV/0!</v>
      </c>
      <c r="C57" s="89"/>
      <c r="D57" s="88" t="e">
        <f>D55/D56</f>
        <v>#DIV/0!</v>
      </c>
      <c r="E57" s="21"/>
      <c r="F57" s="88" t="e">
        <f>F55/F56</f>
        <v>#DIV/0!</v>
      </c>
      <c r="G57" s="21"/>
      <c r="H57" s="88" t="e">
        <f>H55/H56</f>
        <v>#DIV/0!</v>
      </c>
      <c r="I57" s="21"/>
      <c r="J57" s="88" t="e">
        <f>J55/J56</f>
        <v>#DIV/0!</v>
      </c>
    </row>
    <row r="58" spans="1:10" ht="13.8" x14ac:dyDescent="0.3">
      <c r="A58" s="18"/>
      <c r="B58" s="18"/>
      <c r="C58" s="18"/>
      <c r="D58" s="18"/>
      <c r="E58" s="18"/>
      <c r="F58" s="18"/>
      <c r="G58" s="18"/>
      <c r="H58" s="18"/>
      <c r="I58" s="18"/>
      <c r="J58" s="18"/>
    </row>
    <row r="59" spans="1:10" ht="13.8" x14ac:dyDescent="0.3">
      <c r="A59" s="18"/>
      <c r="B59" s="18"/>
      <c r="C59" s="18"/>
      <c r="D59" s="18"/>
      <c r="E59" s="18"/>
      <c r="F59" s="18"/>
      <c r="G59" s="18"/>
      <c r="H59" s="18"/>
      <c r="I59" s="18"/>
      <c r="J59" s="18"/>
    </row>
    <row r="61" spans="1:10" ht="13.8" x14ac:dyDescent="0.3">
      <c r="A61" s="274" t="s">
        <v>388</v>
      </c>
      <c r="C61" s="18"/>
    </row>
    <row r="62" spans="1:10" ht="13.8" x14ac:dyDescent="0.3">
      <c r="A62" s="18" t="s">
        <v>389</v>
      </c>
      <c r="B62" s="18"/>
      <c r="C62" s="18"/>
    </row>
    <row r="63" spans="1:10" ht="13.8" x14ac:dyDescent="0.3">
      <c r="A63" s="18" t="s">
        <v>390</v>
      </c>
      <c r="B63" s="18"/>
      <c r="C63" s="18" t="s">
        <v>391</v>
      </c>
    </row>
    <row r="64" spans="1:10" ht="13.8" x14ac:dyDescent="0.3">
      <c r="A64" s="18" t="s">
        <v>390</v>
      </c>
      <c r="B64" s="18"/>
      <c r="C64" s="18" t="s">
        <v>392</v>
      </c>
    </row>
    <row r="65" spans="1:3" ht="13.8" x14ac:dyDescent="0.3">
      <c r="A65" s="18" t="s">
        <v>393</v>
      </c>
      <c r="B65" s="18"/>
      <c r="C65" s="18"/>
    </row>
  </sheetData>
  <pageMargins left="0.7" right="0.7" top="0.75" bottom="0.75" header="0.3" footer="0.3"/>
  <pageSetup paperSize="9" orientation="portrait" r:id="rId1"/>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54B20-0501-4FB3-9F19-728D28D6F6AF}">
  <sheetPr codeName="Blad27"/>
  <dimension ref="A1:DM136"/>
  <sheetViews>
    <sheetView topLeftCell="A29" zoomScale="70" zoomScaleNormal="70" workbookViewId="0">
      <selection activeCell="C56" sqref="C56"/>
    </sheetView>
  </sheetViews>
  <sheetFormatPr defaultRowHeight="14.4" outlineLevelRow="1" x14ac:dyDescent="0.3"/>
  <cols>
    <col min="1" max="1" width="1.88671875" customWidth="1"/>
    <col min="2" max="2" width="39.44140625" customWidth="1"/>
    <col min="3" max="3" width="13.109375" hidden="1" customWidth="1"/>
    <col min="4" max="4" width="6.109375" hidden="1" customWidth="1"/>
    <col min="5" max="5" width="20.88671875" hidden="1" customWidth="1"/>
    <col min="6" max="6" width="6.33203125" hidden="1" customWidth="1"/>
    <col min="7" max="7" width="18.5546875" hidden="1" customWidth="1"/>
    <col min="8" max="8" width="6.88671875" hidden="1" customWidth="1"/>
    <col min="9" max="9" width="11.6640625" hidden="1" customWidth="1"/>
    <col min="10" max="10" width="6.33203125" hidden="1" customWidth="1"/>
    <col min="11" max="11" width="15.6640625" hidden="1" customWidth="1"/>
    <col min="12" max="12" width="6.33203125" hidden="1" customWidth="1"/>
    <col min="13" max="13" width="2.5546875" hidden="1" customWidth="1"/>
    <col min="14" max="14" width="16.33203125" hidden="1" customWidth="1"/>
    <col min="15" max="15" width="7" hidden="1" customWidth="1"/>
    <col min="16" max="16" width="20.88671875" hidden="1" customWidth="1"/>
    <col min="17" max="17" width="6.88671875" hidden="1" customWidth="1"/>
    <col min="18" max="18" width="18.6640625" hidden="1" customWidth="1"/>
    <col min="19" max="19" width="6.88671875" hidden="1" customWidth="1"/>
    <col min="20" max="20" width="11.6640625" hidden="1" customWidth="1"/>
    <col min="21" max="21" width="6.88671875" hidden="1" customWidth="1"/>
    <col min="22" max="22" width="15.6640625" hidden="1" customWidth="1"/>
    <col min="23" max="23" width="6.44140625" hidden="1" customWidth="1"/>
    <col min="24" max="24" width="2.6640625" hidden="1" customWidth="1"/>
    <col min="25" max="25" width="16.33203125" hidden="1" customWidth="1"/>
    <col min="26" max="26" width="6.33203125" hidden="1" customWidth="1"/>
    <col min="27" max="27" width="20.88671875" hidden="1" customWidth="1"/>
    <col min="28" max="28" width="6.33203125" hidden="1" customWidth="1"/>
    <col min="29" max="29" width="18.44140625" hidden="1" customWidth="1"/>
    <col min="30" max="30" width="6.33203125" hidden="1" customWidth="1"/>
    <col min="31" max="31" width="11.6640625" hidden="1" customWidth="1"/>
    <col min="32" max="32" width="6.33203125" hidden="1" customWidth="1"/>
    <col min="33" max="33" width="15.6640625" hidden="1" customWidth="1"/>
    <col min="34" max="34" width="6.44140625" hidden="1" customWidth="1"/>
    <col min="36" max="36" width="76.6640625" bestFit="1" customWidth="1"/>
    <col min="37" max="37" width="0" hidden="1" customWidth="1"/>
    <col min="38" max="39" width="8.88671875" hidden="1" customWidth="1"/>
    <col min="40" max="42" width="25.33203125" hidden="1" customWidth="1"/>
    <col min="43" max="44" width="8.88671875" hidden="1" customWidth="1"/>
    <col min="45" max="46" width="0" hidden="1" customWidth="1"/>
  </cols>
  <sheetData>
    <row r="1" spans="2:46" ht="18.600000000000001" hidden="1" thickBot="1" x14ac:dyDescent="0.4">
      <c r="B1" s="692" t="s">
        <v>3</v>
      </c>
      <c r="C1" s="1259">
        <f>'Overzicht project'!I4</f>
        <v>0</v>
      </c>
      <c r="D1" s="1260"/>
      <c r="E1" s="1260"/>
      <c r="F1" s="669"/>
      <c r="G1" s="661"/>
      <c r="H1" s="606"/>
      <c r="I1" s="606"/>
      <c r="J1" s="606"/>
      <c r="K1" s="662"/>
    </row>
    <row r="2" spans="2:46" ht="14.4" customHeight="1" x14ac:dyDescent="0.35">
      <c r="B2" s="694" t="s">
        <v>396</v>
      </c>
      <c r="D2" s="672"/>
      <c r="E2" s="673"/>
      <c r="M2" s="340"/>
      <c r="AO2" s="608" t="s">
        <v>25</v>
      </c>
      <c r="AP2" s="608" t="s">
        <v>25</v>
      </c>
      <c r="AQ2" s="608" t="s">
        <v>25</v>
      </c>
      <c r="AR2" s="608" t="s">
        <v>167</v>
      </c>
    </row>
    <row r="3" spans="2:46" ht="15.6" customHeight="1" thickBot="1" x14ac:dyDescent="0.4">
      <c r="B3" s="695" t="s">
        <v>72</v>
      </c>
      <c r="C3" s="675"/>
      <c r="D3" s="675"/>
      <c r="E3" s="676"/>
      <c r="G3" s="1263" t="s">
        <v>397</v>
      </c>
      <c r="H3" s="1263"/>
      <c r="I3" s="1263"/>
      <c r="J3" s="1263"/>
      <c r="K3" s="1263"/>
      <c r="L3" s="1263"/>
      <c r="M3" s="340"/>
      <c r="AO3" s="780"/>
      <c r="AP3" s="780"/>
      <c r="AQ3" s="780"/>
      <c r="AR3" s="780"/>
    </row>
    <row r="4" spans="2:46" ht="46.2" customHeight="1" x14ac:dyDescent="0.35">
      <c r="B4" s="693"/>
      <c r="C4" s="674"/>
      <c r="D4" s="675"/>
      <c r="E4" s="676"/>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1258" t="s">
        <v>1457</v>
      </c>
      <c r="AK4" s="1258"/>
      <c r="AL4" s="1258"/>
      <c r="AM4" s="1258"/>
      <c r="AN4" s="1258"/>
      <c r="AO4" s="1258"/>
      <c r="AP4" s="1258"/>
      <c r="AQ4" s="1258"/>
      <c r="AR4" s="1258"/>
      <c r="AS4" s="1258"/>
      <c r="AT4" s="1258"/>
    </row>
    <row r="5" spans="2:46" ht="18" hidden="1" customHeight="1" x14ac:dyDescent="0.35">
      <c r="B5" s="660" t="s">
        <v>399</v>
      </c>
      <c r="C5" s="1261">
        <f>'Overzicht project'!B34</f>
        <v>0</v>
      </c>
      <c r="D5" s="1262"/>
      <c r="E5" s="1262"/>
      <c r="F5" s="669"/>
      <c r="AN5" s="106" t="s">
        <v>400</v>
      </c>
      <c r="AO5" s="705">
        <v>0</v>
      </c>
      <c r="AP5" s="705">
        <v>0</v>
      </c>
      <c r="AQ5" s="705">
        <v>0</v>
      </c>
      <c r="AR5" s="705">
        <f>SUM(AO5:AQ5)</f>
        <v>0</v>
      </c>
    </row>
    <row r="6" spans="2:46" ht="6" hidden="1" customHeight="1" x14ac:dyDescent="0.3">
      <c r="B6" s="683"/>
      <c r="C6" s="683"/>
      <c r="D6" s="683"/>
      <c r="E6" s="683"/>
      <c r="F6" s="683"/>
      <c r="G6" s="683"/>
      <c r="H6" s="683"/>
      <c r="I6" s="683"/>
      <c r="J6" s="683"/>
      <c r="K6" s="683"/>
      <c r="L6" s="683"/>
      <c r="AN6" s="106"/>
    </row>
    <row r="7" spans="2:46" ht="6" hidden="1" customHeight="1" x14ac:dyDescent="0.3">
      <c r="B7" s="18"/>
      <c r="C7" s="591"/>
      <c r="AN7" s="106"/>
    </row>
    <row r="8" spans="2:46" ht="19.2" customHeight="1" x14ac:dyDescent="0.3">
      <c r="B8" s="18"/>
      <c r="C8" s="1257" t="str">
        <f>'Overzicht project'!$C$40</f>
        <v>Kies de zorgvorm</v>
      </c>
      <c r="D8" s="1257"/>
      <c r="E8" s="1257"/>
      <c r="F8" s="1257"/>
      <c r="G8" s="1257"/>
      <c r="H8" s="1257"/>
      <c r="I8" s="1257"/>
      <c r="J8" s="1257"/>
      <c r="K8" s="1257"/>
      <c r="L8" s="1257"/>
      <c r="N8" s="1257" t="str">
        <f>'Overzicht project'!$C$41</f>
        <v>Kies de zorgvorm</v>
      </c>
      <c r="O8" s="1257"/>
      <c r="P8" s="1257"/>
      <c r="Q8" s="1257"/>
      <c r="R8" s="1257"/>
      <c r="S8" s="1257"/>
      <c r="T8" s="1257"/>
      <c r="U8" s="1257"/>
      <c r="V8" s="1257"/>
      <c r="W8" s="1257"/>
      <c r="X8" s="643"/>
      <c r="Y8" s="1257" t="str">
        <f>'Overzicht project'!$C$42</f>
        <v>Kies de zorgvorm</v>
      </c>
      <c r="Z8" s="1257"/>
      <c r="AA8" s="1257"/>
      <c r="AB8" s="1257"/>
      <c r="AC8" s="1257"/>
      <c r="AD8" s="1257"/>
      <c r="AE8" s="1257"/>
      <c r="AF8" s="1257"/>
      <c r="AG8" s="1257"/>
      <c r="AH8" s="1257"/>
    </row>
    <row r="9" spans="2:46"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46" ht="15" customHeight="1" x14ac:dyDescent="0.3">
      <c r="C10" s="1253" t="s">
        <v>401</v>
      </c>
      <c r="D10" s="1254"/>
      <c r="E10" s="1255"/>
      <c r="F10" s="473">
        <f>IF(ISNUMBER(MATCH($B$3,'Overzicht project'!C48:C51,0)),VLOOKUP(B3,'Overzicht project'!C48:D51,2,FALSE),0)</f>
        <v>0</v>
      </c>
      <c r="G10" s="658"/>
      <c r="H10" s="658"/>
      <c r="N10" s="1256" t="s">
        <v>401</v>
      </c>
      <c r="O10" s="1256"/>
      <c r="P10" s="1256"/>
      <c r="Q10" s="473">
        <f>'Overzicht BTA'!I59</f>
        <v>0</v>
      </c>
      <c r="Y10" s="1256" t="s">
        <v>401</v>
      </c>
      <c r="Z10" s="1256"/>
      <c r="AA10" s="1256"/>
      <c r="AB10" s="473">
        <f>'Overzicht BTA'!O59</f>
        <v>0</v>
      </c>
    </row>
    <row r="11" spans="2:46" x14ac:dyDescent="0.3">
      <c r="C11" s="1253" t="s">
        <v>402</v>
      </c>
      <c r="D11" s="1254"/>
      <c r="E11" s="1255"/>
      <c r="F11" s="473">
        <v>0.21</v>
      </c>
      <c r="G11" s="658"/>
      <c r="H11" s="658"/>
      <c r="N11" s="1256" t="s">
        <v>402</v>
      </c>
      <c r="O11" s="1256"/>
      <c r="P11" s="1256"/>
      <c r="Q11" s="473">
        <v>0.21</v>
      </c>
      <c r="Y11" s="1256" t="s">
        <v>402</v>
      </c>
      <c r="Z11" s="1256"/>
      <c r="AA11" s="1256"/>
      <c r="AB11" s="473">
        <v>0.21</v>
      </c>
    </row>
    <row r="12" spans="2:46" x14ac:dyDescent="0.3">
      <c r="C12" s="1253" t="s">
        <v>403</v>
      </c>
      <c r="D12" s="1254"/>
      <c r="E12" s="1255"/>
      <c r="F12" s="473">
        <v>0.21</v>
      </c>
      <c r="G12" s="658"/>
      <c r="H12" s="658"/>
      <c r="N12" s="1256" t="s">
        <v>403</v>
      </c>
      <c r="O12" s="1256"/>
      <c r="P12" s="1256"/>
      <c r="Q12" s="473">
        <v>0.21</v>
      </c>
      <c r="Y12" s="1256" t="s">
        <v>403</v>
      </c>
      <c r="Z12" s="1256"/>
      <c r="AA12" s="1256"/>
      <c r="AB12" s="473">
        <v>0.21</v>
      </c>
    </row>
    <row r="13" spans="2:46" x14ac:dyDescent="0.3">
      <c r="C13" s="1253" t="s">
        <v>404</v>
      </c>
      <c r="D13" s="1254"/>
      <c r="E13" s="1255"/>
      <c r="F13" s="473">
        <v>0.06</v>
      </c>
      <c r="N13" s="1256" t="s">
        <v>404</v>
      </c>
      <c r="O13" s="1256"/>
      <c r="P13" s="1256"/>
      <c r="Q13" s="473">
        <v>0.06</v>
      </c>
      <c r="Y13" s="1256" t="s">
        <v>404</v>
      </c>
      <c r="Z13" s="1256"/>
      <c r="AA13" s="1256"/>
      <c r="AB13" s="473">
        <v>0.06</v>
      </c>
    </row>
    <row r="14" spans="2:46" x14ac:dyDescent="0.3">
      <c r="B14" s="339"/>
      <c r="C14" s="635"/>
    </row>
    <row r="15" spans="2:46"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609" t="s">
        <v>412</v>
      </c>
      <c r="AO15" s="609" t="s">
        <v>413</v>
      </c>
      <c r="AP15" s="609" t="s">
        <v>414</v>
      </c>
    </row>
    <row r="16" spans="2:46" x14ac:dyDescent="0.3">
      <c r="B16" s="336" t="s">
        <v>415</v>
      </c>
      <c r="C16" s="663">
        <v>0</v>
      </c>
      <c r="D16" s="336"/>
      <c r="E16" s="663">
        <f>C16</f>
        <v>0</v>
      </c>
      <c r="F16" s="336"/>
      <c r="G16" s="664">
        <f>C16</f>
        <v>0</v>
      </c>
      <c r="H16" s="336"/>
      <c r="I16" s="664">
        <f>C16</f>
        <v>0</v>
      </c>
      <c r="J16" s="336"/>
      <c r="K16" s="663">
        <f>C16</f>
        <v>0</v>
      </c>
      <c r="L16" s="336"/>
      <c r="M16" s="23"/>
      <c r="N16" s="663">
        <v>0</v>
      </c>
      <c r="O16" s="336"/>
      <c r="P16" s="663">
        <f>N16</f>
        <v>0</v>
      </c>
      <c r="Q16" s="336"/>
      <c r="R16" s="664">
        <f>N16</f>
        <v>0</v>
      </c>
      <c r="S16" s="336"/>
      <c r="T16" s="664">
        <f>N16</f>
        <v>0</v>
      </c>
      <c r="U16" s="336"/>
      <c r="V16" s="663">
        <f>N16</f>
        <v>0</v>
      </c>
      <c r="W16" s="336"/>
      <c r="X16" s="644"/>
      <c r="Y16" s="663">
        <f>'analyse bij belofte'!AG12</f>
        <v>0</v>
      </c>
      <c r="Z16" s="336"/>
      <c r="AA16" s="663">
        <f>Y16</f>
        <v>0</v>
      </c>
      <c r="AB16" s="336"/>
      <c r="AC16" s="664">
        <f>Y16</f>
        <v>0</v>
      </c>
      <c r="AD16" s="336"/>
      <c r="AE16" s="664">
        <f>Y16</f>
        <v>0</v>
      </c>
      <c r="AF16" s="336"/>
      <c r="AG16" s="663">
        <f>Y16</f>
        <v>0</v>
      </c>
      <c r="AH16" s="336"/>
      <c r="AJ16" t="s">
        <v>416</v>
      </c>
      <c r="AL16" s="423">
        <f>AG16+V16+K16</f>
        <v>0</v>
      </c>
      <c r="AN16" s="599">
        <f>AKzondVERB!B13</f>
        <v>0</v>
      </c>
      <c r="AO16" s="599">
        <f>AKzondVERB!H13</f>
        <v>0</v>
      </c>
      <c r="AP16" s="599">
        <f>AKzondVERB!N13</f>
        <v>0</v>
      </c>
    </row>
    <row r="17" spans="1:84" outlineLevel="1" x14ac:dyDescent="0.3">
      <c r="B17" s="737" t="s">
        <v>417</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423">
        <f t="shared" ref="AL17:AL81" si="0">AG17+V17+K17</f>
        <v>0</v>
      </c>
      <c r="AN17" s="599">
        <f t="shared" ref="AN17:AN51" si="1">IFERROR(K17*$AO$5/$AR$5,0)</f>
        <v>0</v>
      </c>
      <c r="AO17" s="599">
        <f t="shared" ref="AO17:AO51" si="2">IFERROR(K17*$AP$5/$AR$5,0)</f>
        <v>0</v>
      </c>
      <c r="AP17" s="599">
        <f t="shared" ref="AP17:AP51" si="3">IFERROR(K17*$AQ$5/$AR$5,0)</f>
        <v>0</v>
      </c>
    </row>
    <row r="18" spans="1:84" outlineLevel="1" x14ac:dyDescent="0.3">
      <c r="B18" s="737" t="s">
        <v>418</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423">
        <f t="shared" si="0"/>
        <v>0</v>
      </c>
      <c r="AN18" s="599">
        <f t="shared" si="1"/>
        <v>0</v>
      </c>
      <c r="AO18" s="599">
        <f t="shared" si="2"/>
        <v>0</v>
      </c>
      <c r="AP18" s="599">
        <f t="shared" si="3"/>
        <v>0</v>
      </c>
    </row>
    <row r="19" spans="1:84" outlineLevel="1" x14ac:dyDescent="0.3">
      <c r="B19" s="737" t="s">
        <v>419</v>
      </c>
      <c r="C19" s="738">
        <v>0</v>
      </c>
      <c r="D19" s="739"/>
      <c r="E19" s="738">
        <v>0</v>
      </c>
      <c r="F19" s="739"/>
      <c r="G19" s="738">
        <v>0</v>
      </c>
      <c r="H19" s="739"/>
      <c r="I19" s="738">
        <v>0</v>
      </c>
      <c r="J19" s="739"/>
      <c r="K19" s="738">
        <v>0</v>
      </c>
      <c r="L19" s="739"/>
      <c r="N19" s="738">
        <v>0</v>
      </c>
      <c r="O19" s="739"/>
      <c r="P19" s="738">
        <v>0</v>
      </c>
      <c r="Q19" s="739"/>
      <c r="R19" s="738">
        <v>0</v>
      </c>
      <c r="S19" s="739"/>
      <c r="T19" s="738">
        <v>0</v>
      </c>
      <c r="U19" s="739"/>
      <c r="V19" s="738">
        <v>0</v>
      </c>
      <c r="W19" s="739"/>
      <c r="Y19" s="738">
        <v>0</v>
      </c>
      <c r="Z19" s="739"/>
      <c r="AA19" s="738">
        <v>0</v>
      </c>
      <c r="AB19" s="739"/>
      <c r="AC19" s="738">
        <v>0</v>
      </c>
      <c r="AD19" s="739"/>
      <c r="AE19" s="738">
        <v>0</v>
      </c>
      <c r="AF19" s="739"/>
      <c r="AG19" s="738">
        <v>0</v>
      </c>
      <c r="AH19" s="739"/>
      <c r="AL19" s="423">
        <f t="shared" si="0"/>
        <v>0</v>
      </c>
      <c r="AN19" s="599">
        <f t="shared" si="1"/>
        <v>0</v>
      </c>
      <c r="AO19" s="599">
        <f t="shared" si="2"/>
        <v>0</v>
      </c>
      <c r="AP19" s="599">
        <f t="shared" si="3"/>
        <v>0</v>
      </c>
    </row>
    <row r="20" spans="1:84" s="168" customFormat="1" x14ac:dyDescent="0.3">
      <c r="A20"/>
      <c r="B20" s="336" t="s">
        <v>420</v>
      </c>
      <c r="C20" s="663"/>
      <c r="D20" s="332"/>
      <c r="E20" s="663"/>
      <c r="F20" s="332"/>
      <c r="G20" s="664"/>
      <c r="H20" s="332"/>
      <c r="I20" s="664"/>
      <c r="J20" s="332"/>
      <c r="K20" s="663"/>
      <c r="L20" s="332"/>
      <c r="M20" s="51"/>
      <c r="N20" s="663"/>
      <c r="O20" s="332"/>
      <c r="P20" s="663"/>
      <c r="Q20" s="332"/>
      <c r="R20" s="664"/>
      <c r="S20" s="332"/>
      <c r="T20" s="664"/>
      <c r="U20" s="332"/>
      <c r="V20" s="663"/>
      <c r="W20" s="332"/>
      <c r="X20" s="645"/>
      <c r="Y20" s="663"/>
      <c r="Z20" s="332"/>
      <c r="AA20" s="663"/>
      <c r="AB20" s="332"/>
      <c r="AC20" s="664"/>
      <c r="AD20" s="332"/>
      <c r="AE20" s="664"/>
      <c r="AF20" s="332"/>
      <c r="AG20" s="663"/>
      <c r="AH20" s="332"/>
      <c r="AI20"/>
      <c r="AJ20"/>
      <c r="AK20"/>
      <c r="AL20" s="423">
        <f t="shared" si="0"/>
        <v>0</v>
      </c>
      <c r="AM20"/>
      <c r="AN20" s="599">
        <f t="shared" si="1"/>
        <v>0</v>
      </c>
      <c r="AO20" s="599">
        <f t="shared" si="2"/>
        <v>0</v>
      </c>
      <c r="AP20" s="599">
        <f t="shared" si="3"/>
        <v>0</v>
      </c>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row>
    <row r="21" spans="1:84" s="168" customFormat="1" outlineLevel="1" x14ac:dyDescent="0.3">
      <c r="A21"/>
      <c r="B21" s="737" t="s">
        <v>421</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I21"/>
      <c r="AJ21"/>
      <c r="AK21"/>
      <c r="AL21" s="423">
        <f t="shared" si="0"/>
        <v>0</v>
      </c>
      <c r="AM21"/>
      <c r="AN21" s="599">
        <f t="shared" si="1"/>
        <v>0</v>
      </c>
      <c r="AO21" s="599">
        <f t="shared" si="2"/>
        <v>0</v>
      </c>
      <c r="AP21" s="599">
        <f t="shared" si="3"/>
        <v>0</v>
      </c>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row>
    <row r="22" spans="1:84" s="168" customFormat="1" outlineLevel="1" x14ac:dyDescent="0.3">
      <c r="A22"/>
      <c r="B22" s="737" t="s">
        <v>422</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I22"/>
      <c r="AJ22"/>
      <c r="AK22"/>
      <c r="AL22" s="423">
        <f t="shared" si="0"/>
        <v>0</v>
      </c>
      <c r="AM22"/>
      <c r="AN22" s="599">
        <f t="shared" si="1"/>
        <v>0</v>
      </c>
      <c r="AO22" s="599">
        <f t="shared" si="2"/>
        <v>0</v>
      </c>
      <c r="AP22" s="599">
        <f t="shared" si="3"/>
        <v>0</v>
      </c>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row>
    <row r="23" spans="1:84" s="168" customFormat="1" outlineLevel="1" x14ac:dyDescent="0.3">
      <c r="A23"/>
      <c r="B23" s="737" t="s">
        <v>423</v>
      </c>
      <c r="C23" s="738">
        <v>0</v>
      </c>
      <c r="D23" s="739"/>
      <c r="E23" s="738">
        <v>0</v>
      </c>
      <c r="F23" s="739"/>
      <c r="G23" s="738">
        <v>0</v>
      </c>
      <c r="H23" s="739"/>
      <c r="I23" s="738">
        <v>0</v>
      </c>
      <c r="J23" s="739"/>
      <c r="K23" s="738">
        <v>0</v>
      </c>
      <c r="L23" s="739"/>
      <c r="M23"/>
      <c r="N23" s="738">
        <v>0</v>
      </c>
      <c r="O23" s="739"/>
      <c r="P23" s="738">
        <v>0</v>
      </c>
      <c r="Q23" s="739"/>
      <c r="R23" s="738">
        <v>0</v>
      </c>
      <c r="S23" s="739"/>
      <c r="T23" s="738">
        <v>0</v>
      </c>
      <c r="U23" s="739"/>
      <c r="V23" s="738">
        <v>0</v>
      </c>
      <c r="W23" s="739"/>
      <c r="X23"/>
      <c r="Y23" s="738">
        <v>0</v>
      </c>
      <c r="Z23" s="739"/>
      <c r="AA23" s="738">
        <v>0</v>
      </c>
      <c r="AB23" s="739"/>
      <c r="AC23" s="738">
        <v>0</v>
      </c>
      <c r="AD23" s="739"/>
      <c r="AE23" s="738">
        <v>0</v>
      </c>
      <c r="AF23" s="739"/>
      <c r="AG23" s="738">
        <v>0</v>
      </c>
      <c r="AH23" s="739"/>
      <c r="AI23"/>
      <c r="AJ23"/>
      <c r="AK23"/>
      <c r="AL23" s="423">
        <f t="shared" si="0"/>
        <v>0</v>
      </c>
      <c r="AM23"/>
      <c r="AN23" s="599">
        <f t="shared" si="1"/>
        <v>0</v>
      </c>
      <c r="AO23" s="599">
        <f t="shared" si="2"/>
        <v>0</v>
      </c>
      <c r="AP23" s="599">
        <f t="shared" si="3"/>
        <v>0</v>
      </c>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row>
    <row r="24" spans="1:84" s="168" customFormat="1" x14ac:dyDescent="0.3">
      <c r="A24"/>
      <c r="B24" s="336" t="s">
        <v>123</v>
      </c>
      <c r="C24" s="663">
        <v>0</v>
      </c>
      <c r="D24" s="335"/>
      <c r="E24" s="663">
        <f>C24</f>
        <v>0</v>
      </c>
      <c r="F24" s="335"/>
      <c r="G24" s="664"/>
      <c r="H24" s="335"/>
      <c r="I24" s="664"/>
      <c r="J24" s="335"/>
      <c r="K24" s="663"/>
      <c r="L24" s="335"/>
      <c r="M24" s="39"/>
      <c r="N24" s="663">
        <v>0</v>
      </c>
      <c r="O24" s="335"/>
      <c r="P24" s="663">
        <f>N24</f>
        <v>0</v>
      </c>
      <c r="Q24" s="335"/>
      <c r="R24" s="664"/>
      <c r="S24" s="335"/>
      <c r="T24" s="664"/>
      <c r="U24" s="335"/>
      <c r="V24" s="663"/>
      <c r="W24" s="335"/>
      <c r="X24" s="646"/>
      <c r="Y24" s="663">
        <v>0</v>
      </c>
      <c r="Z24" s="335"/>
      <c r="AA24" s="663">
        <f>Y24</f>
        <v>0</v>
      </c>
      <c r="AB24" s="335"/>
      <c r="AC24" s="664"/>
      <c r="AD24" s="335"/>
      <c r="AE24" s="664"/>
      <c r="AF24" s="335"/>
      <c r="AG24" s="663"/>
      <c r="AH24" s="335"/>
      <c r="AI24"/>
      <c r="AJ24" s="337" t="s">
        <v>424</v>
      </c>
      <c r="AK24"/>
      <c r="AL24" s="423">
        <f t="shared" si="0"/>
        <v>0</v>
      </c>
      <c r="AM24"/>
      <c r="AN24" s="599">
        <f t="shared" si="1"/>
        <v>0</v>
      </c>
      <c r="AO24" s="599">
        <f t="shared" si="2"/>
        <v>0</v>
      </c>
      <c r="AP24" s="599">
        <f t="shared" si="3"/>
        <v>0</v>
      </c>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row>
    <row r="25" spans="1:84" s="168" customFormat="1" outlineLevel="1" x14ac:dyDescent="0.3">
      <c r="A25"/>
      <c r="B25" s="737" t="s">
        <v>425</v>
      </c>
      <c r="C25" s="740">
        <v>0</v>
      </c>
      <c r="D25" s="741">
        <f>F10</f>
        <v>0</v>
      </c>
      <c r="E25" s="740">
        <v>0</v>
      </c>
      <c r="F25" s="741">
        <f>$AB$10</f>
        <v>0</v>
      </c>
      <c r="G25" s="740">
        <v>0</v>
      </c>
      <c r="H25" s="741">
        <f>$AB$10</f>
        <v>0</v>
      </c>
      <c r="I25" s="740">
        <v>0</v>
      </c>
      <c r="J25" s="741">
        <f>$AB$10</f>
        <v>0</v>
      </c>
      <c r="K25" s="740">
        <v>0</v>
      </c>
      <c r="L25" s="741">
        <f>$AB$10</f>
        <v>0</v>
      </c>
      <c r="M25" s="629"/>
      <c r="N25" s="740">
        <v>0</v>
      </c>
      <c r="O25" s="741">
        <f>$Q$10</f>
        <v>0</v>
      </c>
      <c r="P25" s="740">
        <v>0</v>
      </c>
      <c r="Q25" s="741">
        <f>$AB$10</f>
        <v>0</v>
      </c>
      <c r="R25" s="740">
        <v>0</v>
      </c>
      <c r="S25" s="741">
        <f>$AB$10</f>
        <v>0</v>
      </c>
      <c r="T25" s="740">
        <v>0</v>
      </c>
      <c r="U25" s="741">
        <f>$AB$10</f>
        <v>0</v>
      </c>
      <c r="V25" s="740">
        <v>0</v>
      </c>
      <c r="W25" s="741">
        <f>$AB$10</f>
        <v>0</v>
      </c>
      <c r="X25" s="647"/>
      <c r="Y25" s="740">
        <v>0</v>
      </c>
      <c r="Z25" s="741">
        <f>$AB$10</f>
        <v>0</v>
      </c>
      <c r="AA25" s="740">
        <v>0</v>
      </c>
      <c r="AB25" s="741">
        <f>$AB$10</f>
        <v>0</v>
      </c>
      <c r="AC25" s="740">
        <v>0</v>
      </c>
      <c r="AD25" s="741">
        <f>$AB$10</f>
        <v>0</v>
      </c>
      <c r="AE25" s="740">
        <v>0</v>
      </c>
      <c r="AF25" s="741">
        <f>$AB$10</f>
        <v>0</v>
      </c>
      <c r="AG25" s="740">
        <v>0</v>
      </c>
      <c r="AH25" s="741">
        <f>$AB$10</f>
        <v>0</v>
      </c>
      <c r="AI25"/>
      <c r="AJ25" t="s">
        <v>426</v>
      </c>
      <c r="AK25"/>
      <c r="AL25" s="423">
        <f t="shared" si="0"/>
        <v>0</v>
      </c>
      <c r="AM25"/>
      <c r="AN25" s="599">
        <f t="shared" si="1"/>
        <v>0</v>
      </c>
      <c r="AO25" s="599">
        <f t="shared" si="2"/>
        <v>0</v>
      </c>
      <c r="AP25" s="599">
        <f t="shared" si="3"/>
        <v>0</v>
      </c>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row>
    <row r="26" spans="1:84" outlineLevel="1" x14ac:dyDescent="0.3">
      <c r="B26" s="737" t="s">
        <v>427</v>
      </c>
      <c r="C26" s="740">
        <v>0</v>
      </c>
      <c r="D26" s="741">
        <f>$F$10</f>
        <v>0</v>
      </c>
      <c r="E26" s="740">
        <v>0</v>
      </c>
      <c r="F26" s="741">
        <f t="shared" ref="F26:L30" si="4">$AB$10</f>
        <v>0</v>
      </c>
      <c r="G26" s="740">
        <v>0</v>
      </c>
      <c r="H26" s="741">
        <f t="shared" si="4"/>
        <v>0</v>
      </c>
      <c r="I26" s="740">
        <v>0</v>
      </c>
      <c r="J26" s="741">
        <f t="shared" si="4"/>
        <v>0</v>
      </c>
      <c r="K26" s="740">
        <v>0</v>
      </c>
      <c r="L26" s="741">
        <f t="shared" si="4"/>
        <v>0</v>
      </c>
      <c r="M26" s="629"/>
      <c r="N26" s="740">
        <v>0</v>
      </c>
      <c r="O26" s="741">
        <f t="shared" ref="O26:O30" si="5">$Q$10</f>
        <v>0</v>
      </c>
      <c r="P26" s="740">
        <v>0</v>
      </c>
      <c r="Q26" s="741">
        <f t="shared" ref="Q26:W30" si="6">$AB$10</f>
        <v>0</v>
      </c>
      <c r="R26" s="740">
        <v>0</v>
      </c>
      <c r="S26" s="741">
        <f t="shared" si="6"/>
        <v>0</v>
      </c>
      <c r="T26" s="740">
        <v>0</v>
      </c>
      <c r="U26" s="741">
        <f t="shared" si="6"/>
        <v>0</v>
      </c>
      <c r="V26" s="740">
        <v>0</v>
      </c>
      <c r="W26" s="741">
        <f t="shared" si="6"/>
        <v>0</v>
      </c>
      <c r="X26" s="647"/>
      <c r="Y26" s="740">
        <v>0</v>
      </c>
      <c r="Z26" s="741">
        <f t="shared" ref="Z26:Z30" si="7">$AB$10</f>
        <v>0</v>
      </c>
      <c r="AA26" s="740">
        <v>0</v>
      </c>
      <c r="AB26" s="741">
        <f t="shared" ref="AB26:AH30" si="8">$AB$10</f>
        <v>0</v>
      </c>
      <c r="AC26" s="740">
        <v>0</v>
      </c>
      <c r="AD26" s="741">
        <f t="shared" si="8"/>
        <v>0</v>
      </c>
      <c r="AE26" s="740">
        <v>0</v>
      </c>
      <c r="AF26" s="741">
        <f t="shared" si="8"/>
        <v>0</v>
      </c>
      <c r="AG26" s="740">
        <v>0</v>
      </c>
      <c r="AH26" s="741">
        <f t="shared" si="8"/>
        <v>0</v>
      </c>
      <c r="AL26" s="423">
        <f t="shared" si="0"/>
        <v>0</v>
      </c>
      <c r="AN26" s="599">
        <f t="shared" si="1"/>
        <v>0</v>
      </c>
      <c r="AO26" s="599">
        <f t="shared" si="2"/>
        <v>0</v>
      </c>
      <c r="AP26" s="599">
        <f t="shared" si="3"/>
        <v>0</v>
      </c>
    </row>
    <row r="27" spans="1:84" outlineLevel="1" x14ac:dyDescent="0.3">
      <c r="B27" s="737" t="s">
        <v>428</v>
      </c>
      <c r="C27" s="740">
        <v>0</v>
      </c>
      <c r="D27" s="741">
        <f>$F$10</f>
        <v>0</v>
      </c>
      <c r="E27" s="740">
        <v>0</v>
      </c>
      <c r="F27" s="741">
        <f t="shared" si="4"/>
        <v>0</v>
      </c>
      <c r="G27" s="740">
        <v>0</v>
      </c>
      <c r="H27" s="741">
        <f t="shared" si="4"/>
        <v>0</v>
      </c>
      <c r="I27" s="740">
        <v>0</v>
      </c>
      <c r="J27" s="741">
        <f t="shared" si="4"/>
        <v>0</v>
      </c>
      <c r="K27" s="740">
        <v>0</v>
      </c>
      <c r="L27" s="741">
        <f t="shared" si="4"/>
        <v>0</v>
      </c>
      <c r="M27" s="629"/>
      <c r="N27" s="740">
        <v>0</v>
      </c>
      <c r="O27" s="741">
        <f t="shared" si="5"/>
        <v>0</v>
      </c>
      <c r="P27" s="740">
        <v>0</v>
      </c>
      <c r="Q27" s="741">
        <f t="shared" si="6"/>
        <v>0</v>
      </c>
      <c r="R27" s="740">
        <v>0</v>
      </c>
      <c r="S27" s="741">
        <f t="shared" si="6"/>
        <v>0</v>
      </c>
      <c r="T27" s="740">
        <v>0</v>
      </c>
      <c r="U27" s="741">
        <f t="shared" si="6"/>
        <v>0</v>
      </c>
      <c r="V27" s="740">
        <v>0</v>
      </c>
      <c r="W27" s="741">
        <f t="shared" si="6"/>
        <v>0</v>
      </c>
      <c r="X27" s="647"/>
      <c r="Y27" s="740">
        <v>0</v>
      </c>
      <c r="Z27" s="741">
        <f t="shared" si="7"/>
        <v>0</v>
      </c>
      <c r="AA27" s="740">
        <v>0</v>
      </c>
      <c r="AB27" s="741">
        <f t="shared" si="8"/>
        <v>0</v>
      </c>
      <c r="AC27" s="740">
        <v>0</v>
      </c>
      <c r="AD27" s="741">
        <f t="shared" si="8"/>
        <v>0</v>
      </c>
      <c r="AE27" s="740">
        <v>0</v>
      </c>
      <c r="AF27" s="741">
        <f t="shared" si="8"/>
        <v>0</v>
      </c>
      <c r="AG27" s="740">
        <v>0</v>
      </c>
      <c r="AH27" s="741">
        <f t="shared" si="8"/>
        <v>0</v>
      </c>
      <c r="AL27" s="423">
        <f t="shared" si="0"/>
        <v>0</v>
      </c>
      <c r="AN27" s="599">
        <f t="shared" si="1"/>
        <v>0</v>
      </c>
      <c r="AO27" s="599">
        <f t="shared" si="2"/>
        <v>0</v>
      </c>
      <c r="AP27" s="599">
        <f t="shared" si="3"/>
        <v>0</v>
      </c>
    </row>
    <row r="28" spans="1:84" outlineLevel="1" x14ac:dyDescent="0.3">
      <c r="B28" s="744" t="s">
        <v>429</v>
      </c>
      <c r="C28" s="740">
        <v>0</v>
      </c>
      <c r="D28" s="741">
        <f>$F$10</f>
        <v>0</v>
      </c>
      <c r="E28" s="740">
        <v>0</v>
      </c>
      <c r="F28" s="741">
        <f t="shared" si="4"/>
        <v>0</v>
      </c>
      <c r="G28" s="740">
        <v>0</v>
      </c>
      <c r="H28" s="741">
        <f t="shared" si="4"/>
        <v>0</v>
      </c>
      <c r="I28" s="740">
        <v>0</v>
      </c>
      <c r="J28" s="741">
        <f t="shared" si="4"/>
        <v>0</v>
      </c>
      <c r="K28" s="740">
        <v>0</v>
      </c>
      <c r="L28" s="741">
        <f t="shared" si="4"/>
        <v>0</v>
      </c>
      <c r="M28" s="629"/>
      <c r="N28" s="740">
        <v>0</v>
      </c>
      <c r="O28" s="741">
        <f t="shared" si="5"/>
        <v>0</v>
      </c>
      <c r="P28" s="740">
        <v>0</v>
      </c>
      <c r="Q28" s="741">
        <f t="shared" si="6"/>
        <v>0</v>
      </c>
      <c r="R28" s="740">
        <v>0</v>
      </c>
      <c r="S28" s="741">
        <f t="shared" si="6"/>
        <v>0</v>
      </c>
      <c r="T28" s="740">
        <v>0</v>
      </c>
      <c r="U28" s="741">
        <f t="shared" si="6"/>
        <v>0</v>
      </c>
      <c r="V28" s="740">
        <v>0</v>
      </c>
      <c r="W28" s="741">
        <f t="shared" si="6"/>
        <v>0</v>
      </c>
      <c r="X28" s="647"/>
      <c r="Y28" s="740">
        <v>0</v>
      </c>
      <c r="Z28" s="741">
        <f t="shared" si="7"/>
        <v>0</v>
      </c>
      <c r="AA28" s="740">
        <v>0</v>
      </c>
      <c r="AB28" s="741">
        <f t="shared" si="8"/>
        <v>0</v>
      </c>
      <c r="AC28" s="740">
        <v>0</v>
      </c>
      <c r="AD28" s="741">
        <f t="shared" si="8"/>
        <v>0</v>
      </c>
      <c r="AE28" s="740">
        <v>0</v>
      </c>
      <c r="AF28" s="741">
        <f t="shared" si="8"/>
        <v>0</v>
      </c>
      <c r="AG28" s="740">
        <v>0</v>
      </c>
      <c r="AH28" s="741">
        <f t="shared" si="8"/>
        <v>0</v>
      </c>
      <c r="AL28" s="423">
        <f t="shared" si="0"/>
        <v>0</v>
      </c>
      <c r="AN28" s="599">
        <f t="shared" si="1"/>
        <v>0</v>
      </c>
      <c r="AO28" s="599">
        <f t="shared" si="2"/>
        <v>0</v>
      </c>
      <c r="AP28" s="599">
        <f t="shared" si="3"/>
        <v>0</v>
      </c>
    </row>
    <row r="29" spans="1:84" outlineLevel="1" x14ac:dyDescent="0.3">
      <c r="B29" s="737" t="s">
        <v>430</v>
      </c>
      <c r="C29" s="740">
        <v>0</v>
      </c>
      <c r="D29" s="741">
        <f>$F$10</f>
        <v>0</v>
      </c>
      <c r="E29" s="740">
        <v>0</v>
      </c>
      <c r="F29" s="741">
        <f t="shared" si="4"/>
        <v>0</v>
      </c>
      <c r="G29" s="740">
        <v>0</v>
      </c>
      <c r="H29" s="741">
        <f t="shared" si="4"/>
        <v>0</v>
      </c>
      <c r="I29" s="740">
        <v>0</v>
      </c>
      <c r="J29" s="741">
        <f t="shared" si="4"/>
        <v>0</v>
      </c>
      <c r="K29" s="740">
        <v>0</v>
      </c>
      <c r="L29" s="741">
        <f t="shared" si="4"/>
        <v>0</v>
      </c>
      <c r="M29" s="629"/>
      <c r="N29" s="740">
        <v>0</v>
      </c>
      <c r="O29" s="741">
        <f t="shared" si="5"/>
        <v>0</v>
      </c>
      <c r="P29" s="740">
        <v>0</v>
      </c>
      <c r="Q29" s="741">
        <f t="shared" si="6"/>
        <v>0</v>
      </c>
      <c r="R29" s="740">
        <v>0</v>
      </c>
      <c r="S29" s="741">
        <f t="shared" si="6"/>
        <v>0</v>
      </c>
      <c r="T29" s="740">
        <v>0</v>
      </c>
      <c r="U29" s="741">
        <f t="shared" si="6"/>
        <v>0</v>
      </c>
      <c r="V29" s="740">
        <v>0</v>
      </c>
      <c r="W29" s="741">
        <f t="shared" si="6"/>
        <v>0</v>
      </c>
      <c r="X29" s="647"/>
      <c r="Y29" s="740">
        <v>0</v>
      </c>
      <c r="Z29" s="741">
        <f t="shared" si="7"/>
        <v>0</v>
      </c>
      <c r="AA29" s="740">
        <v>0</v>
      </c>
      <c r="AB29" s="741">
        <f t="shared" si="8"/>
        <v>0</v>
      </c>
      <c r="AC29" s="740">
        <v>0</v>
      </c>
      <c r="AD29" s="741">
        <f t="shared" si="8"/>
        <v>0</v>
      </c>
      <c r="AE29" s="740">
        <v>0</v>
      </c>
      <c r="AF29" s="741">
        <f t="shared" si="8"/>
        <v>0</v>
      </c>
      <c r="AG29" s="740">
        <v>0</v>
      </c>
      <c r="AH29" s="741">
        <f t="shared" si="8"/>
        <v>0</v>
      </c>
      <c r="AL29" s="423">
        <f t="shared" si="0"/>
        <v>0</v>
      </c>
      <c r="AN29" s="599">
        <f t="shared" si="1"/>
        <v>0</v>
      </c>
      <c r="AO29" s="599">
        <f t="shared" si="2"/>
        <v>0</v>
      </c>
      <c r="AP29" s="599">
        <f t="shared" si="3"/>
        <v>0</v>
      </c>
    </row>
    <row r="30" spans="1:84" outlineLevel="1" x14ac:dyDescent="0.3">
      <c r="B30" s="737" t="s">
        <v>431</v>
      </c>
      <c r="C30" s="740">
        <f>C24-SUM(C25:C29)</f>
        <v>0</v>
      </c>
      <c r="D30" s="741">
        <f>$F$10</f>
        <v>0</v>
      </c>
      <c r="E30" s="740">
        <f>E24-SUM(E25:E29)</f>
        <v>0</v>
      </c>
      <c r="F30" s="741">
        <f t="shared" si="4"/>
        <v>0</v>
      </c>
      <c r="G30" s="740">
        <f>G24-SUM(G25:G29)</f>
        <v>0</v>
      </c>
      <c r="H30" s="741">
        <f t="shared" si="4"/>
        <v>0</v>
      </c>
      <c r="I30" s="740">
        <f>I24-SUM(I25:I29)</f>
        <v>0</v>
      </c>
      <c r="J30" s="741">
        <f t="shared" si="4"/>
        <v>0</v>
      </c>
      <c r="K30" s="740">
        <f>K24-SUM(K25:K29)</f>
        <v>0</v>
      </c>
      <c r="L30" s="741">
        <f t="shared" si="4"/>
        <v>0</v>
      </c>
      <c r="M30" s="629"/>
      <c r="N30" s="740">
        <f>N24-SUM(N25:N29)</f>
        <v>0</v>
      </c>
      <c r="O30" s="741">
        <f t="shared" si="5"/>
        <v>0</v>
      </c>
      <c r="P30" s="740">
        <f>P24-SUM(P25:P29)</f>
        <v>0</v>
      </c>
      <c r="Q30" s="741">
        <f t="shared" si="6"/>
        <v>0</v>
      </c>
      <c r="R30" s="740">
        <f>R24-SUM(R25:R29)</f>
        <v>0</v>
      </c>
      <c r="S30" s="741">
        <f t="shared" si="6"/>
        <v>0</v>
      </c>
      <c r="T30" s="740">
        <f>T24-SUM(T25:T29)</f>
        <v>0</v>
      </c>
      <c r="U30" s="741">
        <f t="shared" si="6"/>
        <v>0</v>
      </c>
      <c r="V30" s="740">
        <f>V24-SUM(V25:V29)</f>
        <v>0</v>
      </c>
      <c r="W30" s="741">
        <f t="shared" si="6"/>
        <v>0</v>
      </c>
      <c r="X30" s="647"/>
      <c r="Y30" s="740">
        <f>Y24-SUM(Y25:Y29)</f>
        <v>0</v>
      </c>
      <c r="Z30" s="741">
        <f t="shared" si="7"/>
        <v>0</v>
      </c>
      <c r="AA30" s="740">
        <f>AA24-SUM(AA25:AA29)</f>
        <v>0</v>
      </c>
      <c r="AB30" s="741">
        <f t="shared" si="8"/>
        <v>0</v>
      </c>
      <c r="AC30" s="740">
        <f>AC24-SUM(AC25:AC29)</f>
        <v>0</v>
      </c>
      <c r="AD30" s="741">
        <f t="shared" si="8"/>
        <v>0</v>
      </c>
      <c r="AE30" s="740">
        <f>AE24-SUM(AE25:AE29)</f>
        <v>0</v>
      </c>
      <c r="AF30" s="741">
        <f t="shared" si="8"/>
        <v>0</v>
      </c>
      <c r="AG30" s="740">
        <f>AG24-SUM(AG25:AG29)</f>
        <v>0</v>
      </c>
      <c r="AH30" s="741">
        <f t="shared" si="8"/>
        <v>0</v>
      </c>
      <c r="AJ30" t="s">
        <v>432</v>
      </c>
      <c r="AL30" s="423">
        <f t="shared" si="0"/>
        <v>0</v>
      </c>
      <c r="AN30" s="599">
        <f t="shared" si="1"/>
        <v>0</v>
      </c>
      <c r="AO30" s="599">
        <f t="shared" si="2"/>
        <v>0</v>
      </c>
      <c r="AP30" s="599">
        <f t="shared" si="3"/>
        <v>0</v>
      </c>
    </row>
    <row r="31" spans="1:84" x14ac:dyDescent="0.3">
      <c r="B31" s="336" t="s">
        <v>124</v>
      </c>
      <c r="C31" s="663">
        <v>0</v>
      </c>
      <c r="D31" s="335"/>
      <c r="E31" s="663">
        <f>C31</f>
        <v>0</v>
      </c>
      <c r="F31" s="335"/>
      <c r="G31" s="664"/>
      <c r="H31" s="335"/>
      <c r="I31" s="664"/>
      <c r="J31" s="335"/>
      <c r="K31" s="663"/>
      <c r="L31" s="335"/>
      <c r="M31" s="629"/>
      <c r="N31" s="663">
        <v>0</v>
      </c>
      <c r="O31" s="335"/>
      <c r="P31" s="663">
        <f>N31</f>
        <v>0</v>
      </c>
      <c r="Q31" s="335"/>
      <c r="R31" s="664"/>
      <c r="S31" s="335"/>
      <c r="T31" s="664"/>
      <c r="U31" s="335"/>
      <c r="V31" s="663"/>
      <c r="W31" s="335"/>
      <c r="X31" s="647"/>
      <c r="Y31" s="663">
        <v>0</v>
      </c>
      <c r="Z31" s="335"/>
      <c r="AA31" s="663">
        <f>Y31</f>
        <v>0</v>
      </c>
      <c r="AB31" s="335"/>
      <c r="AC31" s="664"/>
      <c r="AD31" s="335"/>
      <c r="AE31" s="664"/>
      <c r="AF31" s="335"/>
      <c r="AG31" s="663"/>
      <c r="AH31" s="335"/>
      <c r="AL31" s="423">
        <f t="shared" si="0"/>
        <v>0</v>
      </c>
      <c r="AN31" s="599">
        <f t="shared" si="1"/>
        <v>0</v>
      </c>
      <c r="AO31" s="599">
        <f t="shared" si="2"/>
        <v>0</v>
      </c>
      <c r="AP31" s="599">
        <f t="shared" si="3"/>
        <v>0</v>
      </c>
    </row>
    <row r="32" spans="1:84" outlineLevel="1" x14ac:dyDescent="0.3">
      <c r="B32" s="737" t="s">
        <v>433</v>
      </c>
      <c r="C32" s="740">
        <v>0</v>
      </c>
      <c r="D32" s="741">
        <f t="shared" ref="D32:D38" si="9">$F$10</f>
        <v>0</v>
      </c>
      <c r="E32" s="740">
        <v>0</v>
      </c>
      <c r="F32" s="741">
        <f>$AB$10</f>
        <v>0</v>
      </c>
      <c r="G32" s="740">
        <v>0</v>
      </c>
      <c r="H32" s="741">
        <f>$AB$10</f>
        <v>0</v>
      </c>
      <c r="I32" s="740">
        <v>0</v>
      </c>
      <c r="J32" s="741">
        <f>$AB$10</f>
        <v>0</v>
      </c>
      <c r="K32" s="740">
        <v>0</v>
      </c>
      <c r="L32" s="741">
        <f>$AB$10</f>
        <v>0</v>
      </c>
      <c r="M32" s="629"/>
      <c r="N32" s="740">
        <v>0</v>
      </c>
      <c r="O32" s="741">
        <f>$Q$10</f>
        <v>0</v>
      </c>
      <c r="P32" s="740">
        <v>0</v>
      </c>
      <c r="Q32" s="741">
        <f>$AB$10</f>
        <v>0</v>
      </c>
      <c r="R32" s="740">
        <v>0</v>
      </c>
      <c r="S32" s="741">
        <f>$AB$10</f>
        <v>0</v>
      </c>
      <c r="T32" s="740">
        <v>0</v>
      </c>
      <c r="U32" s="741">
        <f>$AB$10</f>
        <v>0</v>
      </c>
      <c r="V32" s="740">
        <v>0</v>
      </c>
      <c r="W32" s="741">
        <f>$AB$10</f>
        <v>0</v>
      </c>
      <c r="X32" s="647"/>
      <c r="Y32" s="740">
        <v>0</v>
      </c>
      <c r="Z32" s="741">
        <f>$AB$10</f>
        <v>0</v>
      </c>
      <c r="AA32" s="740">
        <v>0</v>
      </c>
      <c r="AB32" s="741">
        <f>$AB$10</f>
        <v>0</v>
      </c>
      <c r="AC32" s="740">
        <v>0</v>
      </c>
      <c r="AD32" s="741">
        <f>$AB$10</f>
        <v>0</v>
      </c>
      <c r="AE32" s="740">
        <v>0</v>
      </c>
      <c r="AF32" s="741">
        <f>$AB$10</f>
        <v>0</v>
      </c>
      <c r="AG32" s="740">
        <v>0</v>
      </c>
      <c r="AH32" s="741">
        <f>$AB$10</f>
        <v>0</v>
      </c>
      <c r="AL32" s="423">
        <f t="shared" si="0"/>
        <v>0</v>
      </c>
      <c r="AN32" s="599">
        <f t="shared" si="1"/>
        <v>0</v>
      </c>
      <c r="AO32" s="599">
        <f t="shared" si="2"/>
        <v>0</v>
      </c>
      <c r="AP32" s="599">
        <f t="shared" si="3"/>
        <v>0</v>
      </c>
    </row>
    <row r="33" spans="2:42" outlineLevel="1" x14ac:dyDescent="0.3">
      <c r="B33" s="737" t="s">
        <v>434</v>
      </c>
      <c r="C33" s="740">
        <v>0</v>
      </c>
      <c r="D33" s="741">
        <f t="shared" si="9"/>
        <v>0</v>
      </c>
      <c r="E33" s="740">
        <v>0</v>
      </c>
      <c r="F33" s="741">
        <f t="shared" ref="F33:L38" si="10">$AB$10</f>
        <v>0</v>
      </c>
      <c r="G33" s="740">
        <v>0</v>
      </c>
      <c r="H33" s="741">
        <f t="shared" si="10"/>
        <v>0</v>
      </c>
      <c r="I33" s="740">
        <v>0</v>
      </c>
      <c r="J33" s="741">
        <f t="shared" si="10"/>
        <v>0</v>
      </c>
      <c r="K33" s="740">
        <v>0</v>
      </c>
      <c r="L33" s="741">
        <f t="shared" si="10"/>
        <v>0</v>
      </c>
      <c r="M33" s="629"/>
      <c r="N33" s="740">
        <v>0</v>
      </c>
      <c r="O33" s="741">
        <f t="shared" ref="O33:O37" si="11">$Q$10</f>
        <v>0</v>
      </c>
      <c r="P33" s="740">
        <v>0</v>
      </c>
      <c r="Q33" s="741">
        <f t="shared" ref="Q33:W38" si="12">$AB$10</f>
        <v>0</v>
      </c>
      <c r="R33" s="740">
        <v>0</v>
      </c>
      <c r="S33" s="741">
        <f t="shared" si="12"/>
        <v>0</v>
      </c>
      <c r="T33" s="740">
        <v>0</v>
      </c>
      <c r="U33" s="741">
        <f t="shared" si="12"/>
        <v>0</v>
      </c>
      <c r="V33" s="740">
        <v>0</v>
      </c>
      <c r="W33" s="741">
        <f t="shared" si="12"/>
        <v>0</v>
      </c>
      <c r="X33" s="647"/>
      <c r="Y33" s="740">
        <v>0</v>
      </c>
      <c r="Z33" s="741">
        <f t="shared" ref="Z33:Z38" si="13">$AB$10</f>
        <v>0</v>
      </c>
      <c r="AA33" s="740">
        <v>0</v>
      </c>
      <c r="AB33" s="741">
        <f t="shared" ref="AB33:AH38" si="14">$AB$10</f>
        <v>0</v>
      </c>
      <c r="AC33" s="740">
        <v>0</v>
      </c>
      <c r="AD33" s="741">
        <f t="shared" si="14"/>
        <v>0</v>
      </c>
      <c r="AE33" s="740">
        <v>0</v>
      </c>
      <c r="AF33" s="741">
        <f t="shared" si="14"/>
        <v>0</v>
      </c>
      <c r="AG33" s="740">
        <v>0</v>
      </c>
      <c r="AH33" s="741">
        <f t="shared" si="14"/>
        <v>0</v>
      </c>
      <c r="AL33" s="423">
        <f t="shared" si="0"/>
        <v>0</v>
      </c>
      <c r="AN33" s="599">
        <f t="shared" si="1"/>
        <v>0</v>
      </c>
      <c r="AO33" s="599">
        <f t="shared" si="2"/>
        <v>0</v>
      </c>
      <c r="AP33" s="599">
        <f t="shared" si="3"/>
        <v>0</v>
      </c>
    </row>
    <row r="34" spans="2:42" outlineLevel="1" x14ac:dyDescent="0.3">
      <c r="B34" s="737" t="s">
        <v>435</v>
      </c>
      <c r="C34" s="740">
        <v>0</v>
      </c>
      <c r="D34" s="741">
        <f t="shared" si="9"/>
        <v>0</v>
      </c>
      <c r="E34" s="740">
        <v>0</v>
      </c>
      <c r="F34" s="741">
        <f t="shared" si="10"/>
        <v>0</v>
      </c>
      <c r="G34" s="740">
        <v>0</v>
      </c>
      <c r="H34" s="741">
        <f t="shared" si="10"/>
        <v>0</v>
      </c>
      <c r="I34" s="740">
        <v>0</v>
      </c>
      <c r="J34" s="741">
        <f t="shared" si="10"/>
        <v>0</v>
      </c>
      <c r="K34" s="740">
        <v>0</v>
      </c>
      <c r="L34" s="741">
        <f t="shared" si="10"/>
        <v>0</v>
      </c>
      <c r="M34" s="629"/>
      <c r="N34" s="740">
        <v>0</v>
      </c>
      <c r="O34" s="741">
        <f t="shared" si="11"/>
        <v>0</v>
      </c>
      <c r="P34" s="740">
        <v>0</v>
      </c>
      <c r="Q34" s="741">
        <f t="shared" si="12"/>
        <v>0</v>
      </c>
      <c r="R34" s="740">
        <v>0</v>
      </c>
      <c r="S34" s="741">
        <f t="shared" si="12"/>
        <v>0</v>
      </c>
      <c r="T34" s="740">
        <v>0</v>
      </c>
      <c r="U34" s="741">
        <f t="shared" si="12"/>
        <v>0</v>
      </c>
      <c r="V34" s="740">
        <v>0</v>
      </c>
      <c r="W34" s="741">
        <f t="shared" si="12"/>
        <v>0</v>
      </c>
      <c r="X34" s="647"/>
      <c r="Y34" s="740">
        <v>0</v>
      </c>
      <c r="Z34" s="741">
        <f t="shared" si="13"/>
        <v>0</v>
      </c>
      <c r="AA34" s="740">
        <v>0</v>
      </c>
      <c r="AB34" s="741">
        <f t="shared" si="14"/>
        <v>0</v>
      </c>
      <c r="AC34" s="740">
        <v>0</v>
      </c>
      <c r="AD34" s="741">
        <f t="shared" si="14"/>
        <v>0</v>
      </c>
      <c r="AE34" s="740">
        <v>0</v>
      </c>
      <c r="AF34" s="741">
        <f t="shared" si="14"/>
        <v>0</v>
      </c>
      <c r="AG34" s="740">
        <v>0</v>
      </c>
      <c r="AH34" s="741">
        <f t="shared" si="14"/>
        <v>0</v>
      </c>
      <c r="AL34" s="423">
        <f t="shared" si="0"/>
        <v>0</v>
      </c>
      <c r="AN34" s="599">
        <f t="shared" si="1"/>
        <v>0</v>
      </c>
      <c r="AO34" s="599">
        <f t="shared" si="2"/>
        <v>0</v>
      </c>
      <c r="AP34" s="599">
        <f t="shared" si="3"/>
        <v>0</v>
      </c>
    </row>
    <row r="35" spans="2:42" outlineLevel="1" x14ac:dyDescent="0.3">
      <c r="B35" s="744" t="s">
        <v>436</v>
      </c>
      <c r="C35" s="740">
        <v>0</v>
      </c>
      <c r="D35" s="741">
        <f t="shared" si="9"/>
        <v>0</v>
      </c>
      <c r="E35" s="740">
        <v>0</v>
      </c>
      <c r="F35" s="741">
        <f t="shared" si="10"/>
        <v>0</v>
      </c>
      <c r="G35" s="740">
        <v>0</v>
      </c>
      <c r="H35" s="741">
        <f t="shared" si="10"/>
        <v>0</v>
      </c>
      <c r="I35" s="740">
        <v>0</v>
      </c>
      <c r="J35" s="741">
        <f t="shared" si="10"/>
        <v>0</v>
      </c>
      <c r="K35" s="740">
        <v>0</v>
      </c>
      <c r="L35" s="741">
        <f t="shared" si="10"/>
        <v>0</v>
      </c>
      <c r="M35" s="629"/>
      <c r="N35" s="740">
        <v>0</v>
      </c>
      <c r="O35" s="741">
        <f t="shared" si="11"/>
        <v>0</v>
      </c>
      <c r="P35" s="740">
        <v>0</v>
      </c>
      <c r="Q35" s="741">
        <f t="shared" si="12"/>
        <v>0</v>
      </c>
      <c r="R35" s="740">
        <v>0</v>
      </c>
      <c r="S35" s="741">
        <f t="shared" si="12"/>
        <v>0</v>
      </c>
      <c r="T35" s="740">
        <v>0</v>
      </c>
      <c r="U35" s="741">
        <f t="shared" si="12"/>
        <v>0</v>
      </c>
      <c r="V35" s="740">
        <v>0</v>
      </c>
      <c r="W35" s="741">
        <f t="shared" si="12"/>
        <v>0</v>
      </c>
      <c r="X35" s="647"/>
      <c r="Y35" s="740">
        <v>0</v>
      </c>
      <c r="Z35" s="741">
        <f t="shared" si="13"/>
        <v>0</v>
      </c>
      <c r="AA35" s="740">
        <v>0</v>
      </c>
      <c r="AB35" s="741">
        <f t="shared" si="14"/>
        <v>0</v>
      </c>
      <c r="AC35" s="740">
        <v>0</v>
      </c>
      <c r="AD35" s="741">
        <f t="shared" si="14"/>
        <v>0</v>
      </c>
      <c r="AE35" s="740">
        <v>0</v>
      </c>
      <c r="AF35" s="741">
        <f t="shared" si="14"/>
        <v>0</v>
      </c>
      <c r="AG35" s="740">
        <v>0</v>
      </c>
      <c r="AH35" s="741">
        <f t="shared" si="14"/>
        <v>0</v>
      </c>
      <c r="AL35" s="423">
        <f t="shared" si="0"/>
        <v>0</v>
      </c>
      <c r="AN35" s="599">
        <f t="shared" si="1"/>
        <v>0</v>
      </c>
      <c r="AO35" s="599">
        <f t="shared" si="2"/>
        <v>0</v>
      </c>
      <c r="AP35" s="599">
        <f t="shared" si="3"/>
        <v>0</v>
      </c>
    </row>
    <row r="36" spans="2:42" outlineLevel="1" x14ac:dyDescent="0.3">
      <c r="B36" s="744" t="s">
        <v>429</v>
      </c>
      <c r="C36" s="740">
        <v>0</v>
      </c>
      <c r="D36" s="741">
        <f t="shared" si="9"/>
        <v>0</v>
      </c>
      <c r="E36" s="740">
        <v>0</v>
      </c>
      <c r="F36" s="741">
        <f t="shared" si="10"/>
        <v>0</v>
      </c>
      <c r="G36" s="740">
        <v>0</v>
      </c>
      <c r="H36" s="741">
        <f t="shared" si="10"/>
        <v>0</v>
      </c>
      <c r="I36" s="740">
        <v>0</v>
      </c>
      <c r="J36" s="741">
        <f t="shared" si="10"/>
        <v>0</v>
      </c>
      <c r="K36" s="740">
        <v>0</v>
      </c>
      <c r="L36" s="741">
        <f t="shared" si="10"/>
        <v>0</v>
      </c>
      <c r="M36" s="629"/>
      <c r="N36" s="740">
        <v>0</v>
      </c>
      <c r="O36" s="741">
        <f t="shared" si="11"/>
        <v>0</v>
      </c>
      <c r="P36" s="740">
        <v>0</v>
      </c>
      <c r="Q36" s="741">
        <f t="shared" si="12"/>
        <v>0</v>
      </c>
      <c r="R36" s="740">
        <v>0</v>
      </c>
      <c r="S36" s="741">
        <f t="shared" si="12"/>
        <v>0</v>
      </c>
      <c r="T36" s="740">
        <v>0</v>
      </c>
      <c r="U36" s="741">
        <f t="shared" si="12"/>
        <v>0</v>
      </c>
      <c r="V36" s="740">
        <v>0</v>
      </c>
      <c r="W36" s="741">
        <f t="shared" si="12"/>
        <v>0</v>
      </c>
      <c r="X36" s="647"/>
      <c r="Y36" s="740">
        <v>0</v>
      </c>
      <c r="Z36" s="741">
        <f t="shared" si="13"/>
        <v>0</v>
      </c>
      <c r="AA36" s="740">
        <v>0</v>
      </c>
      <c r="AB36" s="741">
        <f t="shared" si="14"/>
        <v>0</v>
      </c>
      <c r="AC36" s="740">
        <v>0</v>
      </c>
      <c r="AD36" s="741">
        <f t="shared" si="14"/>
        <v>0</v>
      </c>
      <c r="AE36" s="740">
        <v>0</v>
      </c>
      <c r="AF36" s="741">
        <f t="shared" si="14"/>
        <v>0</v>
      </c>
      <c r="AG36" s="740">
        <v>0</v>
      </c>
      <c r="AH36" s="741">
        <f t="shared" si="14"/>
        <v>0</v>
      </c>
      <c r="AL36" s="423">
        <f t="shared" si="0"/>
        <v>0</v>
      </c>
      <c r="AN36" s="599">
        <f t="shared" si="1"/>
        <v>0</v>
      </c>
      <c r="AO36" s="599">
        <f t="shared" si="2"/>
        <v>0</v>
      </c>
      <c r="AP36" s="599">
        <f t="shared" si="3"/>
        <v>0</v>
      </c>
    </row>
    <row r="37" spans="2:42" outlineLevel="1" x14ac:dyDescent="0.3">
      <c r="B37" s="737" t="s">
        <v>430</v>
      </c>
      <c r="C37" s="740">
        <v>0</v>
      </c>
      <c r="D37" s="741">
        <f t="shared" si="9"/>
        <v>0</v>
      </c>
      <c r="E37" s="740">
        <v>0</v>
      </c>
      <c r="F37" s="741">
        <f t="shared" si="10"/>
        <v>0</v>
      </c>
      <c r="G37" s="740">
        <v>0</v>
      </c>
      <c r="H37" s="741">
        <f t="shared" si="10"/>
        <v>0</v>
      </c>
      <c r="I37" s="740">
        <v>0</v>
      </c>
      <c r="J37" s="741">
        <f t="shared" si="10"/>
        <v>0</v>
      </c>
      <c r="K37" s="740">
        <v>0</v>
      </c>
      <c r="L37" s="741">
        <f t="shared" si="10"/>
        <v>0</v>
      </c>
      <c r="M37" s="629"/>
      <c r="N37" s="740">
        <v>0</v>
      </c>
      <c r="O37" s="741">
        <f t="shared" si="11"/>
        <v>0</v>
      </c>
      <c r="P37" s="740">
        <v>0</v>
      </c>
      <c r="Q37" s="741">
        <f t="shared" si="12"/>
        <v>0</v>
      </c>
      <c r="R37" s="740">
        <v>0</v>
      </c>
      <c r="S37" s="741">
        <f t="shared" si="12"/>
        <v>0</v>
      </c>
      <c r="T37" s="740">
        <v>0</v>
      </c>
      <c r="U37" s="741">
        <f t="shared" si="12"/>
        <v>0</v>
      </c>
      <c r="V37" s="740">
        <v>0</v>
      </c>
      <c r="W37" s="741">
        <f t="shared" si="12"/>
        <v>0</v>
      </c>
      <c r="X37" s="647"/>
      <c r="Y37" s="740">
        <v>0</v>
      </c>
      <c r="Z37" s="741">
        <f t="shared" si="13"/>
        <v>0</v>
      </c>
      <c r="AA37" s="740">
        <v>0</v>
      </c>
      <c r="AB37" s="741">
        <f t="shared" si="14"/>
        <v>0</v>
      </c>
      <c r="AC37" s="740">
        <v>0</v>
      </c>
      <c r="AD37" s="741">
        <f t="shared" si="14"/>
        <v>0</v>
      </c>
      <c r="AE37" s="740">
        <v>0</v>
      </c>
      <c r="AF37" s="741">
        <f t="shared" si="14"/>
        <v>0</v>
      </c>
      <c r="AG37" s="740">
        <v>0</v>
      </c>
      <c r="AH37" s="741">
        <f t="shared" si="14"/>
        <v>0</v>
      </c>
      <c r="AL37" s="423">
        <f t="shared" si="0"/>
        <v>0</v>
      </c>
      <c r="AN37" s="599">
        <f t="shared" si="1"/>
        <v>0</v>
      </c>
      <c r="AO37" s="599">
        <f t="shared" si="2"/>
        <v>0</v>
      </c>
      <c r="AP37" s="599">
        <f t="shared" si="3"/>
        <v>0</v>
      </c>
    </row>
    <row r="38" spans="2:42" outlineLevel="1" x14ac:dyDescent="0.3">
      <c r="B38" s="745" t="s">
        <v>431</v>
      </c>
      <c r="C38" s="740">
        <f>C31-SUM(C32:C37)</f>
        <v>0</v>
      </c>
      <c r="D38" s="741">
        <f t="shared" si="9"/>
        <v>0</v>
      </c>
      <c r="E38" s="740">
        <f>E31-SUM(E32:E37)</f>
        <v>0</v>
      </c>
      <c r="F38" s="741">
        <f t="shared" si="10"/>
        <v>0</v>
      </c>
      <c r="G38" s="740">
        <f>G31-SUM(G32:G37)</f>
        <v>0</v>
      </c>
      <c r="H38" s="741">
        <f t="shared" si="10"/>
        <v>0</v>
      </c>
      <c r="I38" s="740">
        <f>I31-SUM(I32:I37)</f>
        <v>0</v>
      </c>
      <c r="J38" s="741">
        <f t="shared" si="10"/>
        <v>0</v>
      </c>
      <c r="K38" s="740">
        <f>K31-SUM(K32:K37)</f>
        <v>0</v>
      </c>
      <c r="L38" s="741">
        <f t="shared" si="10"/>
        <v>0</v>
      </c>
      <c r="M38" s="629"/>
      <c r="N38" s="740">
        <f>N31-SUM(N32:N37)</f>
        <v>0</v>
      </c>
      <c r="O38" s="741">
        <f>$Q$10</f>
        <v>0</v>
      </c>
      <c r="P38" s="740">
        <f>P31-SUM(P32:P37)</f>
        <v>0</v>
      </c>
      <c r="Q38" s="741">
        <f t="shared" si="12"/>
        <v>0</v>
      </c>
      <c r="R38" s="740">
        <f>R31-SUM(R32:R37)</f>
        <v>0</v>
      </c>
      <c r="S38" s="741">
        <f t="shared" si="12"/>
        <v>0</v>
      </c>
      <c r="T38" s="740">
        <f>T31-SUM(T32:T37)</f>
        <v>0</v>
      </c>
      <c r="U38" s="741">
        <f t="shared" si="12"/>
        <v>0</v>
      </c>
      <c r="V38" s="740">
        <f>V31-SUM(V32:V37)</f>
        <v>0</v>
      </c>
      <c r="W38" s="741">
        <f t="shared" si="12"/>
        <v>0</v>
      </c>
      <c r="X38" s="647"/>
      <c r="Y38" s="740">
        <f>Y31-SUM(Y32:Y37)</f>
        <v>0</v>
      </c>
      <c r="Z38" s="741">
        <f t="shared" si="13"/>
        <v>0</v>
      </c>
      <c r="AA38" s="740">
        <f>AA31-SUM(AA32:AA37)</f>
        <v>0</v>
      </c>
      <c r="AB38" s="741">
        <f t="shared" si="14"/>
        <v>0</v>
      </c>
      <c r="AC38" s="740">
        <f>AC31-SUM(AC32:AC37)</f>
        <v>0</v>
      </c>
      <c r="AD38" s="741">
        <f t="shared" si="14"/>
        <v>0</v>
      </c>
      <c r="AE38" s="740">
        <f>AE31-SUM(AE32:AE37)</f>
        <v>0</v>
      </c>
      <c r="AF38" s="741">
        <f t="shared" si="14"/>
        <v>0</v>
      </c>
      <c r="AG38" s="740">
        <f>AG31-SUM(AG32:AG37)</f>
        <v>0</v>
      </c>
      <c r="AH38" s="741">
        <f t="shared" si="14"/>
        <v>0</v>
      </c>
      <c r="AL38" s="423">
        <f t="shared" si="0"/>
        <v>0</v>
      </c>
      <c r="AN38" s="599">
        <f t="shared" si="1"/>
        <v>0</v>
      </c>
      <c r="AO38" s="599">
        <f t="shared" si="2"/>
        <v>0</v>
      </c>
      <c r="AP38" s="599">
        <f t="shared" si="3"/>
        <v>0</v>
      </c>
    </row>
    <row r="39" spans="2:42" x14ac:dyDescent="0.3">
      <c r="B39" s="336" t="s">
        <v>125</v>
      </c>
      <c r="C39" s="663">
        <v>0</v>
      </c>
      <c r="D39" s="335"/>
      <c r="E39" s="663">
        <f>C39</f>
        <v>0</v>
      </c>
      <c r="F39" s="335"/>
      <c r="G39" s="664"/>
      <c r="H39" s="335"/>
      <c r="I39" s="664"/>
      <c r="J39" s="335"/>
      <c r="K39" s="663"/>
      <c r="L39" s="335"/>
      <c r="M39" s="629"/>
      <c r="N39" s="663">
        <v>0</v>
      </c>
      <c r="O39" s="335"/>
      <c r="P39" s="663">
        <f>N39</f>
        <v>0</v>
      </c>
      <c r="Q39" s="335"/>
      <c r="R39" s="664"/>
      <c r="S39" s="335"/>
      <c r="T39" s="664"/>
      <c r="U39" s="335"/>
      <c r="V39" s="663"/>
      <c r="W39" s="335"/>
      <c r="X39" s="647"/>
      <c r="Y39" s="663">
        <v>0</v>
      </c>
      <c r="Z39" s="335"/>
      <c r="AA39" s="663">
        <f>Y39</f>
        <v>0</v>
      </c>
      <c r="AB39" s="335"/>
      <c r="AC39" s="664"/>
      <c r="AD39" s="335"/>
      <c r="AE39" s="664"/>
      <c r="AF39" s="335"/>
      <c r="AG39" s="663"/>
      <c r="AH39" s="335"/>
      <c r="AL39" s="423">
        <f t="shared" si="0"/>
        <v>0</v>
      </c>
      <c r="AN39" s="599">
        <f t="shared" si="1"/>
        <v>0</v>
      </c>
      <c r="AO39" s="599">
        <f t="shared" si="2"/>
        <v>0</v>
      </c>
      <c r="AP39" s="599">
        <f t="shared" si="3"/>
        <v>0</v>
      </c>
    </row>
    <row r="40" spans="2:42" outlineLevel="1" x14ac:dyDescent="0.3">
      <c r="B40" s="737" t="s">
        <v>437</v>
      </c>
      <c r="C40" s="740">
        <v>0</v>
      </c>
      <c r="D40" s="741">
        <f t="shared" ref="D40:D47" si="15">$F$10</f>
        <v>0</v>
      </c>
      <c r="E40" s="740">
        <v>0</v>
      </c>
      <c r="F40" s="741">
        <f>$AB$10</f>
        <v>0</v>
      </c>
      <c r="G40" s="740">
        <v>0</v>
      </c>
      <c r="H40" s="741">
        <f>$AB$10</f>
        <v>0</v>
      </c>
      <c r="I40" s="740">
        <v>0</v>
      </c>
      <c r="J40" s="741">
        <f>$AB$10</f>
        <v>0</v>
      </c>
      <c r="K40" s="740">
        <v>0</v>
      </c>
      <c r="L40" s="741">
        <f>$AB$10</f>
        <v>0</v>
      </c>
      <c r="M40" s="629"/>
      <c r="N40" s="740">
        <v>0</v>
      </c>
      <c r="O40" s="741">
        <f>$Q$10</f>
        <v>0</v>
      </c>
      <c r="P40" s="740">
        <v>0</v>
      </c>
      <c r="Q40" s="741">
        <f>$AB$10</f>
        <v>0</v>
      </c>
      <c r="R40" s="740">
        <v>0</v>
      </c>
      <c r="S40" s="741">
        <f>$AB$10</f>
        <v>0</v>
      </c>
      <c r="T40" s="740">
        <v>0</v>
      </c>
      <c r="U40" s="741">
        <f>$AB$10</f>
        <v>0</v>
      </c>
      <c r="V40" s="740">
        <v>0</v>
      </c>
      <c r="W40" s="741">
        <f>$AB$10</f>
        <v>0</v>
      </c>
      <c r="X40" s="647"/>
      <c r="Y40" s="740">
        <v>0</v>
      </c>
      <c r="Z40" s="741">
        <f>$AB$10</f>
        <v>0</v>
      </c>
      <c r="AA40" s="740">
        <v>0</v>
      </c>
      <c r="AB40" s="741">
        <f>$AB$10</f>
        <v>0</v>
      </c>
      <c r="AC40" s="740">
        <v>0</v>
      </c>
      <c r="AD40" s="741">
        <f>$AB$10</f>
        <v>0</v>
      </c>
      <c r="AE40" s="740">
        <v>0</v>
      </c>
      <c r="AF40" s="741">
        <f>$AB$10</f>
        <v>0</v>
      </c>
      <c r="AG40" s="740">
        <v>0</v>
      </c>
      <c r="AH40" s="741">
        <f>$AB$10</f>
        <v>0</v>
      </c>
      <c r="AL40" s="423">
        <f t="shared" si="0"/>
        <v>0</v>
      </c>
      <c r="AN40" s="599">
        <f t="shared" si="1"/>
        <v>0</v>
      </c>
      <c r="AO40" s="599">
        <f t="shared" si="2"/>
        <v>0</v>
      </c>
      <c r="AP40" s="599">
        <f t="shared" si="3"/>
        <v>0</v>
      </c>
    </row>
    <row r="41" spans="2:42" outlineLevel="1" x14ac:dyDescent="0.3">
      <c r="B41" s="737" t="s">
        <v>438</v>
      </c>
      <c r="C41" s="740">
        <v>0</v>
      </c>
      <c r="D41" s="741">
        <f t="shared" si="15"/>
        <v>0</v>
      </c>
      <c r="E41" s="740">
        <v>0</v>
      </c>
      <c r="F41" s="741">
        <f t="shared" ref="F41:L47" si="16">$AB$10</f>
        <v>0</v>
      </c>
      <c r="G41" s="740">
        <v>0</v>
      </c>
      <c r="H41" s="741">
        <f t="shared" si="16"/>
        <v>0</v>
      </c>
      <c r="I41" s="740">
        <v>0</v>
      </c>
      <c r="J41" s="741">
        <f t="shared" si="16"/>
        <v>0</v>
      </c>
      <c r="K41" s="740">
        <v>0</v>
      </c>
      <c r="L41" s="741">
        <f t="shared" si="16"/>
        <v>0</v>
      </c>
      <c r="M41" s="629"/>
      <c r="N41" s="740">
        <v>0</v>
      </c>
      <c r="O41" s="741">
        <f t="shared" ref="O41:O45" si="17">$Q$10</f>
        <v>0</v>
      </c>
      <c r="P41" s="740">
        <v>0</v>
      </c>
      <c r="Q41" s="741">
        <f t="shared" ref="Q41:W47" si="18">$AB$10</f>
        <v>0</v>
      </c>
      <c r="R41" s="740">
        <v>0</v>
      </c>
      <c r="S41" s="741">
        <f t="shared" si="18"/>
        <v>0</v>
      </c>
      <c r="T41" s="740">
        <v>0</v>
      </c>
      <c r="U41" s="741">
        <f t="shared" si="18"/>
        <v>0</v>
      </c>
      <c r="V41" s="740">
        <v>0</v>
      </c>
      <c r="W41" s="741">
        <f t="shared" si="18"/>
        <v>0</v>
      </c>
      <c r="X41" s="647"/>
      <c r="Y41" s="740">
        <v>0</v>
      </c>
      <c r="Z41" s="741">
        <f t="shared" ref="Z41:Z47" si="19">$AB$10</f>
        <v>0</v>
      </c>
      <c r="AA41" s="740">
        <v>0</v>
      </c>
      <c r="AB41" s="741">
        <f t="shared" ref="AB41:AH47" si="20">$AB$10</f>
        <v>0</v>
      </c>
      <c r="AC41" s="740">
        <v>0</v>
      </c>
      <c r="AD41" s="741">
        <f t="shared" si="20"/>
        <v>0</v>
      </c>
      <c r="AE41" s="740">
        <v>0</v>
      </c>
      <c r="AF41" s="741">
        <f t="shared" si="20"/>
        <v>0</v>
      </c>
      <c r="AG41" s="740">
        <v>0</v>
      </c>
      <c r="AH41" s="741">
        <f t="shared" si="20"/>
        <v>0</v>
      </c>
      <c r="AL41" s="423">
        <f t="shared" si="0"/>
        <v>0</v>
      </c>
      <c r="AN41" s="599">
        <f t="shared" si="1"/>
        <v>0</v>
      </c>
      <c r="AO41" s="599">
        <f t="shared" si="2"/>
        <v>0</v>
      </c>
      <c r="AP41" s="599">
        <f t="shared" si="3"/>
        <v>0</v>
      </c>
    </row>
    <row r="42" spans="2:42" outlineLevel="1" x14ac:dyDescent="0.3">
      <c r="B42" s="737" t="s">
        <v>439</v>
      </c>
      <c r="C42" s="740">
        <v>0</v>
      </c>
      <c r="D42" s="741">
        <f t="shared" si="15"/>
        <v>0</v>
      </c>
      <c r="E42" s="740">
        <v>0</v>
      </c>
      <c r="F42" s="741">
        <f t="shared" si="16"/>
        <v>0</v>
      </c>
      <c r="G42" s="740">
        <v>0</v>
      </c>
      <c r="H42" s="741">
        <f t="shared" si="16"/>
        <v>0</v>
      </c>
      <c r="I42" s="740">
        <v>0</v>
      </c>
      <c r="J42" s="741">
        <f t="shared" si="16"/>
        <v>0</v>
      </c>
      <c r="K42" s="740">
        <v>0</v>
      </c>
      <c r="L42" s="741">
        <f t="shared" si="16"/>
        <v>0</v>
      </c>
      <c r="M42" s="629"/>
      <c r="N42" s="740">
        <v>0</v>
      </c>
      <c r="O42" s="741">
        <f t="shared" si="17"/>
        <v>0</v>
      </c>
      <c r="P42" s="740">
        <v>0</v>
      </c>
      <c r="Q42" s="741">
        <f t="shared" si="18"/>
        <v>0</v>
      </c>
      <c r="R42" s="740">
        <v>0</v>
      </c>
      <c r="S42" s="741">
        <f t="shared" si="18"/>
        <v>0</v>
      </c>
      <c r="T42" s="740">
        <v>0</v>
      </c>
      <c r="U42" s="741">
        <f t="shared" si="18"/>
        <v>0</v>
      </c>
      <c r="V42" s="740">
        <v>0</v>
      </c>
      <c r="W42" s="741">
        <f t="shared" si="18"/>
        <v>0</v>
      </c>
      <c r="X42" s="647"/>
      <c r="Y42" s="740">
        <v>0</v>
      </c>
      <c r="Z42" s="741">
        <f t="shared" si="19"/>
        <v>0</v>
      </c>
      <c r="AA42" s="740">
        <v>0</v>
      </c>
      <c r="AB42" s="741">
        <f t="shared" si="20"/>
        <v>0</v>
      </c>
      <c r="AC42" s="740">
        <v>0</v>
      </c>
      <c r="AD42" s="741">
        <f t="shared" si="20"/>
        <v>0</v>
      </c>
      <c r="AE42" s="740">
        <v>0</v>
      </c>
      <c r="AF42" s="741">
        <f t="shared" si="20"/>
        <v>0</v>
      </c>
      <c r="AG42" s="740">
        <v>0</v>
      </c>
      <c r="AH42" s="741">
        <f t="shared" si="20"/>
        <v>0</v>
      </c>
      <c r="AL42" s="423">
        <f t="shared" si="0"/>
        <v>0</v>
      </c>
      <c r="AN42" s="599">
        <f t="shared" si="1"/>
        <v>0</v>
      </c>
      <c r="AO42" s="599">
        <f t="shared" si="2"/>
        <v>0</v>
      </c>
      <c r="AP42" s="599">
        <f t="shared" si="3"/>
        <v>0</v>
      </c>
    </row>
    <row r="43" spans="2:42" outlineLevel="1" x14ac:dyDescent="0.3">
      <c r="B43" s="744" t="s">
        <v>440</v>
      </c>
      <c r="C43" s="740">
        <v>0</v>
      </c>
      <c r="D43" s="741">
        <f t="shared" si="15"/>
        <v>0</v>
      </c>
      <c r="E43" s="740">
        <v>0</v>
      </c>
      <c r="F43" s="741">
        <f t="shared" si="16"/>
        <v>0</v>
      </c>
      <c r="G43" s="740">
        <v>0</v>
      </c>
      <c r="H43" s="741">
        <f t="shared" si="16"/>
        <v>0</v>
      </c>
      <c r="I43" s="740">
        <v>0</v>
      </c>
      <c r="J43" s="741">
        <f t="shared" si="16"/>
        <v>0</v>
      </c>
      <c r="K43" s="740">
        <v>0</v>
      </c>
      <c r="L43" s="741">
        <f t="shared" si="16"/>
        <v>0</v>
      </c>
      <c r="M43" s="629"/>
      <c r="N43" s="740">
        <v>0</v>
      </c>
      <c r="O43" s="741">
        <f t="shared" si="17"/>
        <v>0</v>
      </c>
      <c r="P43" s="740">
        <v>0</v>
      </c>
      <c r="Q43" s="741">
        <f t="shared" si="18"/>
        <v>0</v>
      </c>
      <c r="R43" s="740">
        <v>0</v>
      </c>
      <c r="S43" s="741">
        <f t="shared" si="18"/>
        <v>0</v>
      </c>
      <c r="T43" s="740">
        <v>0</v>
      </c>
      <c r="U43" s="741">
        <f t="shared" si="18"/>
        <v>0</v>
      </c>
      <c r="V43" s="740">
        <v>0</v>
      </c>
      <c r="W43" s="741">
        <f t="shared" si="18"/>
        <v>0</v>
      </c>
      <c r="X43" s="647"/>
      <c r="Y43" s="740">
        <v>0</v>
      </c>
      <c r="Z43" s="741">
        <f t="shared" si="19"/>
        <v>0</v>
      </c>
      <c r="AA43" s="740">
        <v>0</v>
      </c>
      <c r="AB43" s="741">
        <f t="shared" si="20"/>
        <v>0</v>
      </c>
      <c r="AC43" s="740">
        <v>0</v>
      </c>
      <c r="AD43" s="741">
        <f t="shared" si="20"/>
        <v>0</v>
      </c>
      <c r="AE43" s="740">
        <v>0</v>
      </c>
      <c r="AF43" s="741">
        <f t="shared" si="20"/>
        <v>0</v>
      </c>
      <c r="AG43" s="740">
        <v>0</v>
      </c>
      <c r="AH43" s="741">
        <f t="shared" si="20"/>
        <v>0</v>
      </c>
      <c r="AL43" s="423">
        <f t="shared" si="0"/>
        <v>0</v>
      </c>
      <c r="AN43" s="599">
        <f t="shared" si="1"/>
        <v>0</v>
      </c>
      <c r="AO43" s="599">
        <f t="shared" si="2"/>
        <v>0</v>
      </c>
      <c r="AP43" s="599">
        <f t="shared" si="3"/>
        <v>0</v>
      </c>
    </row>
    <row r="44" spans="2:42" outlineLevel="1" x14ac:dyDescent="0.3">
      <c r="B44" s="744" t="s">
        <v>441</v>
      </c>
      <c r="C44" s="740">
        <v>0</v>
      </c>
      <c r="D44" s="741">
        <f t="shared" si="15"/>
        <v>0</v>
      </c>
      <c r="E44" s="740">
        <v>0</v>
      </c>
      <c r="F44" s="741">
        <f t="shared" si="16"/>
        <v>0</v>
      </c>
      <c r="G44" s="740">
        <v>0</v>
      </c>
      <c r="H44" s="741">
        <f t="shared" si="16"/>
        <v>0</v>
      </c>
      <c r="I44" s="740">
        <v>0</v>
      </c>
      <c r="J44" s="741">
        <f t="shared" si="16"/>
        <v>0</v>
      </c>
      <c r="K44" s="740">
        <v>0</v>
      </c>
      <c r="L44" s="741">
        <f t="shared" si="16"/>
        <v>0</v>
      </c>
      <c r="M44" s="629"/>
      <c r="N44" s="740">
        <v>0</v>
      </c>
      <c r="O44" s="741">
        <f t="shared" si="17"/>
        <v>0</v>
      </c>
      <c r="P44" s="740">
        <v>0</v>
      </c>
      <c r="Q44" s="741">
        <f t="shared" si="18"/>
        <v>0</v>
      </c>
      <c r="R44" s="740">
        <v>0</v>
      </c>
      <c r="S44" s="741">
        <f t="shared" si="18"/>
        <v>0</v>
      </c>
      <c r="T44" s="740">
        <v>0</v>
      </c>
      <c r="U44" s="741">
        <f t="shared" si="18"/>
        <v>0</v>
      </c>
      <c r="V44" s="740">
        <v>0</v>
      </c>
      <c r="W44" s="741">
        <f t="shared" si="18"/>
        <v>0</v>
      </c>
      <c r="X44" s="647"/>
      <c r="Y44" s="740">
        <v>0</v>
      </c>
      <c r="Z44" s="741">
        <f t="shared" si="19"/>
        <v>0</v>
      </c>
      <c r="AA44" s="740">
        <v>0</v>
      </c>
      <c r="AB44" s="741">
        <f t="shared" si="20"/>
        <v>0</v>
      </c>
      <c r="AC44" s="740">
        <v>0</v>
      </c>
      <c r="AD44" s="741">
        <f t="shared" si="20"/>
        <v>0</v>
      </c>
      <c r="AE44" s="740">
        <v>0</v>
      </c>
      <c r="AF44" s="741">
        <f t="shared" si="20"/>
        <v>0</v>
      </c>
      <c r="AG44" s="740">
        <v>0</v>
      </c>
      <c r="AH44" s="741">
        <f t="shared" si="20"/>
        <v>0</v>
      </c>
      <c r="AL44" s="423">
        <f t="shared" si="0"/>
        <v>0</v>
      </c>
      <c r="AN44" s="599">
        <f t="shared" si="1"/>
        <v>0</v>
      </c>
      <c r="AO44" s="599">
        <f t="shared" si="2"/>
        <v>0</v>
      </c>
      <c r="AP44" s="599">
        <f t="shared" si="3"/>
        <v>0</v>
      </c>
    </row>
    <row r="45" spans="2:42" outlineLevel="1" x14ac:dyDescent="0.3">
      <c r="B45" s="737" t="s">
        <v>429</v>
      </c>
      <c r="C45" s="740">
        <v>0</v>
      </c>
      <c r="D45" s="741">
        <f t="shared" si="15"/>
        <v>0</v>
      </c>
      <c r="E45" s="740">
        <v>0</v>
      </c>
      <c r="F45" s="741">
        <f t="shared" si="16"/>
        <v>0</v>
      </c>
      <c r="G45" s="740">
        <v>0</v>
      </c>
      <c r="H45" s="741">
        <f t="shared" si="16"/>
        <v>0</v>
      </c>
      <c r="I45" s="740">
        <v>0</v>
      </c>
      <c r="J45" s="741">
        <f t="shared" si="16"/>
        <v>0</v>
      </c>
      <c r="K45" s="740">
        <v>0</v>
      </c>
      <c r="L45" s="741">
        <f t="shared" si="16"/>
        <v>0</v>
      </c>
      <c r="M45" s="629"/>
      <c r="N45" s="740">
        <v>0</v>
      </c>
      <c r="O45" s="741">
        <f t="shared" si="17"/>
        <v>0</v>
      </c>
      <c r="P45" s="740">
        <v>0</v>
      </c>
      <c r="Q45" s="741">
        <f t="shared" si="18"/>
        <v>0</v>
      </c>
      <c r="R45" s="740">
        <v>0</v>
      </c>
      <c r="S45" s="741">
        <f t="shared" si="18"/>
        <v>0</v>
      </c>
      <c r="T45" s="740">
        <v>0</v>
      </c>
      <c r="U45" s="741">
        <f t="shared" si="18"/>
        <v>0</v>
      </c>
      <c r="V45" s="740">
        <v>0</v>
      </c>
      <c r="W45" s="741">
        <f t="shared" si="18"/>
        <v>0</v>
      </c>
      <c r="X45" s="647"/>
      <c r="Y45" s="740">
        <v>0</v>
      </c>
      <c r="Z45" s="741">
        <f t="shared" si="19"/>
        <v>0</v>
      </c>
      <c r="AA45" s="740">
        <v>0</v>
      </c>
      <c r="AB45" s="741">
        <f t="shared" si="20"/>
        <v>0</v>
      </c>
      <c r="AC45" s="740">
        <v>0</v>
      </c>
      <c r="AD45" s="741">
        <f t="shared" si="20"/>
        <v>0</v>
      </c>
      <c r="AE45" s="740">
        <v>0</v>
      </c>
      <c r="AF45" s="741">
        <f t="shared" si="20"/>
        <v>0</v>
      </c>
      <c r="AG45" s="740">
        <v>0</v>
      </c>
      <c r="AH45" s="741">
        <f t="shared" si="20"/>
        <v>0</v>
      </c>
      <c r="AL45" s="423">
        <f t="shared" si="0"/>
        <v>0</v>
      </c>
      <c r="AN45" s="599">
        <f t="shared" si="1"/>
        <v>0</v>
      </c>
      <c r="AO45" s="599">
        <f t="shared" si="2"/>
        <v>0</v>
      </c>
      <c r="AP45" s="599">
        <f t="shared" si="3"/>
        <v>0</v>
      </c>
    </row>
    <row r="46" spans="2:42" outlineLevel="1" x14ac:dyDescent="0.3">
      <c r="B46" s="737" t="s">
        <v>430</v>
      </c>
      <c r="C46" s="740">
        <v>0</v>
      </c>
      <c r="D46" s="741">
        <f t="shared" si="15"/>
        <v>0</v>
      </c>
      <c r="E46" s="740">
        <v>0</v>
      </c>
      <c r="F46" s="741">
        <f t="shared" si="16"/>
        <v>0</v>
      </c>
      <c r="G46" s="740">
        <v>0</v>
      </c>
      <c r="H46" s="741">
        <f t="shared" si="16"/>
        <v>0</v>
      </c>
      <c r="I46" s="740">
        <v>0</v>
      </c>
      <c r="J46" s="741">
        <f t="shared" si="16"/>
        <v>0</v>
      </c>
      <c r="K46" s="740">
        <v>0</v>
      </c>
      <c r="L46" s="741">
        <f t="shared" si="16"/>
        <v>0</v>
      </c>
      <c r="M46" s="629"/>
      <c r="N46" s="740">
        <v>0</v>
      </c>
      <c r="O46" s="741">
        <f>$Q$10</f>
        <v>0</v>
      </c>
      <c r="P46" s="740">
        <v>0</v>
      </c>
      <c r="Q46" s="741">
        <f t="shared" si="18"/>
        <v>0</v>
      </c>
      <c r="R46" s="740">
        <v>0</v>
      </c>
      <c r="S46" s="741">
        <f t="shared" si="18"/>
        <v>0</v>
      </c>
      <c r="T46" s="740">
        <v>0</v>
      </c>
      <c r="U46" s="741">
        <f t="shared" si="18"/>
        <v>0</v>
      </c>
      <c r="V46" s="740">
        <v>0</v>
      </c>
      <c r="W46" s="741">
        <f t="shared" si="18"/>
        <v>0</v>
      </c>
      <c r="X46" s="647"/>
      <c r="Y46" s="740">
        <v>0</v>
      </c>
      <c r="Z46" s="741">
        <f t="shared" si="19"/>
        <v>0</v>
      </c>
      <c r="AA46" s="740">
        <v>0</v>
      </c>
      <c r="AB46" s="741">
        <f t="shared" si="20"/>
        <v>0</v>
      </c>
      <c r="AC46" s="740">
        <v>0</v>
      </c>
      <c r="AD46" s="741">
        <f t="shared" si="20"/>
        <v>0</v>
      </c>
      <c r="AE46" s="740">
        <v>0</v>
      </c>
      <c r="AF46" s="741">
        <f t="shared" si="20"/>
        <v>0</v>
      </c>
      <c r="AG46" s="740">
        <v>0</v>
      </c>
      <c r="AH46" s="741">
        <f t="shared" si="20"/>
        <v>0</v>
      </c>
      <c r="AL46" s="423">
        <f t="shared" si="0"/>
        <v>0</v>
      </c>
      <c r="AN46" s="599">
        <f t="shared" si="1"/>
        <v>0</v>
      </c>
      <c r="AO46" s="599">
        <f t="shared" si="2"/>
        <v>0</v>
      </c>
      <c r="AP46" s="599">
        <f t="shared" si="3"/>
        <v>0</v>
      </c>
    </row>
    <row r="47" spans="2:42" outlineLevel="1" x14ac:dyDescent="0.3">
      <c r="B47" s="745" t="s">
        <v>431</v>
      </c>
      <c r="C47" s="740">
        <f>C39-SUM(C40:C46)</f>
        <v>0</v>
      </c>
      <c r="D47" s="741">
        <f t="shared" si="15"/>
        <v>0</v>
      </c>
      <c r="E47" s="740">
        <f>E39-SUM(E40:E46)</f>
        <v>0</v>
      </c>
      <c r="F47" s="741">
        <f t="shared" si="16"/>
        <v>0</v>
      </c>
      <c r="G47" s="740">
        <f>G39-SUM(G40:G46)</f>
        <v>0</v>
      </c>
      <c r="H47" s="741">
        <f t="shared" si="16"/>
        <v>0</v>
      </c>
      <c r="I47" s="740">
        <f>I39-SUM(I40:I46)</f>
        <v>0</v>
      </c>
      <c r="J47" s="741">
        <f t="shared" si="16"/>
        <v>0</v>
      </c>
      <c r="K47" s="740">
        <f>K39-SUM(K40:K46)</f>
        <v>0</v>
      </c>
      <c r="L47" s="741">
        <f t="shared" si="16"/>
        <v>0</v>
      </c>
      <c r="M47" s="629"/>
      <c r="N47" s="740">
        <f>N39-SUM(N40:N46)</f>
        <v>0</v>
      </c>
      <c r="O47" s="741">
        <f>$Q$10</f>
        <v>0</v>
      </c>
      <c r="P47" s="740">
        <f>P39-SUM(P40:P46)</f>
        <v>0</v>
      </c>
      <c r="Q47" s="741">
        <f t="shared" si="18"/>
        <v>0</v>
      </c>
      <c r="R47" s="740">
        <f>R39-SUM(R40:R46)</f>
        <v>0</v>
      </c>
      <c r="S47" s="741">
        <f t="shared" si="18"/>
        <v>0</v>
      </c>
      <c r="T47" s="740">
        <f>T39-SUM(T40:T46)</f>
        <v>0</v>
      </c>
      <c r="U47" s="741">
        <f t="shared" si="18"/>
        <v>0</v>
      </c>
      <c r="V47" s="740">
        <f>V39-SUM(V40:V46)</f>
        <v>0</v>
      </c>
      <c r="W47" s="741">
        <f t="shared" si="18"/>
        <v>0</v>
      </c>
      <c r="X47" s="647"/>
      <c r="Y47" s="740">
        <f>Y39-SUM(Y40:Y46)</f>
        <v>0</v>
      </c>
      <c r="Z47" s="741">
        <f t="shared" si="19"/>
        <v>0</v>
      </c>
      <c r="AA47" s="740">
        <f>AA39-SUM(AA40:AA46)</f>
        <v>0</v>
      </c>
      <c r="AB47" s="741">
        <f t="shared" si="20"/>
        <v>0</v>
      </c>
      <c r="AC47" s="740">
        <f>AC39-SUM(AC40:AC46)</f>
        <v>0</v>
      </c>
      <c r="AD47" s="741">
        <f t="shared" si="20"/>
        <v>0</v>
      </c>
      <c r="AE47" s="740">
        <f>AE39-SUM(AE40:AE46)</f>
        <v>0</v>
      </c>
      <c r="AF47" s="741">
        <f t="shared" si="20"/>
        <v>0</v>
      </c>
      <c r="AG47" s="740">
        <f>AG39-SUM(AG40:AG46)</f>
        <v>0</v>
      </c>
      <c r="AH47" s="741">
        <f t="shared" si="20"/>
        <v>0</v>
      </c>
      <c r="AJ47" s="334"/>
      <c r="AL47" s="423">
        <f t="shared" si="0"/>
        <v>0</v>
      </c>
      <c r="AN47" s="599">
        <f t="shared" si="1"/>
        <v>0</v>
      </c>
      <c r="AO47" s="599">
        <f t="shared" si="2"/>
        <v>0</v>
      </c>
      <c r="AP47" s="599">
        <f t="shared" si="3"/>
        <v>0</v>
      </c>
    </row>
    <row r="48" spans="2:42" x14ac:dyDescent="0.3">
      <c r="B48" s="328" t="s">
        <v>126</v>
      </c>
      <c r="C48" s="670">
        <f>C24+C31+C39</f>
        <v>0</v>
      </c>
      <c r="D48" s="327"/>
      <c r="E48" s="670">
        <f>E24+E31+E39</f>
        <v>0</v>
      </c>
      <c r="F48" s="688"/>
      <c r="G48" s="671">
        <f>G24+G31+G39</f>
        <v>0</v>
      </c>
      <c r="H48" s="688"/>
      <c r="I48" s="671">
        <f>I24+I31+I39</f>
        <v>0</v>
      </c>
      <c r="J48" s="688"/>
      <c r="K48" s="670">
        <f>K24+K31+K39</f>
        <v>0</v>
      </c>
      <c r="L48" s="688"/>
      <c r="M48" s="39"/>
      <c r="N48" s="670">
        <f>N24+N31+N39</f>
        <v>0</v>
      </c>
      <c r="O48" s="327"/>
      <c r="P48" s="670">
        <f>P24+P31+P39</f>
        <v>0</v>
      </c>
      <c r="Q48" s="688"/>
      <c r="R48" s="671">
        <f>R24+R31+R39</f>
        <v>0</v>
      </c>
      <c r="S48" s="688"/>
      <c r="T48" s="671">
        <f>T24+T31+T39</f>
        <v>0</v>
      </c>
      <c r="U48" s="688"/>
      <c r="V48" s="670">
        <f>V24+V31+V39</f>
        <v>0</v>
      </c>
      <c r="W48" s="688"/>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0"/>
        <v>0</v>
      </c>
      <c r="AN48" s="599">
        <f t="shared" si="1"/>
        <v>0</v>
      </c>
      <c r="AO48" s="599">
        <f t="shared" si="2"/>
        <v>0</v>
      </c>
      <c r="AP48" s="599">
        <f t="shared" si="3"/>
        <v>0</v>
      </c>
    </row>
    <row r="49" spans="1:117" x14ac:dyDescent="0.3">
      <c r="B49" s="333" t="s">
        <v>127</v>
      </c>
      <c r="C49" s="663">
        <v>0</v>
      </c>
      <c r="D49" s="331">
        <f>$F$11</f>
        <v>0.21</v>
      </c>
      <c r="E49" s="663">
        <f>C49</f>
        <v>0</v>
      </c>
      <c r="F49" s="331">
        <f>$AB$11</f>
        <v>0.21</v>
      </c>
      <c r="G49" s="663"/>
      <c r="H49" s="331">
        <f>$AB$11</f>
        <v>0.21</v>
      </c>
      <c r="I49" s="663"/>
      <c r="J49" s="331">
        <f>$AB$11</f>
        <v>0.21</v>
      </c>
      <c r="K49" s="663"/>
      <c r="L49" s="331">
        <f>$AB$11</f>
        <v>0.21</v>
      </c>
      <c r="M49" s="39"/>
      <c r="N49" s="663">
        <v>0</v>
      </c>
      <c r="O49" s="331">
        <f>$Q$11</f>
        <v>0.21</v>
      </c>
      <c r="P49" s="663">
        <f>N49</f>
        <v>0</v>
      </c>
      <c r="Q49" s="331">
        <f>$AB$11</f>
        <v>0.21</v>
      </c>
      <c r="R49" s="663"/>
      <c r="S49" s="331">
        <f>$AB$11</f>
        <v>0.21</v>
      </c>
      <c r="T49" s="663"/>
      <c r="U49" s="331">
        <f>$AB$11</f>
        <v>0.21</v>
      </c>
      <c r="V49" s="663"/>
      <c r="W49" s="331">
        <f>$AB$11</f>
        <v>0.21</v>
      </c>
      <c r="X49" s="646"/>
      <c r="Y49" s="663">
        <v>0</v>
      </c>
      <c r="Z49" s="331">
        <f>$AB$11</f>
        <v>0.21</v>
      </c>
      <c r="AA49" s="663">
        <f>Y49</f>
        <v>0</v>
      </c>
      <c r="AB49" s="331">
        <f>$AB$11</f>
        <v>0.21</v>
      </c>
      <c r="AC49" s="663"/>
      <c r="AD49" s="331">
        <f>$AB$11</f>
        <v>0.21</v>
      </c>
      <c r="AE49" s="663"/>
      <c r="AF49" s="331">
        <f>$AB$11</f>
        <v>0.21</v>
      </c>
      <c r="AG49" s="663"/>
      <c r="AH49" s="331">
        <f>$AB$11</f>
        <v>0.21</v>
      </c>
      <c r="AL49" s="423">
        <f t="shared" si="0"/>
        <v>0</v>
      </c>
      <c r="AN49" s="599">
        <f t="shared" si="1"/>
        <v>0</v>
      </c>
      <c r="AO49" s="599">
        <f t="shared" si="2"/>
        <v>0</v>
      </c>
      <c r="AP49" s="599">
        <f t="shared" si="3"/>
        <v>0</v>
      </c>
    </row>
    <row r="50" spans="1:117" x14ac:dyDescent="0.3">
      <c r="B50" s="328" t="s">
        <v>443</v>
      </c>
      <c r="C50" s="670">
        <f>SUM(C48+C49)</f>
        <v>0</v>
      </c>
      <c r="D50" s="327"/>
      <c r="E50" s="670">
        <f>SUM(E48+E49)</f>
        <v>0</v>
      </c>
      <c r="F50" s="688"/>
      <c r="G50" s="671">
        <f>SUM(G48+G49)</f>
        <v>0</v>
      </c>
      <c r="H50" s="688"/>
      <c r="I50" s="671">
        <f>SUM(I48:I49)</f>
        <v>0</v>
      </c>
      <c r="J50" s="688"/>
      <c r="K50" s="670">
        <f>SUM(K48:K49)</f>
        <v>0</v>
      </c>
      <c r="L50" s="327"/>
      <c r="M50" s="39"/>
      <c r="N50" s="670">
        <f>SUM(N48+N49)</f>
        <v>0</v>
      </c>
      <c r="O50" s="327"/>
      <c r="P50" s="670">
        <f>SUM(P48+P49)</f>
        <v>0</v>
      </c>
      <c r="Q50" s="688"/>
      <c r="R50" s="671">
        <f>SUM(R48+R49)</f>
        <v>0</v>
      </c>
      <c r="S50" s="688"/>
      <c r="T50" s="671">
        <f>SUM(T48:T49)</f>
        <v>0</v>
      </c>
      <c r="U50" s="688"/>
      <c r="V50" s="670">
        <f>SUM(V48:V49)</f>
        <v>0</v>
      </c>
      <c r="W50" s="327"/>
      <c r="X50" s="646"/>
      <c r="Y50" s="670">
        <f>SUM(Y48+Y49)</f>
        <v>0</v>
      </c>
      <c r="Z50" s="327"/>
      <c r="AA50" s="670">
        <f>SUM(AA48+AA49)</f>
        <v>0</v>
      </c>
      <c r="AB50" s="688"/>
      <c r="AC50" s="671">
        <f>SUM(AC48+AC49)</f>
        <v>0</v>
      </c>
      <c r="AD50" s="688"/>
      <c r="AE50" s="671">
        <f>SUM(AE48:AE49)</f>
        <v>0</v>
      </c>
      <c r="AF50" s="688"/>
      <c r="AG50" s="670">
        <f>SUM(AG48:AG49)</f>
        <v>0</v>
      </c>
      <c r="AH50" s="327"/>
      <c r="AL50" s="423">
        <f t="shared" si="0"/>
        <v>0</v>
      </c>
      <c r="AN50" s="599">
        <f t="shared" si="1"/>
        <v>0</v>
      </c>
      <c r="AO50" s="599">
        <f t="shared" si="2"/>
        <v>0</v>
      </c>
      <c r="AP50" s="599">
        <f t="shared" si="3"/>
        <v>0</v>
      </c>
    </row>
    <row r="51" spans="1:117" x14ac:dyDescent="0.3">
      <c r="B51" s="333" t="s">
        <v>444</v>
      </c>
      <c r="C51" s="665">
        <f>SUM(C52:C53)</f>
        <v>0</v>
      </c>
      <c r="D51" s="656">
        <f>$F$10</f>
        <v>0</v>
      </c>
      <c r="E51" s="663">
        <f t="shared" ref="E51:E58" si="21">C51</f>
        <v>0</v>
      </c>
      <c r="F51" s="656">
        <f>$F$10</f>
        <v>0</v>
      </c>
      <c r="G51" s="665">
        <f>SUM(G52:G53)</f>
        <v>0</v>
      </c>
      <c r="H51" s="656">
        <f>$F$10</f>
        <v>0</v>
      </c>
      <c r="I51" s="665">
        <f>SUM(I52:I53)</f>
        <v>0</v>
      </c>
      <c r="J51" s="656">
        <f>$F$10</f>
        <v>0</v>
      </c>
      <c r="K51" s="665">
        <f>SUM(K52:K53)</f>
        <v>0</v>
      </c>
      <c r="L51" s="656">
        <f>$F$10</f>
        <v>0</v>
      </c>
      <c r="M51" s="628"/>
      <c r="N51" s="663">
        <v>0</v>
      </c>
      <c r="O51" s="656">
        <f>$Q$10</f>
        <v>0</v>
      </c>
      <c r="P51" s="663">
        <f t="shared" ref="P51:P58" si="22">N51</f>
        <v>0</v>
      </c>
      <c r="Q51" s="656">
        <f>$Q$10</f>
        <v>0</v>
      </c>
      <c r="R51" s="665">
        <f>SUM(R52:R53)</f>
        <v>0</v>
      </c>
      <c r="S51" s="656">
        <f>$Q$10</f>
        <v>0</v>
      </c>
      <c r="T51" s="665">
        <f>SUM(T52:T53)</f>
        <v>0</v>
      </c>
      <c r="U51" s="656">
        <f>$Q$10</f>
        <v>0</v>
      </c>
      <c r="V51" s="665">
        <f>SUM(V52:V53)</f>
        <v>0</v>
      </c>
      <c r="W51" s="656">
        <f>$Q$10</f>
        <v>0</v>
      </c>
      <c r="X51" s="648"/>
      <c r="Y51" s="663">
        <v>0</v>
      </c>
      <c r="Z51" s="656">
        <f>$AB$10</f>
        <v>0</v>
      </c>
      <c r="AA51" s="663">
        <f t="shared" ref="AA51:AA58" si="23">Y51</f>
        <v>0</v>
      </c>
      <c r="AB51" s="656">
        <f>$AB$10</f>
        <v>0</v>
      </c>
      <c r="AC51" s="665">
        <f>SUM(AC52:AC53)</f>
        <v>0</v>
      </c>
      <c r="AD51" s="656">
        <f>$AB$10</f>
        <v>0</v>
      </c>
      <c r="AE51" s="665">
        <f>SUM(AE52:AE53)</f>
        <v>0</v>
      </c>
      <c r="AF51" s="656">
        <f>$AB$10</f>
        <v>0</v>
      </c>
      <c r="AG51" s="665">
        <f>SUM(AG52:AG53)</f>
        <v>0</v>
      </c>
      <c r="AH51" s="656">
        <f>$AB$10</f>
        <v>0</v>
      </c>
      <c r="AL51" s="819">
        <f t="shared" si="0"/>
        <v>0</v>
      </c>
      <c r="AN51" s="599">
        <f t="shared" si="1"/>
        <v>0</v>
      </c>
      <c r="AO51" s="599">
        <f t="shared" si="2"/>
        <v>0</v>
      </c>
      <c r="AP51" s="599">
        <f t="shared" si="3"/>
        <v>0</v>
      </c>
    </row>
    <row r="52" spans="1:117" ht="19.2" customHeight="1" x14ac:dyDescent="0.3">
      <c r="B52" s="915" t="s">
        <v>445</v>
      </c>
      <c r="C52" s="740">
        <v>0</v>
      </c>
      <c r="D52" s="743">
        <f>$F$10</f>
        <v>0</v>
      </c>
      <c r="E52" s="740">
        <f t="shared" si="21"/>
        <v>0</v>
      </c>
      <c r="F52" s="743">
        <f>$F$10</f>
        <v>0</v>
      </c>
      <c r="G52" s="740">
        <v>0</v>
      </c>
      <c r="H52" s="743">
        <f>$F$10</f>
        <v>0</v>
      </c>
      <c r="I52" s="740">
        <v>0</v>
      </c>
      <c r="J52" s="743">
        <f>$F$10</f>
        <v>0</v>
      </c>
      <c r="K52" s="740">
        <v>0</v>
      </c>
      <c r="L52" s="743">
        <f>$F$10</f>
        <v>0</v>
      </c>
      <c r="M52" s="628"/>
      <c r="N52" s="742"/>
      <c r="O52" s="743">
        <f t="shared" ref="O52:O54" si="24">$Q$10</f>
        <v>0</v>
      </c>
      <c r="P52" s="740">
        <f t="shared" si="22"/>
        <v>0</v>
      </c>
      <c r="Q52" s="743">
        <f t="shared" ref="Q52:W54" si="25">$AB$10</f>
        <v>0</v>
      </c>
      <c r="R52" s="740">
        <v>0</v>
      </c>
      <c r="S52" s="743"/>
      <c r="T52" s="740">
        <v>0</v>
      </c>
      <c r="U52" s="743"/>
      <c r="V52" s="740">
        <v>0</v>
      </c>
      <c r="W52" s="743">
        <f t="shared" si="25"/>
        <v>0</v>
      </c>
      <c r="X52" s="648"/>
      <c r="Y52" s="742"/>
      <c r="Z52" s="743">
        <f t="shared" ref="Z52:Z54" si="26">$AB$10</f>
        <v>0</v>
      </c>
      <c r="AA52" s="740">
        <f t="shared" si="23"/>
        <v>0</v>
      </c>
      <c r="AB52" s="743">
        <f t="shared" ref="AB52:AH54" si="27">$AB$10</f>
        <v>0</v>
      </c>
      <c r="AC52" s="740">
        <v>0</v>
      </c>
      <c r="AD52" s="743"/>
      <c r="AE52" s="740">
        <v>0</v>
      </c>
      <c r="AF52" s="743"/>
      <c r="AG52" s="740">
        <v>0</v>
      </c>
      <c r="AH52" s="743">
        <f t="shared" si="27"/>
        <v>0</v>
      </c>
      <c r="AL52" s="423">
        <f t="shared" si="0"/>
        <v>0</v>
      </c>
      <c r="AN52" s="599"/>
      <c r="AO52" s="599"/>
      <c r="AP52" s="599"/>
    </row>
    <row r="53" spans="1:117" x14ac:dyDescent="0.3">
      <c r="B53" s="915" t="s">
        <v>446</v>
      </c>
      <c r="C53" s="740">
        <v>0</v>
      </c>
      <c r="D53" s="743">
        <f>$F$10</f>
        <v>0</v>
      </c>
      <c r="E53" s="740">
        <f t="shared" si="21"/>
        <v>0</v>
      </c>
      <c r="F53" s="743">
        <f>$F$10</f>
        <v>0</v>
      </c>
      <c r="G53" s="740">
        <v>0</v>
      </c>
      <c r="H53" s="743">
        <f>$F$10</f>
        <v>0</v>
      </c>
      <c r="I53" s="740">
        <v>0</v>
      </c>
      <c r="J53" s="743">
        <f>$F$10</f>
        <v>0</v>
      </c>
      <c r="K53" s="740">
        <v>0</v>
      </c>
      <c r="L53" s="743">
        <f>$F$10</f>
        <v>0</v>
      </c>
      <c r="M53" s="628"/>
      <c r="N53" s="742"/>
      <c r="O53" s="743">
        <f t="shared" si="24"/>
        <v>0</v>
      </c>
      <c r="P53" s="740">
        <f t="shared" si="22"/>
        <v>0</v>
      </c>
      <c r="Q53" s="743">
        <f t="shared" si="25"/>
        <v>0</v>
      </c>
      <c r="R53" s="740">
        <v>0</v>
      </c>
      <c r="S53" s="743"/>
      <c r="T53" s="740">
        <v>0</v>
      </c>
      <c r="U53" s="743"/>
      <c r="V53" s="740">
        <v>0</v>
      </c>
      <c r="W53" s="743">
        <f t="shared" si="25"/>
        <v>0</v>
      </c>
      <c r="X53" s="648"/>
      <c r="Y53" s="742"/>
      <c r="Z53" s="743">
        <f t="shared" si="26"/>
        <v>0</v>
      </c>
      <c r="AA53" s="740">
        <f t="shared" si="23"/>
        <v>0</v>
      </c>
      <c r="AB53" s="743">
        <f t="shared" si="27"/>
        <v>0</v>
      </c>
      <c r="AC53" s="740">
        <v>0</v>
      </c>
      <c r="AD53" s="743"/>
      <c r="AE53" s="740">
        <v>0</v>
      </c>
      <c r="AF53" s="743"/>
      <c r="AG53" s="740">
        <v>0</v>
      </c>
      <c r="AH53" s="743">
        <f t="shared" si="27"/>
        <v>0</v>
      </c>
      <c r="AL53" s="423">
        <f t="shared" si="0"/>
        <v>0</v>
      </c>
      <c r="AN53" s="599"/>
      <c r="AO53" s="599"/>
      <c r="AP53" s="599"/>
    </row>
    <row r="54" spans="1:117" x14ac:dyDescent="0.3">
      <c r="B54" s="333" t="s">
        <v>447</v>
      </c>
      <c r="C54" s="665">
        <v>0</v>
      </c>
      <c r="D54" s="656">
        <f>$F$10</f>
        <v>0</v>
      </c>
      <c r="E54" s="663">
        <f t="shared" si="21"/>
        <v>0</v>
      </c>
      <c r="F54" s="656">
        <f>$F$10</f>
        <v>0</v>
      </c>
      <c r="G54" s="665">
        <v>0</v>
      </c>
      <c r="H54" s="656">
        <f>$F$10</f>
        <v>0</v>
      </c>
      <c r="I54" s="665">
        <v>0</v>
      </c>
      <c r="J54" s="656">
        <f>$F$10</f>
        <v>0</v>
      </c>
      <c r="K54" s="665">
        <v>0</v>
      </c>
      <c r="L54" s="656">
        <f>$F$10</f>
        <v>0</v>
      </c>
      <c r="M54" s="628"/>
      <c r="N54" s="665">
        <v>0</v>
      </c>
      <c r="O54" s="656">
        <f t="shared" si="24"/>
        <v>0</v>
      </c>
      <c r="P54" s="663">
        <f t="shared" si="22"/>
        <v>0</v>
      </c>
      <c r="Q54" s="656">
        <f t="shared" si="25"/>
        <v>0</v>
      </c>
      <c r="R54" s="665">
        <v>0</v>
      </c>
      <c r="S54" s="656">
        <f>$F$10</f>
        <v>0</v>
      </c>
      <c r="T54" s="665">
        <v>0</v>
      </c>
      <c r="U54" s="656">
        <f>$F$10</f>
        <v>0</v>
      </c>
      <c r="V54" s="665">
        <v>0</v>
      </c>
      <c r="W54" s="656">
        <f t="shared" si="25"/>
        <v>0</v>
      </c>
      <c r="X54" s="648"/>
      <c r="Y54" s="665">
        <v>0</v>
      </c>
      <c r="Z54" s="656">
        <f t="shared" si="26"/>
        <v>0</v>
      </c>
      <c r="AA54" s="663">
        <f t="shared" si="23"/>
        <v>0</v>
      </c>
      <c r="AB54" s="656">
        <f t="shared" si="27"/>
        <v>0</v>
      </c>
      <c r="AC54" s="665">
        <v>0</v>
      </c>
      <c r="AD54" s="656">
        <f>$F$10</f>
        <v>0</v>
      </c>
      <c r="AE54" s="665">
        <v>0</v>
      </c>
      <c r="AF54" s="656">
        <f>$F$10</f>
        <v>0</v>
      </c>
      <c r="AG54" s="665">
        <v>0</v>
      </c>
      <c r="AH54" s="656">
        <f t="shared" si="27"/>
        <v>0</v>
      </c>
      <c r="AL54" s="819">
        <f t="shared" si="0"/>
        <v>0</v>
      </c>
      <c r="AN54" s="599"/>
      <c r="AO54" s="599"/>
      <c r="AP54" s="599"/>
    </row>
    <row r="55" spans="1:117" outlineLevel="1" x14ac:dyDescent="0.3">
      <c r="B55" s="333" t="s">
        <v>335</v>
      </c>
      <c r="C55" s="665">
        <f ca="1">IFERROR(kunst!$B$11*('Overzicht BTA'!D15/'Overzicht project'!$E$66),0)</f>
        <v>0</v>
      </c>
      <c r="D55" s="335">
        <f>$F$13</f>
        <v>0.06</v>
      </c>
      <c r="E55" s="665">
        <f t="shared" ca="1" si="21"/>
        <v>0</v>
      </c>
      <c r="F55" s="335">
        <f>$F$13</f>
        <v>0.06</v>
      </c>
      <c r="G55" s="665">
        <v>0</v>
      </c>
      <c r="H55" s="335">
        <f>$F$13</f>
        <v>0.06</v>
      </c>
      <c r="I55" s="665">
        <v>0</v>
      </c>
      <c r="J55" s="335">
        <f>$F$13</f>
        <v>0.06</v>
      </c>
      <c r="K55" s="665">
        <v>0</v>
      </c>
      <c r="L55" s="335">
        <f>$F$13</f>
        <v>0.06</v>
      </c>
      <c r="M55" s="629"/>
      <c r="N55" s="665">
        <f ca="1">IFERROR(kunst!$B$11*('Overzicht BTA'!J15/'Overzicht project'!$E$66),0)</f>
        <v>0</v>
      </c>
      <c r="O55" s="335">
        <f>$Q$13</f>
        <v>0.06</v>
      </c>
      <c r="P55" s="665">
        <f t="shared" ca="1" si="22"/>
        <v>0</v>
      </c>
      <c r="Q55" s="335">
        <f>$AB$13</f>
        <v>0.06</v>
      </c>
      <c r="R55" s="665">
        <v>0</v>
      </c>
      <c r="S55" s="335">
        <f>$F$13</f>
        <v>0.06</v>
      </c>
      <c r="T55" s="665">
        <v>0</v>
      </c>
      <c r="U55" s="335">
        <f>$F$13</f>
        <v>0.06</v>
      </c>
      <c r="V55" s="665">
        <v>0</v>
      </c>
      <c r="W55" s="335">
        <f>$AB$13</f>
        <v>0.06</v>
      </c>
      <c r="X55" s="647"/>
      <c r="Y55" s="665">
        <f ca="1">IFERROR(kunst!$B$11*('Overzicht BTA'!P15/'Overzicht project'!$E$66),0)</f>
        <v>0</v>
      </c>
      <c r="Z55" s="335">
        <f>$AB$13</f>
        <v>0.06</v>
      </c>
      <c r="AA55" s="665">
        <f t="shared" ca="1" si="23"/>
        <v>0</v>
      </c>
      <c r="AB55" s="335">
        <f>$AB$13</f>
        <v>0.06</v>
      </c>
      <c r="AC55" s="665">
        <v>0</v>
      </c>
      <c r="AD55" s="335">
        <f>$F$13</f>
        <v>0.06</v>
      </c>
      <c r="AE55" s="665">
        <v>0</v>
      </c>
      <c r="AF55" s="335">
        <f>$F$13</f>
        <v>0.06</v>
      </c>
      <c r="AG55" s="665">
        <v>0</v>
      </c>
      <c r="AH55" s="335">
        <f>$AB$13</f>
        <v>0.06</v>
      </c>
      <c r="AL55" s="423">
        <f t="shared" si="0"/>
        <v>0</v>
      </c>
      <c r="AN55" s="599">
        <f t="shared" ref="AN55:AN65" si="28">IFERROR(K55*$AO$5/$AR$5,0)</f>
        <v>0</v>
      </c>
      <c r="AO55" s="599">
        <f t="shared" ref="AO55:AO65" si="29">IFERROR(K55*$AP$5/$AR$5,0)</f>
        <v>0</v>
      </c>
      <c r="AP55" s="599">
        <f t="shared" ref="AP55:AP65" si="30">IFERROR(K55*$AQ$5/$AR$5,0)</f>
        <v>0</v>
      </c>
    </row>
    <row r="56" spans="1:117" s="669" customFormat="1" x14ac:dyDescent="0.3">
      <c r="A56"/>
      <c r="B56" s="333" t="s">
        <v>448</v>
      </c>
      <c r="C56" s="665">
        <v>0</v>
      </c>
      <c r="D56" s="656">
        <f>$F$11</f>
        <v>0.21</v>
      </c>
      <c r="E56" s="663">
        <f t="shared" si="21"/>
        <v>0</v>
      </c>
      <c r="F56" s="656">
        <f>$F$11</f>
        <v>0.21</v>
      </c>
      <c r="G56" s="665">
        <v>0</v>
      </c>
      <c r="H56" s="656">
        <f>$F$11</f>
        <v>0.21</v>
      </c>
      <c r="I56" s="665">
        <v>0</v>
      </c>
      <c r="J56" s="656">
        <f>$F$11</f>
        <v>0.21</v>
      </c>
      <c r="K56" s="665">
        <v>0</v>
      </c>
      <c r="L56" s="656">
        <f>$F$11</f>
        <v>0.21</v>
      </c>
      <c r="M56" s="629"/>
      <c r="N56" s="665">
        <v>0</v>
      </c>
      <c r="O56" s="656">
        <f t="shared" ref="O56:O57" si="31">$Q$11</f>
        <v>0.21</v>
      </c>
      <c r="P56" s="663">
        <f t="shared" si="22"/>
        <v>0</v>
      </c>
      <c r="Q56" s="656">
        <f t="shared" ref="Q56:W57" si="32">$AB$11</f>
        <v>0.21</v>
      </c>
      <c r="R56" s="665">
        <v>0</v>
      </c>
      <c r="S56" s="656">
        <f>$F$11</f>
        <v>0.21</v>
      </c>
      <c r="T56" s="665">
        <v>0</v>
      </c>
      <c r="U56" s="656">
        <f>$F$11</f>
        <v>0.21</v>
      </c>
      <c r="V56" s="665">
        <v>0</v>
      </c>
      <c r="W56" s="656">
        <f t="shared" si="32"/>
        <v>0.21</v>
      </c>
      <c r="X56" s="647"/>
      <c r="Y56" s="665">
        <v>0</v>
      </c>
      <c r="Z56" s="656">
        <f t="shared" ref="Z56:Z57" si="33">$AB$11</f>
        <v>0.21</v>
      </c>
      <c r="AA56" s="663">
        <f t="shared" si="23"/>
        <v>0</v>
      </c>
      <c r="AB56" s="656">
        <f t="shared" ref="AB56:AH57" si="34">$AB$11</f>
        <v>0.21</v>
      </c>
      <c r="AC56" s="665">
        <v>0</v>
      </c>
      <c r="AD56" s="656">
        <f>$F$11</f>
        <v>0.21</v>
      </c>
      <c r="AE56" s="665">
        <v>0</v>
      </c>
      <c r="AF56" s="656">
        <f>$F$11</f>
        <v>0.21</v>
      </c>
      <c r="AG56" s="665">
        <v>0</v>
      </c>
      <c r="AH56" s="656">
        <f t="shared" si="34"/>
        <v>0.21</v>
      </c>
      <c r="AI56"/>
      <c r="AJ56"/>
      <c r="AK56"/>
      <c r="AL56" s="423"/>
      <c r="AM56"/>
      <c r="AN56" s="599"/>
      <c r="AO56" s="599"/>
      <c r="AP56" s="599"/>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1456</v>
      </c>
      <c r="C57" s="665">
        <v>0</v>
      </c>
      <c r="D57" s="656">
        <f>$F$10</f>
        <v>0</v>
      </c>
      <c r="E57" s="663">
        <f t="shared" si="21"/>
        <v>0</v>
      </c>
      <c r="F57" s="656">
        <f>$F$10</f>
        <v>0</v>
      </c>
      <c r="G57" s="665">
        <v>0</v>
      </c>
      <c r="H57" s="656">
        <f>$F$10</f>
        <v>0</v>
      </c>
      <c r="I57" s="665">
        <v>0</v>
      </c>
      <c r="J57" s="656">
        <f>$F$10</f>
        <v>0</v>
      </c>
      <c r="K57" s="665">
        <v>0</v>
      </c>
      <c r="L57" s="656">
        <f>$F$10</f>
        <v>0</v>
      </c>
      <c r="M57" s="629"/>
      <c r="N57" s="665">
        <v>0</v>
      </c>
      <c r="O57" s="656">
        <f t="shared" si="31"/>
        <v>0.21</v>
      </c>
      <c r="P57" s="663">
        <f t="shared" si="22"/>
        <v>0</v>
      </c>
      <c r="Q57" s="656">
        <f t="shared" si="32"/>
        <v>0.21</v>
      </c>
      <c r="R57" s="665">
        <v>0</v>
      </c>
      <c r="S57" s="656">
        <f>$F$11</f>
        <v>0.21</v>
      </c>
      <c r="T57" s="665">
        <v>0</v>
      </c>
      <c r="U57" s="656">
        <f>$F$11</f>
        <v>0.21</v>
      </c>
      <c r="V57" s="665">
        <v>0</v>
      </c>
      <c r="W57" s="656">
        <f t="shared" si="32"/>
        <v>0.21</v>
      </c>
      <c r="X57" s="647"/>
      <c r="Y57" s="665">
        <v>0</v>
      </c>
      <c r="Z57" s="656">
        <f t="shared" si="33"/>
        <v>0.21</v>
      </c>
      <c r="AA57" s="663">
        <f t="shared" si="23"/>
        <v>0</v>
      </c>
      <c r="AB57" s="656">
        <f t="shared" si="34"/>
        <v>0.21</v>
      </c>
      <c r="AC57" s="665"/>
      <c r="AD57" s="656"/>
      <c r="AE57" s="665"/>
      <c r="AF57" s="656"/>
      <c r="AG57" s="665"/>
      <c r="AH57" s="656"/>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outlineLevel="1" x14ac:dyDescent="0.3">
      <c r="B58" s="747" t="s">
        <v>450</v>
      </c>
      <c r="C58" s="740">
        <v>0</v>
      </c>
      <c r="D58" s="743">
        <f>$F$10</f>
        <v>0</v>
      </c>
      <c r="E58" s="740">
        <f t="shared" si="21"/>
        <v>0</v>
      </c>
      <c r="F58" s="743">
        <f>$F$10</f>
        <v>0</v>
      </c>
      <c r="G58" s="740">
        <v>0</v>
      </c>
      <c r="H58" s="743">
        <f>$F$10</f>
        <v>0</v>
      </c>
      <c r="I58" s="740">
        <v>0</v>
      </c>
      <c r="J58" s="743">
        <f>$F$10</f>
        <v>0</v>
      </c>
      <c r="K58" s="740">
        <v>0</v>
      </c>
      <c r="L58" s="743">
        <f>$F$10</f>
        <v>0</v>
      </c>
      <c r="M58" s="629"/>
      <c r="N58" s="740"/>
      <c r="O58" s="743">
        <f>$Q$10</f>
        <v>0</v>
      </c>
      <c r="P58" s="740">
        <f t="shared" si="22"/>
        <v>0</v>
      </c>
      <c r="Q58" s="743">
        <f>$AB$10</f>
        <v>0</v>
      </c>
      <c r="R58" s="740">
        <v>0</v>
      </c>
      <c r="S58" s="741">
        <v>0.21</v>
      </c>
      <c r="T58" s="740">
        <v>0</v>
      </c>
      <c r="U58" s="741">
        <v>0.21</v>
      </c>
      <c r="V58" s="740">
        <v>0</v>
      </c>
      <c r="W58" s="743">
        <f>$AB$10</f>
        <v>0</v>
      </c>
      <c r="X58" s="647"/>
      <c r="Y58" s="740"/>
      <c r="Z58" s="743">
        <f>$AB$10</f>
        <v>0</v>
      </c>
      <c r="AA58" s="740">
        <f t="shared" si="23"/>
        <v>0</v>
      </c>
      <c r="AB58" s="743">
        <f>$AB$10</f>
        <v>0</v>
      </c>
      <c r="AC58" s="740">
        <v>0</v>
      </c>
      <c r="AD58" s="741">
        <v>0.21</v>
      </c>
      <c r="AE58" s="740">
        <v>0</v>
      </c>
      <c r="AF58" s="741">
        <v>0.21</v>
      </c>
      <c r="AG58" s="740">
        <v>0</v>
      </c>
      <c r="AH58" s="743">
        <f>$AB$10</f>
        <v>0</v>
      </c>
      <c r="AL58" s="423">
        <f t="shared" si="0"/>
        <v>0</v>
      </c>
      <c r="AN58" s="599">
        <f t="shared" si="28"/>
        <v>0</v>
      </c>
      <c r="AO58" s="599">
        <f t="shared" si="29"/>
        <v>0</v>
      </c>
      <c r="AP58" s="599">
        <f t="shared" si="30"/>
        <v>0</v>
      </c>
    </row>
    <row r="59" spans="1:117" outlineLevel="1" x14ac:dyDescent="0.3">
      <c r="B59" s="747" t="s">
        <v>451</v>
      </c>
      <c r="C59" s="740">
        <v>0</v>
      </c>
      <c r="D59" s="741">
        <f>$F$10</f>
        <v>0</v>
      </c>
      <c r="E59" s="740">
        <f t="shared" ref="E59:E60" si="35">C59</f>
        <v>0</v>
      </c>
      <c r="F59" s="741">
        <f>$F$10</f>
        <v>0</v>
      </c>
      <c r="G59" s="740">
        <v>0</v>
      </c>
      <c r="H59" s="741">
        <f>$F$10</f>
        <v>0</v>
      </c>
      <c r="I59" s="740">
        <v>0</v>
      </c>
      <c r="J59" s="741">
        <f>$F$10</f>
        <v>0</v>
      </c>
      <c r="K59" s="740">
        <v>0</v>
      </c>
      <c r="L59" s="741">
        <f>$F$10</f>
        <v>0</v>
      </c>
      <c r="M59" s="629"/>
      <c r="N59" s="740"/>
      <c r="O59" s="741">
        <f>$Q$10</f>
        <v>0</v>
      </c>
      <c r="P59" s="740">
        <f t="shared" ref="P59:P60" si="36">N59</f>
        <v>0</v>
      </c>
      <c r="Q59" s="743">
        <f t="shared" ref="Q59:W60" si="37">$AB$10</f>
        <v>0</v>
      </c>
      <c r="R59" s="740">
        <v>0</v>
      </c>
      <c r="S59" s="741">
        <f>$F$10</f>
        <v>0</v>
      </c>
      <c r="T59" s="740">
        <v>0</v>
      </c>
      <c r="U59" s="741">
        <f>$F$10</f>
        <v>0</v>
      </c>
      <c r="V59" s="740">
        <v>0</v>
      </c>
      <c r="W59" s="743">
        <f t="shared" si="37"/>
        <v>0</v>
      </c>
      <c r="X59" s="647"/>
      <c r="Y59" s="740"/>
      <c r="Z59" s="743">
        <f t="shared" ref="Z59:Z60" si="38">$AB$10</f>
        <v>0</v>
      </c>
      <c r="AA59" s="740">
        <f t="shared" ref="AA59:AA60" si="39">Y59</f>
        <v>0</v>
      </c>
      <c r="AB59" s="743">
        <f t="shared" ref="AB59:AH60" si="40">$AB$10</f>
        <v>0</v>
      </c>
      <c r="AC59" s="740">
        <v>0</v>
      </c>
      <c r="AD59" s="741">
        <f>$F$10</f>
        <v>0</v>
      </c>
      <c r="AE59" s="740">
        <v>0</v>
      </c>
      <c r="AF59" s="741">
        <f>$F$10</f>
        <v>0</v>
      </c>
      <c r="AG59" s="740">
        <v>0</v>
      </c>
      <c r="AH59" s="743">
        <f t="shared" si="40"/>
        <v>0</v>
      </c>
      <c r="AL59" s="423">
        <f t="shared" si="0"/>
        <v>0</v>
      </c>
      <c r="AN59" s="599">
        <f t="shared" si="28"/>
        <v>0</v>
      </c>
      <c r="AO59" s="599">
        <f t="shared" si="29"/>
        <v>0</v>
      </c>
      <c r="AP59" s="599">
        <f t="shared" si="30"/>
        <v>0</v>
      </c>
    </row>
    <row r="60" spans="1:117" outlineLevel="1" x14ac:dyDescent="0.3">
      <c r="B60" s="747" t="s">
        <v>452</v>
      </c>
      <c r="C60" s="740">
        <v>0</v>
      </c>
      <c r="D60" s="741">
        <f>$F$10</f>
        <v>0</v>
      </c>
      <c r="E60" s="740">
        <f t="shared" si="35"/>
        <v>0</v>
      </c>
      <c r="F60" s="741">
        <f>$F$10</f>
        <v>0</v>
      </c>
      <c r="G60" s="740">
        <v>0</v>
      </c>
      <c r="H60" s="741">
        <f>$F$10</f>
        <v>0</v>
      </c>
      <c r="I60" s="740">
        <v>0</v>
      </c>
      <c r="J60" s="741">
        <f>$F$10</f>
        <v>0</v>
      </c>
      <c r="K60" s="740">
        <v>0</v>
      </c>
      <c r="L60" s="741">
        <f>$F$10</f>
        <v>0</v>
      </c>
      <c r="M60" s="629"/>
      <c r="N60" s="740"/>
      <c r="O60" s="741">
        <f>$Q$10</f>
        <v>0</v>
      </c>
      <c r="P60" s="740">
        <f t="shared" si="36"/>
        <v>0</v>
      </c>
      <c r="Q60" s="743">
        <f t="shared" si="37"/>
        <v>0</v>
      </c>
      <c r="R60" s="740">
        <v>0</v>
      </c>
      <c r="S60" s="741">
        <f>$F$10</f>
        <v>0</v>
      </c>
      <c r="T60" s="740">
        <v>0</v>
      </c>
      <c r="U60" s="741">
        <f>$F$10</f>
        <v>0</v>
      </c>
      <c r="V60" s="740">
        <v>0</v>
      </c>
      <c r="W60" s="743">
        <f t="shared" si="37"/>
        <v>0</v>
      </c>
      <c r="X60" s="647"/>
      <c r="Y60" s="740"/>
      <c r="Z60" s="743">
        <f t="shared" si="38"/>
        <v>0</v>
      </c>
      <c r="AA60" s="740">
        <f t="shared" si="39"/>
        <v>0</v>
      </c>
      <c r="AB60" s="743">
        <f t="shared" si="40"/>
        <v>0</v>
      </c>
      <c r="AC60" s="740">
        <v>0</v>
      </c>
      <c r="AD60" s="741">
        <f>$F$10</f>
        <v>0</v>
      </c>
      <c r="AE60" s="740">
        <v>0</v>
      </c>
      <c r="AF60" s="741">
        <f>$F$10</f>
        <v>0</v>
      </c>
      <c r="AG60" s="740">
        <v>0</v>
      </c>
      <c r="AH60" s="743">
        <f t="shared" si="40"/>
        <v>0</v>
      </c>
      <c r="AL60" s="423">
        <f t="shared" si="0"/>
        <v>0</v>
      </c>
      <c r="AN60" s="599">
        <f t="shared" si="28"/>
        <v>0</v>
      </c>
      <c r="AO60" s="599">
        <f t="shared" si="29"/>
        <v>0</v>
      </c>
      <c r="AP60" s="599">
        <f t="shared" si="30"/>
        <v>0</v>
      </c>
    </row>
    <row r="61" spans="1:117" outlineLevel="1" x14ac:dyDescent="0.3">
      <c r="B61" s="328" t="s">
        <v>282</v>
      </c>
      <c r="C61" s="670">
        <f ca="1">C50+C51+C54+C55+C56+C58+C59+C60+C57</f>
        <v>0</v>
      </c>
      <c r="D61" s="327"/>
      <c r="E61" s="670">
        <f ca="1">E50+E51+E54+E55+E56+E58+E59+E60+E57</f>
        <v>0</v>
      </c>
      <c r="F61" s="670"/>
      <c r="G61" s="670">
        <f>G50+G51+G54+G55+G56+G58+G59+G60+G57</f>
        <v>0</v>
      </c>
      <c r="H61" s="670"/>
      <c r="I61" s="670">
        <f>I50+I51+I54+I55+I56+I58+I59+I60+I57</f>
        <v>0</v>
      </c>
      <c r="J61" s="670"/>
      <c r="K61" s="670">
        <f>K50+K51+K54+K55+K56+K58+K59+K60+K57</f>
        <v>0</v>
      </c>
      <c r="L61" s="670"/>
      <c r="M61" s="39"/>
      <c r="N61" s="670">
        <f ca="1">N50+N51+N54+N55+N56+N58+N59+N60</f>
        <v>0</v>
      </c>
      <c r="O61" s="327"/>
      <c r="P61" s="670">
        <f ca="1">P50+P51+P54+P55+P56+P58+P59+P60</f>
        <v>0</v>
      </c>
      <c r="Q61" s="670"/>
      <c r="R61" s="670">
        <f>R50+R51+R54+R55+R56+R58+R59+R60</f>
        <v>0</v>
      </c>
      <c r="S61" s="670"/>
      <c r="T61" s="670">
        <f>T50+T51+T54+T55+T56+T58+T59+T60</f>
        <v>0</v>
      </c>
      <c r="U61" s="670"/>
      <c r="V61" s="670">
        <f>SUM(V50:V60)</f>
        <v>0</v>
      </c>
      <c r="W61" s="670"/>
      <c r="X61" s="646"/>
      <c r="Y61" s="670">
        <f ca="1">SUM(Y50:Y60)</f>
        <v>0</v>
      </c>
      <c r="Z61" s="327"/>
      <c r="AA61" s="670">
        <f ca="1">AA50+AA51+AA54+AA55+AA56+AA58+AA59+AA60</f>
        <v>0</v>
      </c>
      <c r="AB61" s="670"/>
      <c r="AC61" s="670">
        <f>SUM(AC50:AC60)</f>
        <v>0</v>
      </c>
      <c r="AD61" s="670"/>
      <c r="AE61" s="670">
        <f>SUM(AE50:AE60)</f>
        <v>0</v>
      </c>
      <c r="AF61" s="670"/>
      <c r="AG61" s="670">
        <f>SUM(AG50:AG60)</f>
        <v>0</v>
      </c>
      <c r="AH61" s="670"/>
      <c r="AL61" s="423">
        <f t="shared" si="0"/>
        <v>0</v>
      </c>
      <c r="AN61" s="599">
        <f t="shared" si="28"/>
        <v>0</v>
      </c>
      <c r="AO61" s="599">
        <f t="shared" si="29"/>
        <v>0</v>
      </c>
      <c r="AP61" s="599">
        <f t="shared" si="30"/>
        <v>0</v>
      </c>
    </row>
    <row r="62" spans="1:117" outlineLevel="1" x14ac:dyDescent="0.3">
      <c r="B62" s="18"/>
      <c r="C62" s="666"/>
      <c r="D62" s="18"/>
      <c r="E62" s="666"/>
      <c r="F62" s="18"/>
      <c r="G62" s="666"/>
      <c r="H62" s="18"/>
      <c r="I62" s="666"/>
      <c r="J62" s="18"/>
      <c r="K62" s="666"/>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0"/>
        <v>0</v>
      </c>
      <c r="AN62" s="599">
        <f t="shared" si="28"/>
        <v>0</v>
      </c>
      <c r="AO62" s="599">
        <f t="shared" si="29"/>
        <v>0</v>
      </c>
      <c r="AP62" s="599">
        <f t="shared" si="30"/>
        <v>0</v>
      </c>
    </row>
    <row r="63" spans="1:117" outlineLevel="1" x14ac:dyDescent="0.3">
      <c r="B63" s="328" t="s">
        <v>453</v>
      </c>
      <c r="C63" s="667">
        <v>0</v>
      </c>
      <c r="D63" s="327"/>
      <c r="E63" s="667">
        <f>C63</f>
        <v>0</v>
      </c>
      <c r="F63" s="327"/>
      <c r="G63" s="667">
        <v>0</v>
      </c>
      <c r="H63" s="327"/>
      <c r="I63" s="667">
        <v>0</v>
      </c>
      <c r="J63" s="327"/>
      <c r="K63" s="611">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0"/>
        <v>0</v>
      </c>
      <c r="AN63" s="599">
        <f t="shared" si="28"/>
        <v>0</v>
      </c>
      <c r="AO63" s="599">
        <f t="shared" si="29"/>
        <v>0</v>
      </c>
      <c r="AP63" s="599">
        <f t="shared" si="30"/>
        <v>0</v>
      </c>
    </row>
    <row r="64" spans="1:117" outlineLevel="1" x14ac:dyDescent="0.3">
      <c r="B64" s="748" t="s">
        <v>455</v>
      </c>
      <c r="C64" s="740">
        <v>0</v>
      </c>
      <c r="D64" s="741">
        <f t="shared" ref="D64:D79" si="41">$F$12</f>
        <v>0.21</v>
      </c>
      <c r="E64" s="740">
        <f>C64</f>
        <v>0</v>
      </c>
      <c r="F64" s="741">
        <f>$AB$12</f>
        <v>0.21</v>
      </c>
      <c r="G64" s="740">
        <v>0</v>
      </c>
      <c r="H64" s="741">
        <f>$AB$12</f>
        <v>0.21</v>
      </c>
      <c r="I64" s="740">
        <v>0</v>
      </c>
      <c r="J64" s="741">
        <f>$AB$12</f>
        <v>0.21</v>
      </c>
      <c r="K64" s="740">
        <v>0</v>
      </c>
      <c r="L64" s="741">
        <f>$AB$12</f>
        <v>0.21</v>
      </c>
      <c r="M64" s="629"/>
      <c r="N64" s="740"/>
      <c r="O64" s="741">
        <f>$Q$12</f>
        <v>0.21</v>
      </c>
      <c r="P64" s="740">
        <f>N64</f>
        <v>0</v>
      </c>
      <c r="Q64" s="741">
        <f>$AB$12</f>
        <v>0.21</v>
      </c>
      <c r="R64" s="740">
        <v>0</v>
      </c>
      <c r="S64" s="741">
        <f>$AB$12</f>
        <v>0.21</v>
      </c>
      <c r="T64" s="740">
        <v>0</v>
      </c>
      <c r="U64" s="741">
        <f>$AB$12</f>
        <v>0.21</v>
      </c>
      <c r="V64" s="740">
        <v>0</v>
      </c>
      <c r="W64" s="741">
        <f>$AB$12</f>
        <v>0.21</v>
      </c>
      <c r="X64" s="647"/>
      <c r="Y64" s="740"/>
      <c r="Z64" s="741">
        <f>$AB$12</f>
        <v>0.21</v>
      </c>
      <c r="AA64" s="740">
        <f>Y64</f>
        <v>0</v>
      </c>
      <c r="AB64" s="741">
        <f>$AB$12</f>
        <v>0.21</v>
      </c>
      <c r="AC64" s="740">
        <v>0</v>
      </c>
      <c r="AD64" s="741">
        <f>$AB$12</f>
        <v>0.21</v>
      </c>
      <c r="AE64" s="740">
        <v>0</v>
      </c>
      <c r="AF64" s="741">
        <f>$AB$12</f>
        <v>0.21</v>
      </c>
      <c r="AG64" s="740">
        <v>0</v>
      </c>
      <c r="AH64" s="741">
        <f>$AB$12</f>
        <v>0.21</v>
      </c>
      <c r="AI64" s="18"/>
      <c r="AJ64" s="18"/>
      <c r="AL64" s="423">
        <f t="shared" si="0"/>
        <v>0</v>
      </c>
      <c r="AN64" s="599">
        <f t="shared" si="28"/>
        <v>0</v>
      </c>
      <c r="AO64" s="599">
        <f t="shared" si="29"/>
        <v>0</v>
      </c>
      <c r="AP64" s="599">
        <f t="shared" si="30"/>
        <v>0</v>
      </c>
    </row>
    <row r="65" spans="2:42" outlineLevel="1" x14ac:dyDescent="0.3">
      <c r="B65" s="749" t="s">
        <v>456</v>
      </c>
      <c r="C65" s="740">
        <v>0</v>
      </c>
      <c r="D65" s="741">
        <f t="shared" si="41"/>
        <v>0.21</v>
      </c>
      <c r="E65" s="740">
        <f t="shared" ref="E65:E78" si="42">C65</f>
        <v>0</v>
      </c>
      <c r="F65" s="741">
        <f t="shared" ref="F65:L79" si="43">$AB$12</f>
        <v>0.21</v>
      </c>
      <c r="G65" s="740">
        <v>0</v>
      </c>
      <c r="H65" s="741">
        <f t="shared" si="43"/>
        <v>0.21</v>
      </c>
      <c r="I65" s="740">
        <v>0</v>
      </c>
      <c r="J65" s="741">
        <f t="shared" si="43"/>
        <v>0.21</v>
      </c>
      <c r="K65" s="740">
        <v>0</v>
      </c>
      <c r="L65" s="741">
        <f t="shared" si="43"/>
        <v>0.21</v>
      </c>
      <c r="M65" s="629"/>
      <c r="N65" s="740"/>
      <c r="O65" s="741">
        <f t="shared" ref="O65:O79" si="44">$Q$12</f>
        <v>0.21</v>
      </c>
      <c r="P65" s="740">
        <f t="shared" ref="P65:P78" si="45">N65</f>
        <v>0</v>
      </c>
      <c r="Q65" s="741">
        <f t="shared" ref="Q65:W79" si="46">$AB$12</f>
        <v>0.21</v>
      </c>
      <c r="R65" s="740">
        <v>0</v>
      </c>
      <c r="S65" s="741">
        <f t="shared" si="46"/>
        <v>0.21</v>
      </c>
      <c r="T65" s="740">
        <v>0</v>
      </c>
      <c r="U65" s="741">
        <f t="shared" si="46"/>
        <v>0.21</v>
      </c>
      <c r="V65" s="740">
        <v>0</v>
      </c>
      <c r="W65" s="741">
        <f t="shared" si="46"/>
        <v>0.21</v>
      </c>
      <c r="X65" s="647"/>
      <c r="Y65" s="740"/>
      <c r="Z65" s="741">
        <f t="shared" ref="Z65:Z79" si="47">$AB$12</f>
        <v>0.21</v>
      </c>
      <c r="AA65" s="740">
        <f t="shared" ref="AA65:AA78" si="48">Y65</f>
        <v>0</v>
      </c>
      <c r="AB65" s="741">
        <f t="shared" ref="AB65:AH79" si="49">$AB$12</f>
        <v>0.21</v>
      </c>
      <c r="AC65" s="740">
        <v>0</v>
      </c>
      <c r="AD65" s="741">
        <f t="shared" si="49"/>
        <v>0.21</v>
      </c>
      <c r="AE65" s="740">
        <v>0</v>
      </c>
      <c r="AF65" s="741">
        <f t="shared" si="49"/>
        <v>0.21</v>
      </c>
      <c r="AG65" s="740">
        <v>0</v>
      </c>
      <c r="AH65" s="741">
        <f t="shared" si="49"/>
        <v>0.21</v>
      </c>
      <c r="AI65" s="18"/>
      <c r="AJ65" s="18"/>
      <c r="AL65" s="423">
        <f t="shared" si="0"/>
        <v>0</v>
      </c>
      <c r="AN65" s="599">
        <f t="shared" si="28"/>
        <v>0</v>
      </c>
      <c r="AO65" s="599">
        <f t="shared" si="29"/>
        <v>0</v>
      </c>
      <c r="AP65" s="599">
        <f t="shared" si="30"/>
        <v>0</v>
      </c>
    </row>
    <row r="66" spans="2:42" outlineLevel="1" x14ac:dyDescent="0.3">
      <c r="B66" s="749" t="s">
        <v>457</v>
      </c>
      <c r="C66" s="740">
        <v>0</v>
      </c>
      <c r="D66" s="741">
        <f t="shared" si="41"/>
        <v>0.21</v>
      </c>
      <c r="E66" s="740">
        <f t="shared" si="42"/>
        <v>0</v>
      </c>
      <c r="F66" s="741">
        <f t="shared" si="43"/>
        <v>0.21</v>
      </c>
      <c r="G66" s="740">
        <v>0</v>
      </c>
      <c r="H66" s="741">
        <f t="shared" si="43"/>
        <v>0.21</v>
      </c>
      <c r="I66" s="740">
        <v>0</v>
      </c>
      <c r="J66" s="741">
        <f t="shared" si="43"/>
        <v>0.21</v>
      </c>
      <c r="K66" s="740">
        <v>0</v>
      </c>
      <c r="L66" s="741">
        <f t="shared" si="43"/>
        <v>0.21</v>
      </c>
      <c r="M66" s="629"/>
      <c r="N66" s="740"/>
      <c r="O66" s="741">
        <f t="shared" si="44"/>
        <v>0.21</v>
      </c>
      <c r="P66" s="740">
        <f t="shared" si="45"/>
        <v>0</v>
      </c>
      <c r="Q66" s="741">
        <f t="shared" si="46"/>
        <v>0.21</v>
      </c>
      <c r="R66" s="740">
        <v>0</v>
      </c>
      <c r="S66" s="741">
        <f t="shared" si="46"/>
        <v>0.21</v>
      </c>
      <c r="T66" s="740">
        <v>0</v>
      </c>
      <c r="U66" s="741">
        <f t="shared" si="46"/>
        <v>0.21</v>
      </c>
      <c r="V66" s="740">
        <v>0</v>
      </c>
      <c r="W66" s="741">
        <f t="shared" si="46"/>
        <v>0.21</v>
      </c>
      <c r="X66" s="647"/>
      <c r="Y66" s="740"/>
      <c r="Z66" s="741">
        <f t="shared" si="47"/>
        <v>0.21</v>
      </c>
      <c r="AA66" s="740">
        <f t="shared" si="48"/>
        <v>0</v>
      </c>
      <c r="AB66" s="741">
        <f t="shared" si="49"/>
        <v>0.21</v>
      </c>
      <c r="AC66" s="740">
        <v>0</v>
      </c>
      <c r="AD66" s="741">
        <f t="shared" si="49"/>
        <v>0.21</v>
      </c>
      <c r="AE66" s="740">
        <v>0</v>
      </c>
      <c r="AF66" s="741">
        <f t="shared" si="49"/>
        <v>0.21</v>
      </c>
      <c r="AG66" s="740">
        <v>0</v>
      </c>
      <c r="AH66" s="741">
        <f t="shared" si="49"/>
        <v>0.21</v>
      </c>
      <c r="AI66" s="18"/>
      <c r="AJ66" s="18"/>
      <c r="AL66" s="423">
        <f t="shared" si="0"/>
        <v>0</v>
      </c>
      <c r="AN66" s="599"/>
      <c r="AO66" s="599"/>
      <c r="AP66" s="599"/>
    </row>
    <row r="67" spans="2:42" outlineLevel="1" x14ac:dyDescent="0.3">
      <c r="B67" s="748" t="s">
        <v>458</v>
      </c>
      <c r="C67" s="740">
        <v>0</v>
      </c>
      <c r="D67" s="741">
        <f t="shared" si="41"/>
        <v>0.21</v>
      </c>
      <c r="E67" s="740">
        <f t="shared" si="42"/>
        <v>0</v>
      </c>
      <c r="F67" s="741">
        <f t="shared" si="43"/>
        <v>0.21</v>
      </c>
      <c r="G67" s="740">
        <v>0</v>
      </c>
      <c r="H67" s="741">
        <f t="shared" si="43"/>
        <v>0.21</v>
      </c>
      <c r="I67" s="740">
        <v>0</v>
      </c>
      <c r="J67" s="741">
        <f t="shared" si="43"/>
        <v>0.21</v>
      </c>
      <c r="K67" s="740">
        <v>0</v>
      </c>
      <c r="L67" s="741">
        <f t="shared" si="43"/>
        <v>0.21</v>
      </c>
      <c r="M67" s="629"/>
      <c r="N67" s="740"/>
      <c r="O67" s="741">
        <f t="shared" si="44"/>
        <v>0.21</v>
      </c>
      <c r="P67" s="740">
        <f t="shared" si="45"/>
        <v>0</v>
      </c>
      <c r="Q67" s="741">
        <f t="shared" si="46"/>
        <v>0.21</v>
      </c>
      <c r="R67" s="740">
        <v>0</v>
      </c>
      <c r="S67" s="741">
        <f t="shared" si="46"/>
        <v>0.21</v>
      </c>
      <c r="T67" s="740">
        <v>0</v>
      </c>
      <c r="U67" s="741">
        <f t="shared" si="46"/>
        <v>0.21</v>
      </c>
      <c r="V67" s="740">
        <v>0</v>
      </c>
      <c r="W67" s="741">
        <f t="shared" si="46"/>
        <v>0.21</v>
      </c>
      <c r="X67" s="647"/>
      <c r="Y67" s="740"/>
      <c r="Z67" s="741">
        <f t="shared" si="47"/>
        <v>0.21</v>
      </c>
      <c r="AA67" s="740">
        <f t="shared" si="48"/>
        <v>0</v>
      </c>
      <c r="AB67" s="741">
        <f t="shared" si="49"/>
        <v>0.21</v>
      </c>
      <c r="AC67" s="740">
        <v>0</v>
      </c>
      <c r="AD67" s="741">
        <f t="shared" si="49"/>
        <v>0.21</v>
      </c>
      <c r="AE67" s="740">
        <v>0</v>
      </c>
      <c r="AF67" s="741">
        <f t="shared" si="49"/>
        <v>0.21</v>
      </c>
      <c r="AG67" s="740">
        <v>0</v>
      </c>
      <c r="AH67" s="741">
        <f t="shared" si="49"/>
        <v>0.21</v>
      </c>
      <c r="AI67" s="18"/>
      <c r="AJ67" s="18"/>
      <c r="AL67" s="423">
        <f t="shared" si="0"/>
        <v>0</v>
      </c>
      <c r="AN67" s="599"/>
      <c r="AO67" s="599"/>
      <c r="AP67" s="599"/>
    </row>
    <row r="68" spans="2:42" outlineLevel="1" x14ac:dyDescent="0.3">
      <c r="B68" s="748" t="s">
        <v>459</v>
      </c>
      <c r="C68" s="740">
        <v>0</v>
      </c>
      <c r="D68" s="741">
        <f t="shared" si="41"/>
        <v>0.21</v>
      </c>
      <c r="E68" s="740">
        <f t="shared" si="42"/>
        <v>0</v>
      </c>
      <c r="F68" s="741">
        <f t="shared" si="43"/>
        <v>0.21</v>
      </c>
      <c r="G68" s="740">
        <v>0</v>
      </c>
      <c r="H68" s="741">
        <f t="shared" si="43"/>
        <v>0.21</v>
      </c>
      <c r="I68" s="740">
        <v>0</v>
      </c>
      <c r="J68" s="741">
        <f t="shared" si="43"/>
        <v>0.21</v>
      </c>
      <c r="K68" s="740">
        <v>0</v>
      </c>
      <c r="L68" s="741">
        <f t="shared" si="43"/>
        <v>0.21</v>
      </c>
      <c r="M68" s="629"/>
      <c r="N68" s="740"/>
      <c r="O68" s="741">
        <f t="shared" si="44"/>
        <v>0.21</v>
      </c>
      <c r="P68" s="740">
        <f t="shared" si="45"/>
        <v>0</v>
      </c>
      <c r="Q68" s="741">
        <f t="shared" si="46"/>
        <v>0.21</v>
      </c>
      <c r="R68" s="740">
        <v>0</v>
      </c>
      <c r="S68" s="741">
        <f t="shared" si="46"/>
        <v>0.21</v>
      </c>
      <c r="T68" s="740">
        <v>0</v>
      </c>
      <c r="U68" s="741">
        <f t="shared" si="46"/>
        <v>0.21</v>
      </c>
      <c r="V68" s="740">
        <v>0</v>
      </c>
      <c r="W68" s="741">
        <f t="shared" si="46"/>
        <v>0.21</v>
      </c>
      <c r="X68" s="647"/>
      <c r="Y68" s="740"/>
      <c r="Z68" s="741">
        <f t="shared" si="47"/>
        <v>0.21</v>
      </c>
      <c r="AA68" s="740">
        <f t="shared" si="48"/>
        <v>0</v>
      </c>
      <c r="AB68" s="741">
        <f t="shared" si="49"/>
        <v>0.21</v>
      </c>
      <c r="AC68" s="740">
        <v>0</v>
      </c>
      <c r="AD68" s="741">
        <f t="shared" si="49"/>
        <v>0.21</v>
      </c>
      <c r="AE68" s="740">
        <v>0</v>
      </c>
      <c r="AF68" s="741">
        <f t="shared" si="49"/>
        <v>0.21</v>
      </c>
      <c r="AG68" s="740">
        <v>0</v>
      </c>
      <c r="AH68" s="741">
        <f t="shared" si="49"/>
        <v>0.21</v>
      </c>
      <c r="AI68" s="18"/>
      <c r="AJ68" s="18"/>
      <c r="AL68" s="423">
        <f t="shared" si="0"/>
        <v>0</v>
      </c>
      <c r="AN68" s="599">
        <f>IFERROR(K68*$AO$5/$AR$5,0)</f>
        <v>0</v>
      </c>
      <c r="AO68" s="599">
        <f>IFERROR(K68*$AP$5/$AR$5,0)</f>
        <v>0</v>
      </c>
      <c r="AP68" s="599">
        <f>IFERROR(K68*$AQ$5/$AR$5,0)</f>
        <v>0</v>
      </c>
    </row>
    <row r="69" spans="2:42" outlineLevel="1" x14ac:dyDescent="0.3">
      <c r="B69" s="748" t="s">
        <v>460</v>
      </c>
      <c r="C69" s="740">
        <v>0</v>
      </c>
      <c r="D69" s="741">
        <f t="shared" si="41"/>
        <v>0.21</v>
      </c>
      <c r="E69" s="740">
        <f t="shared" si="42"/>
        <v>0</v>
      </c>
      <c r="F69" s="741">
        <f t="shared" si="43"/>
        <v>0.21</v>
      </c>
      <c r="G69" s="740">
        <v>0</v>
      </c>
      <c r="H69" s="741">
        <f t="shared" si="43"/>
        <v>0.21</v>
      </c>
      <c r="I69" s="740">
        <v>0</v>
      </c>
      <c r="J69" s="741">
        <f t="shared" si="43"/>
        <v>0.21</v>
      </c>
      <c r="K69" s="740">
        <v>0</v>
      </c>
      <c r="L69" s="741">
        <f t="shared" si="43"/>
        <v>0.21</v>
      </c>
      <c r="M69" s="629"/>
      <c r="N69" s="740"/>
      <c r="O69" s="741">
        <f t="shared" si="44"/>
        <v>0.21</v>
      </c>
      <c r="P69" s="740">
        <f t="shared" si="45"/>
        <v>0</v>
      </c>
      <c r="Q69" s="741">
        <f t="shared" si="46"/>
        <v>0.21</v>
      </c>
      <c r="R69" s="740">
        <v>0</v>
      </c>
      <c r="S69" s="741">
        <f t="shared" si="46"/>
        <v>0.21</v>
      </c>
      <c r="T69" s="740">
        <v>0</v>
      </c>
      <c r="U69" s="741">
        <f t="shared" si="46"/>
        <v>0.21</v>
      </c>
      <c r="V69" s="740">
        <v>0</v>
      </c>
      <c r="W69" s="741">
        <f t="shared" si="46"/>
        <v>0.21</v>
      </c>
      <c r="X69" s="647"/>
      <c r="Y69" s="740"/>
      <c r="Z69" s="741">
        <f t="shared" si="47"/>
        <v>0.21</v>
      </c>
      <c r="AA69" s="740">
        <f t="shared" si="48"/>
        <v>0</v>
      </c>
      <c r="AB69" s="741">
        <f t="shared" si="49"/>
        <v>0.21</v>
      </c>
      <c r="AC69" s="740">
        <v>0</v>
      </c>
      <c r="AD69" s="741">
        <f t="shared" si="49"/>
        <v>0.21</v>
      </c>
      <c r="AE69" s="740">
        <v>0</v>
      </c>
      <c r="AF69" s="741">
        <f t="shared" si="49"/>
        <v>0.21</v>
      </c>
      <c r="AG69" s="740">
        <v>0</v>
      </c>
      <c r="AH69" s="741">
        <f t="shared" si="49"/>
        <v>0.21</v>
      </c>
      <c r="AI69" s="18"/>
      <c r="AJ69" s="18"/>
      <c r="AL69" s="423">
        <f t="shared" si="0"/>
        <v>0</v>
      </c>
      <c r="AN69" s="599">
        <f>IFERROR(K69*$AO$5/$AR$5,0)</f>
        <v>0</v>
      </c>
      <c r="AO69" s="599">
        <f>IFERROR(K69*$AP$5/$AR$5,0)</f>
        <v>0</v>
      </c>
      <c r="AP69" s="599">
        <f>IFERROR(K69*$AQ$5/$AR$5,0)</f>
        <v>0</v>
      </c>
    </row>
    <row r="70" spans="2:42" x14ac:dyDescent="0.3">
      <c r="B70" s="749" t="s">
        <v>461</v>
      </c>
      <c r="C70" s="740">
        <v>0</v>
      </c>
      <c r="D70" s="741">
        <f t="shared" si="41"/>
        <v>0.21</v>
      </c>
      <c r="E70" s="740">
        <f t="shared" si="42"/>
        <v>0</v>
      </c>
      <c r="F70" s="741">
        <f t="shared" si="43"/>
        <v>0.21</v>
      </c>
      <c r="G70" s="740">
        <v>0</v>
      </c>
      <c r="H70" s="741">
        <f t="shared" si="43"/>
        <v>0.21</v>
      </c>
      <c r="I70" s="740">
        <v>0</v>
      </c>
      <c r="J70" s="741">
        <f t="shared" si="43"/>
        <v>0.21</v>
      </c>
      <c r="K70" s="740">
        <v>0</v>
      </c>
      <c r="L70" s="741">
        <f t="shared" si="43"/>
        <v>0.21</v>
      </c>
      <c r="M70" s="629"/>
      <c r="N70" s="740"/>
      <c r="O70" s="741">
        <f t="shared" si="44"/>
        <v>0.21</v>
      </c>
      <c r="P70" s="740">
        <f t="shared" si="45"/>
        <v>0</v>
      </c>
      <c r="Q70" s="741">
        <f t="shared" si="46"/>
        <v>0.21</v>
      </c>
      <c r="R70" s="740">
        <v>0</v>
      </c>
      <c r="S70" s="741">
        <f t="shared" si="46"/>
        <v>0.21</v>
      </c>
      <c r="T70" s="740">
        <v>0</v>
      </c>
      <c r="U70" s="741">
        <f t="shared" si="46"/>
        <v>0.21</v>
      </c>
      <c r="V70" s="740">
        <v>0</v>
      </c>
      <c r="W70" s="741">
        <f t="shared" si="46"/>
        <v>0.21</v>
      </c>
      <c r="X70" s="647"/>
      <c r="Y70" s="740"/>
      <c r="Z70" s="741">
        <f t="shared" si="47"/>
        <v>0.21</v>
      </c>
      <c r="AA70" s="740">
        <f t="shared" si="48"/>
        <v>0</v>
      </c>
      <c r="AB70" s="741">
        <f t="shared" si="49"/>
        <v>0.21</v>
      </c>
      <c r="AC70" s="740">
        <v>0</v>
      </c>
      <c r="AD70" s="741">
        <f t="shared" si="49"/>
        <v>0.21</v>
      </c>
      <c r="AE70" s="740">
        <v>0</v>
      </c>
      <c r="AF70" s="741">
        <f t="shared" si="49"/>
        <v>0.21</v>
      </c>
      <c r="AG70" s="740">
        <v>0</v>
      </c>
      <c r="AH70" s="741">
        <f t="shared" si="49"/>
        <v>0.21</v>
      </c>
      <c r="AI70" s="18"/>
      <c r="AJ70" s="18"/>
      <c r="AL70" s="423">
        <f t="shared" si="0"/>
        <v>0</v>
      </c>
      <c r="AN70" s="599">
        <f>IFERROR(K70*$AO$5/$AR$5,0)</f>
        <v>0</v>
      </c>
      <c r="AO70" s="599">
        <f>IFERROR(K70*$AP$5/$AR$5,0)</f>
        <v>0</v>
      </c>
      <c r="AP70" s="599">
        <f>IFERROR(K70*$AQ$5/$AR$5,0)</f>
        <v>0</v>
      </c>
    </row>
    <row r="71" spans="2:42" x14ac:dyDescent="0.3">
      <c r="B71" s="748" t="s">
        <v>462</v>
      </c>
      <c r="C71" s="740">
        <v>0</v>
      </c>
      <c r="D71" s="741">
        <f t="shared" si="41"/>
        <v>0.21</v>
      </c>
      <c r="E71" s="740">
        <f t="shared" si="42"/>
        <v>0</v>
      </c>
      <c r="F71" s="741">
        <f t="shared" si="43"/>
        <v>0.21</v>
      </c>
      <c r="G71" s="740">
        <v>0</v>
      </c>
      <c r="H71" s="741">
        <f t="shared" si="43"/>
        <v>0.21</v>
      </c>
      <c r="I71" s="740">
        <v>0</v>
      </c>
      <c r="J71" s="741">
        <f t="shared" si="43"/>
        <v>0.21</v>
      </c>
      <c r="K71" s="740">
        <v>0</v>
      </c>
      <c r="L71" s="741">
        <f t="shared" si="43"/>
        <v>0.21</v>
      </c>
      <c r="M71" s="629"/>
      <c r="N71" s="740"/>
      <c r="O71" s="741">
        <f t="shared" si="44"/>
        <v>0.21</v>
      </c>
      <c r="P71" s="740">
        <f t="shared" si="45"/>
        <v>0</v>
      </c>
      <c r="Q71" s="741">
        <f t="shared" si="46"/>
        <v>0.21</v>
      </c>
      <c r="R71" s="740">
        <v>0</v>
      </c>
      <c r="S71" s="741">
        <f t="shared" si="46"/>
        <v>0.21</v>
      </c>
      <c r="T71" s="740">
        <v>0</v>
      </c>
      <c r="U71" s="741">
        <f t="shared" si="46"/>
        <v>0.21</v>
      </c>
      <c r="V71" s="740">
        <v>0</v>
      </c>
      <c r="W71" s="741">
        <f t="shared" si="46"/>
        <v>0.21</v>
      </c>
      <c r="X71" s="647"/>
      <c r="Y71" s="740"/>
      <c r="Z71" s="741">
        <f t="shared" si="47"/>
        <v>0.21</v>
      </c>
      <c r="AA71" s="740">
        <f t="shared" si="48"/>
        <v>0</v>
      </c>
      <c r="AB71" s="741">
        <f t="shared" si="49"/>
        <v>0.21</v>
      </c>
      <c r="AC71" s="740">
        <v>0</v>
      </c>
      <c r="AD71" s="741">
        <f t="shared" si="49"/>
        <v>0.21</v>
      </c>
      <c r="AE71" s="740">
        <v>0</v>
      </c>
      <c r="AF71" s="741">
        <f t="shared" si="49"/>
        <v>0.21</v>
      </c>
      <c r="AG71" s="740">
        <v>0</v>
      </c>
      <c r="AH71" s="741">
        <f t="shared" si="49"/>
        <v>0.21</v>
      </c>
      <c r="AI71" s="18"/>
      <c r="AJ71" s="18"/>
      <c r="AL71" s="423">
        <f t="shared" si="0"/>
        <v>0</v>
      </c>
      <c r="AN71" s="599"/>
      <c r="AO71" s="599"/>
      <c r="AP71" s="599"/>
    </row>
    <row r="72" spans="2:42" x14ac:dyDescent="0.3">
      <c r="B72" s="749" t="s">
        <v>463</v>
      </c>
      <c r="C72" s="740">
        <v>0</v>
      </c>
      <c r="D72" s="741">
        <f t="shared" si="41"/>
        <v>0.21</v>
      </c>
      <c r="E72" s="740">
        <f t="shared" si="42"/>
        <v>0</v>
      </c>
      <c r="F72" s="741">
        <f t="shared" si="43"/>
        <v>0.21</v>
      </c>
      <c r="G72" s="740">
        <v>0</v>
      </c>
      <c r="H72" s="741">
        <f t="shared" si="43"/>
        <v>0.21</v>
      </c>
      <c r="I72" s="740">
        <v>0</v>
      </c>
      <c r="J72" s="741">
        <f t="shared" si="43"/>
        <v>0.21</v>
      </c>
      <c r="K72" s="740">
        <v>0</v>
      </c>
      <c r="L72" s="741">
        <f t="shared" si="43"/>
        <v>0.21</v>
      </c>
      <c r="M72" s="629"/>
      <c r="N72" s="740"/>
      <c r="O72" s="741">
        <f t="shared" si="44"/>
        <v>0.21</v>
      </c>
      <c r="P72" s="740">
        <f t="shared" si="45"/>
        <v>0</v>
      </c>
      <c r="Q72" s="741">
        <f t="shared" si="46"/>
        <v>0.21</v>
      </c>
      <c r="R72" s="740">
        <v>0</v>
      </c>
      <c r="S72" s="741">
        <f t="shared" si="46"/>
        <v>0.21</v>
      </c>
      <c r="T72" s="740">
        <v>0</v>
      </c>
      <c r="U72" s="741">
        <f t="shared" si="46"/>
        <v>0.21</v>
      </c>
      <c r="V72" s="740">
        <v>0</v>
      </c>
      <c r="W72" s="741">
        <f t="shared" si="46"/>
        <v>0.21</v>
      </c>
      <c r="X72" s="647"/>
      <c r="Y72" s="740"/>
      <c r="Z72" s="741">
        <f t="shared" si="47"/>
        <v>0.21</v>
      </c>
      <c r="AA72" s="740">
        <f t="shared" si="48"/>
        <v>0</v>
      </c>
      <c r="AB72" s="741">
        <f t="shared" si="49"/>
        <v>0.21</v>
      </c>
      <c r="AC72" s="740">
        <v>0</v>
      </c>
      <c r="AD72" s="741">
        <f t="shared" si="49"/>
        <v>0.21</v>
      </c>
      <c r="AE72" s="740">
        <v>0</v>
      </c>
      <c r="AF72" s="741">
        <f t="shared" si="49"/>
        <v>0.21</v>
      </c>
      <c r="AG72" s="740">
        <v>0</v>
      </c>
      <c r="AH72" s="741">
        <f t="shared" si="49"/>
        <v>0.21</v>
      </c>
      <c r="AI72" s="18"/>
      <c r="AJ72" s="18"/>
      <c r="AL72" s="423">
        <f t="shared" si="0"/>
        <v>0</v>
      </c>
      <c r="AN72" s="599">
        <f>IFERROR(K72*$AO$5/$AR$5,0)</f>
        <v>0</v>
      </c>
      <c r="AO72" s="599">
        <f>IFERROR(K72*$AP$5/$AR$5,0)</f>
        <v>0</v>
      </c>
      <c r="AP72" s="599">
        <f>IFERROR(K72*$AQ$5/$AR$5,0)</f>
        <v>0</v>
      </c>
    </row>
    <row r="73" spans="2:42" x14ac:dyDescent="0.3">
      <c r="B73" s="749" t="s">
        <v>464</v>
      </c>
      <c r="C73" s="740">
        <v>0</v>
      </c>
      <c r="D73" s="741">
        <f t="shared" si="41"/>
        <v>0.21</v>
      </c>
      <c r="E73" s="740">
        <f t="shared" si="42"/>
        <v>0</v>
      </c>
      <c r="F73" s="741">
        <f t="shared" si="43"/>
        <v>0.21</v>
      </c>
      <c r="G73" s="740">
        <v>0</v>
      </c>
      <c r="H73" s="741">
        <f t="shared" si="43"/>
        <v>0.21</v>
      </c>
      <c r="I73" s="740">
        <v>0</v>
      </c>
      <c r="J73" s="741">
        <f t="shared" si="43"/>
        <v>0.21</v>
      </c>
      <c r="K73" s="740">
        <v>0</v>
      </c>
      <c r="L73" s="741">
        <f t="shared" si="43"/>
        <v>0.21</v>
      </c>
      <c r="M73" s="629"/>
      <c r="N73" s="740"/>
      <c r="O73" s="741">
        <f t="shared" si="44"/>
        <v>0.21</v>
      </c>
      <c r="P73" s="740">
        <f t="shared" si="45"/>
        <v>0</v>
      </c>
      <c r="Q73" s="741">
        <f t="shared" si="46"/>
        <v>0.21</v>
      </c>
      <c r="R73" s="740">
        <v>0</v>
      </c>
      <c r="S73" s="741">
        <f t="shared" si="46"/>
        <v>0.21</v>
      </c>
      <c r="T73" s="740">
        <v>0</v>
      </c>
      <c r="U73" s="741">
        <f t="shared" si="46"/>
        <v>0.21</v>
      </c>
      <c r="V73" s="740">
        <v>0</v>
      </c>
      <c r="W73" s="741">
        <f t="shared" si="46"/>
        <v>0.21</v>
      </c>
      <c r="X73" s="647"/>
      <c r="Y73" s="740"/>
      <c r="Z73" s="741">
        <f t="shared" si="47"/>
        <v>0.21</v>
      </c>
      <c r="AA73" s="740">
        <f t="shared" si="48"/>
        <v>0</v>
      </c>
      <c r="AB73" s="741">
        <f t="shared" si="49"/>
        <v>0.21</v>
      </c>
      <c r="AC73" s="740">
        <v>0</v>
      </c>
      <c r="AD73" s="741">
        <f t="shared" si="49"/>
        <v>0.21</v>
      </c>
      <c r="AE73" s="740">
        <v>0</v>
      </c>
      <c r="AF73" s="741">
        <f t="shared" si="49"/>
        <v>0.21</v>
      </c>
      <c r="AG73" s="740">
        <v>0</v>
      </c>
      <c r="AH73" s="741">
        <f t="shared" si="49"/>
        <v>0.21</v>
      </c>
      <c r="AI73" s="18"/>
      <c r="AJ73" s="18"/>
      <c r="AL73" s="423">
        <f t="shared" si="0"/>
        <v>0</v>
      </c>
      <c r="AN73" s="599">
        <f>IFERROR(K73*$AO$5/$AR$5,0)</f>
        <v>0</v>
      </c>
      <c r="AO73" s="599">
        <f>IFERROR(K73*$AP$5/$AR$5,0)</f>
        <v>0</v>
      </c>
      <c r="AP73" s="599">
        <f>IFERROR(K73*$AQ$5/$AR$5,0)</f>
        <v>0</v>
      </c>
    </row>
    <row r="74" spans="2:42" x14ac:dyDescent="0.3">
      <c r="B74" s="748" t="s">
        <v>465</v>
      </c>
      <c r="C74" s="740">
        <v>0</v>
      </c>
      <c r="D74" s="741">
        <f t="shared" si="41"/>
        <v>0.21</v>
      </c>
      <c r="E74" s="740">
        <f t="shared" si="42"/>
        <v>0</v>
      </c>
      <c r="F74" s="741">
        <f t="shared" si="43"/>
        <v>0.21</v>
      </c>
      <c r="G74" s="740">
        <v>0</v>
      </c>
      <c r="H74" s="741">
        <f t="shared" si="43"/>
        <v>0.21</v>
      </c>
      <c r="I74" s="740">
        <v>0</v>
      </c>
      <c r="J74" s="741">
        <f t="shared" si="43"/>
        <v>0.21</v>
      </c>
      <c r="K74" s="740">
        <v>0</v>
      </c>
      <c r="L74" s="741">
        <f t="shared" si="43"/>
        <v>0.21</v>
      </c>
      <c r="M74" s="629"/>
      <c r="N74" s="740"/>
      <c r="O74" s="741">
        <f t="shared" si="44"/>
        <v>0.21</v>
      </c>
      <c r="P74" s="740">
        <f t="shared" si="45"/>
        <v>0</v>
      </c>
      <c r="Q74" s="741">
        <f t="shared" si="46"/>
        <v>0.21</v>
      </c>
      <c r="R74" s="740">
        <v>0</v>
      </c>
      <c r="S74" s="741">
        <f t="shared" si="46"/>
        <v>0.21</v>
      </c>
      <c r="T74" s="740">
        <v>0</v>
      </c>
      <c r="U74" s="741">
        <f t="shared" si="46"/>
        <v>0.21</v>
      </c>
      <c r="V74" s="740">
        <v>0</v>
      </c>
      <c r="W74" s="741">
        <f t="shared" si="46"/>
        <v>0.21</v>
      </c>
      <c r="X74" s="647"/>
      <c r="Y74" s="740"/>
      <c r="Z74" s="741">
        <f t="shared" si="47"/>
        <v>0.21</v>
      </c>
      <c r="AA74" s="740">
        <f t="shared" si="48"/>
        <v>0</v>
      </c>
      <c r="AB74" s="741">
        <f t="shared" si="49"/>
        <v>0.21</v>
      </c>
      <c r="AC74" s="740">
        <v>0</v>
      </c>
      <c r="AD74" s="741">
        <f t="shared" si="49"/>
        <v>0.21</v>
      </c>
      <c r="AE74" s="740">
        <v>0</v>
      </c>
      <c r="AF74" s="741">
        <f t="shared" si="49"/>
        <v>0.21</v>
      </c>
      <c r="AG74" s="740">
        <v>0</v>
      </c>
      <c r="AH74" s="741">
        <f t="shared" si="49"/>
        <v>0.21</v>
      </c>
      <c r="AI74" s="18"/>
      <c r="AJ74" s="18"/>
      <c r="AL74" s="423">
        <f t="shared" si="0"/>
        <v>0</v>
      </c>
      <c r="AN74" s="599">
        <f>IFERROR(K74*$AO$5/$AR$5,0)</f>
        <v>0</v>
      </c>
      <c r="AO74" s="599">
        <f>IFERROR(K74*$AP$5/$AR$5,0)</f>
        <v>0</v>
      </c>
      <c r="AP74" s="599">
        <f>IFERROR(K74*$AQ$5/$AR$5,0)</f>
        <v>0</v>
      </c>
    </row>
    <row r="75" spans="2:42" x14ac:dyDescent="0.3">
      <c r="B75" s="748" t="s">
        <v>466</v>
      </c>
      <c r="C75" s="740">
        <v>0</v>
      </c>
      <c r="D75" s="741">
        <f t="shared" si="41"/>
        <v>0.21</v>
      </c>
      <c r="E75" s="740">
        <f t="shared" si="42"/>
        <v>0</v>
      </c>
      <c r="F75" s="741">
        <f t="shared" si="43"/>
        <v>0.21</v>
      </c>
      <c r="G75" s="740">
        <v>0</v>
      </c>
      <c r="H75" s="741">
        <f t="shared" si="43"/>
        <v>0.21</v>
      </c>
      <c r="I75" s="740">
        <v>0</v>
      </c>
      <c r="J75" s="741">
        <f t="shared" si="43"/>
        <v>0.21</v>
      </c>
      <c r="K75" s="740">
        <v>0</v>
      </c>
      <c r="L75" s="741">
        <f t="shared" si="43"/>
        <v>0.21</v>
      </c>
      <c r="M75" s="629"/>
      <c r="N75" s="740"/>
      <c r="O75" s="741">
        <f t="shared" si="44"/>
        <v>0.21</v>
      </c>
      <c r="P75" s="740">
        <f t="shared" si="45"/>
        <v>0</v>
      </c>
      <c r="Q75" s="741">
        <f t="shared" si="46"/>
        <v>0.21</v>
      </c>
      <c r="R75" s="740">
        <v>0</v>
      </c>
      <c r="S75" s="741">
        <f t="shared" si="46"/>
        <v>0.21</v>
      </c>
      <c r="T75" s="740">
        <v>0</v>
      </c>
      <c r="U75" s="741">
        <f t="shared" si="46"/>
        <v>0.21</v>
      </c>
      <c r="V75" s="740">
        <v>0</v>
      </c>
      <c r="W75" s="741">
        <f t="shared" si="46"/>
        <v>0.21</v>
      </c>
      <c r="X75" s="647"/>
      <c r="Y75" s="740"/>
      <c r="Z75" s="741">
        <f t="shared" si="47"/>
        <v>0.21</v>
      </c>
      <c r="AA75" s="740">
        <f t="shared" si="48"/>
        <v>0</v>
      </c>
      <c r="AB75" s="741">
        <f t="shared" si="49"/>
        <v>0.21</v>
      </c>
      <c r="AC75" s="740">
        <v>0</v>
      </c>
      <c r="AD75" s="741">
        <f t="shared" si="49"/>
        <v>0.21</v>
      </c>
      <c r="AE75" s="740">
        <v>0</v>
      </c>
      <c r="AF75" s="741">
        <f t="shared" si="49"/>
        <v>0.21</v>
      </c>
      <c r="AG75" s="740">
        <v>0</v>
      </c>
      <c r="AH75" s="741">
        <f t="shared" si="49"/>
        <v>0.21</v>
      </c>
      <c r="AI75" s="18"/>
      <c r="AJ75" s="18"/>
      <c r="AL75" s="423">
        <f t="shared" si="0"/>
        <v>0</v>
      </c>
      <c r="AN75" s="599">
        <f>IFERROR(K75*$AO$5/$AR$5,0)</f>
        <v>0</v>
      </c>
      <c r="AO75" s="599">
        <f>IFERROR(K75*$AP$5/$AR$5,0)</f>
        <v>0</v>
      </c>
      <c r="AP75" s="599">
        <f>IFERROR(K75*$AQ$5/$AR$5,0)</f>
        <v>0</v>
      </c>
    </row>
    <row r="76" spans="2:42" x14ac:dyDescent="0.3">
      <c r="B76" s="748" t="s">
        <v>467</v>
      </c>
      <c r="C76" s="740">
        <v>0</v>
      </c>
      <c r="D76" s="741">
        <f t="shared" si="41"/>
        <v>0.21</v>
      </c>
      <c r="E76" s="740">
        <f t="shared" si="42"/>
        <v>0</v>
      </c>
      <c r="F76" s="741">
        <f t="shared" si="43"/>
        <v>0.21</v>
      </c>
      <c r="G76" s="740">
        <v>0</v>
      </c>
      <c r="H76" s="741">
        <f t="shared" si="43"/>
        <v>0.21</v>
      </c>
      <c r="I76" s="740">
        <v>0</v>
      </c>
      <c r="J76" s="741">
        <f t="shared" si="43"/>
        <v>0.21</v>
      </c>
      <c r="K76" s="740">
        <v>0</v>
      </c>
      <c r="L76" s="741">
        <f t="shared" si="43"/>
        <v>0.21</v>
      </c>
      <c r="M76" s="629"/>
      <c r="N76" s="740"/>
      <c r="O76" s="741">
        <f t="shared" si="44"/>
        <v>0.21</v>
      </c>
      <c r="P76" s="740">
        <f t="shared" si="45"/>
        <v>0</v>
      </c>
      <c r="Q76" s="741">
        <f t="shared" si="46"/>
        <v>0.21</v>
      </c>
      <c r="R76" s="740">
        <v>0</v>
      </c>
      <c r="S76" s="741">
        <f t="shared" si="46"/>
        <v>0.21</v>
      </c>
      <c r="T76" s="740">
        <v>0</v>
      </c>
      <c r="U76" s="741">
        <f t="shared" si="46"/>
        <v>0.21</v>
      </c>
      <c r="V76" s="740">
        <v>0</v>
      </c>
      <c r="W76" s="741">
        <f t="shared" si="46"/>
        <v>0.21</v>
      </c>
      <c r="X76" s="647"/>
      <c r="Y76" s="740"/>
      <c r="Z76" s="741">
        <f t="shared" si="47"/>
        <v>0.21</v>
      </c>
      <c r="AA76" s="740">
        <f t="shared" si="48"/>
        <v>0</v>
      </c>
      <c r="AB76" s="741">
        <f t="shared" si="49"/>
        <v>0.21</v>
      </c>
      <c r="AC76" s="740">
        <v>0</v>
      </c>
      <c r="AD76" s="741">
        <f t="shared" si="49"/>
        <v>0.21</v>
      </c>
      <c r="AE76" s="740">
        <v>0</v>
      </c>
      <c r="AF76" s="741">
        <f t="shared" si="49"/>
        <v>0.21</v>
      </c>
      <c r="AG76" s="740">
        <v>0</v>
      </c>
      <c r="AH76" s="741">
        <f t="shared" si="49"/>
        <v>0.21</v>
      </c>
      <c r="AI76" s="18"/>
      <c r="AJ76" s="18"/>
      <c r="AL76" s="423">
        <f t="shared" si="0"/>
        <v>0</v>
      </c>
      <c r="AN76" s="599">
        <f>IFERROR(K76*$AO$5/$AR$5,0)</f>
        <v>0</v>
      </c>
      <c r="AO76" s="599">
        <f>IFERROR(K76*$AP$5/$AR$5,0)</f>
        <v>0</v>
      </c>
      <c r="AP76" s="599">
        <f>IFERROR(K76*$AQ$5/$AR$5,0)</f>
        <v>0</v>
      </c>
    </row>
    <row r="77" spans="2:42" x14ac:dyDescent="0.3">
      <c r="B77" s="744" t="s">
        <v>468</v>
      </c>
      <c r="C77" s="740">
        <v>0</v>
      </c>
      <c r="D77" s="741">
        <f t="shared" si="41"/>
        <v>0.21</v>
      </c>
      <c r="E77" s="740">
        <f t="shared" si="42"/>
        <v>0</v>
      </c>
      <c r="F77" s="741">
        <f t="shared" si="43"/>
        <v>0.21</v>
      </c>
      <c r="G77" s="740">
        <v>0</v>
      </c>
      <c r="H77" s="741">
        <f t="shared" si="43"/>
        <v>0.21</v>
      </c>
      <c r="I77" s="740">
        <v>0</v>
      </c>
      <c r="J77" s="741">
        <f t="shared" si="43"/>
        <v>0.21</v>
      </c>
      <c r="K77" s="740">
        <v>0</v>
      </c>
      <c r="L77" s="741">
        <f t="shared" si="43"/>
        <v>0.21</v>
      </c>
      <c r="M77" s="629"/>
      <c r="N77" s="740"/>
      <c r="O77" s="741">
        <f t="shared" si="44"/>
        <v>0.21</v>
      </c>
      <c r="P77" s="740">
        <f t="shared" si="45"/>
        <v>0</v>
      </c>
      <c r="Q77" s="741">
        <f t="shared" si="46"/>
        <v>0.21</v>
      </c>
      <c r="R77" s="740">
        <v>0</v>
      </c>
      <c r="S77" s="741">
        <f t="shared" si="46"/>
        <v>0.21</v>
      </c>
      <c r="T77" s="740">
        <v>0</v>
      </c>
      <c r="U77" s="741">
        <f t="shared" si="46"/>
        <v>0.21</v>
      </c>
      <c r="V77" s="740">
        <v>0</v>
      </c>
      <c r="W77" s="741">
        <f t="shared" si="46"/>
        <v>0.21</v>
      </c>
      <c r="X77" s="647"/>
      <c r="Y77" s="740"/>
      <c r="Z77" s="741">
        <f t="shared" si="47"/>
        <v>0.21</v>
      </c>
      <c r="AA77" s="740">
        <f t="shared" si="48"/>
        <v>0</v>
      </c>
      <c r="AB77" s="741">
        <f t="shared" si="49"/>
        <v>0.21</v>
      </c>
      <c r="AC77" s="740">
        <v>0</v>
      </c>
      <c r="AD77" s="741">
        <f t="shared" si="49"/>
        <v>0.21</v>
      </c>
      <c r="AE77" s="740">
        <v>0</v>
      </c>
      <c r="AF77" s="741">
        <f t="shared" si="49"/>
        <v>0.21</v>
      </c>
      <c r="AG77" s="740">
        <v>0</v>
      </c>
      <c r="AH77" s="741">
        <f t="shared" si="49"/>
        <v>0.21</v>
      </c>
      <c r="AI77" s="18"/>
      <c r="AJ77" s="18"/>
      <c r="AL77" s="423">
        <f t="shared" si="0"/>
        <v>0</v>
      </c>
      <c r="AN77" s="599"/>
      <c r="AO77" s="599"/>
      <c r="AP77" s="599"/>
    </row>
    <row r="78" spans="2:42" x14ac:dyDescent="0.3">
      <c r="B78" s="744" t="s">
        <v>469</v>
      </c>
      <c r="C78" s="740">
        <v>0</v>
      </c>
      <c r="D78" s="741">
        <f t="shared" si="41"/>
        <v>0.21</v>
      </c>
      <c r="E78" s="740">
        <f t="shared" si="42"/>
        <v>0</v>
      </c>
      <c r="F78" s="741">
        <f t="shared" si="43"/>
        <v>0.21</v>
      </c>
      <c r="G78" s="740">
        <v>0</v>
      </c>
      <c r="H78" s="741">
        <f t="shared" si="43"/>
        <v>0.21</v>
      </c>
      <c r="I78" s="740">
        <v>0</v>
      </c>
      <c r="J78" s="741">
        <f t="shared" si="43"/>
        <v>0.21</v>
      </c>
      <c r="K78" s="740">
        <v>0</v>
      </c>
      <c r="L78" s="741">
        <f t="shared" si="43"/>
        <v>0.21</v>
      </c>
      <c r="M78" s="629"/>
      <c r="N78" s="740"/>
      <c r="O78" s="741">
        <f t="shared" si="44"/>
        <v>0.21</v>
      </c>
      <c r="P78" s="740">
        <f t="shared" si="45"/>
        <v>0</v>
      </c>
      <c r="Q78" s="741">
        <f t="shared" si="46"/>
        <v>0.21</v>
      </c>
      <c r="R78" s="740">
        <v>0</v>
      </c>
      <c r="S78" s="741">
        <f t="shared" si="46"/>
        <v>0.21</v>
      </c>
      <c r="T78" s="740">
        <v>0</v>
      </c>
      <c r="U78" s="741">
        <f t="shared" si="46"/>
        <v>0.21</v>
      </c>
      <c r="V78" s="740">
        <v>0</v>
      </c>
      <c r="W78" s="741">
        <f t="shared" si="46"/>
        <v>0.21</v>
      </c>
      <c r="X78" s="647"/>
      <c r="Y78" s="740"/>
      <c r="Z78" s="741">
        <f t="shared" si="47"/>
        <v>0.21</v>
      </c>
      <c r="AA78" s="740">
        <f t="shared" si="48"/>
        <v>0</v>
      </c>
      <c r="AB78" s="741">
        <f t="shared" si="49"/>
        <v>0.21</v>
      </c>
      <c r="AC78" s="740">
        <v>0</v>
      </c>
      <c r="AD78" s="741">
        <f t="shared" si="49"/>
        <v>0.21</v>
      </c>
      <c r="AE78" s="740">
        <v>0</v>
      </c>
      <c r="AF78" s="741">
        <f t="shared" si="49"/>
        <v>0.21</v>
      </c>
      <c r="AG78" s="740">
        <v>0</v>
      </c>
      <c r="AH78" s="741">
        <f t="shared" si="49"/>
        <v>0.21</v>
      </c>
      <c r="AI78" s="18"/>
      <c r="AJ78" s="18"/>
      <c r="AL78" s="423">
        <f t="shared" si="0"/>
        <v>0</v>
      </c>
      <c r="AN78" s="599">
        <f>IFERROR(K78*$AO$5/$AR$5,0)</f>
        <v>0</v>
      </c>
      <c r="AO78" s="599">
        <f>IFERROR(K78*$AP$5/$AR$5,0)</f>
        <v>0</v>
      </c>
      <c r="AP78" s="599">
        <f>IFERROR(K78*$AQ$5/$AR$5,0)</f>
        <v>0</v>
      </c>
    </row>
    <row r="79" spans="2:42" x14ac:dyDescent="0.3">
      <c r="B79" s="737" t="s">
        <v>431</v>
      </c>
      <c r="C79" s="740">
        <f>C63-SUM(C68:C78)</f>
        <v>0</v>
      </c>
      <c r="D79" s="741">
        <f t="shared" si="41"/>
        <v>0.21</v>
      </c>
      <c r="E79" s="740">
        <f>E63-SUM(E68:E78)</f>
        <v>0</v>
      </c>
      <c r="F79" s="741">
        <f t="shared" si="43"/>
        <v>0.21</v>
      </c>
      <c r="G79" s="740">
        <f>G63-SUM(G68:G78)</f>
        <v>0</v>
      </c>
      <c r="H79" s="741">
        <f t="shared" si="43"/>
        <v>0.21</v>
      </c>
      <c r="I79" s="740">
        <f>I63-SUM(I68:I78)</f>
        <v>0</v>
      </c>
      <c r="J79" s="741">
        <f t="shared" si="43"/>
        <v>0.21</v>
      </c>
      <c r="K79" s="740">
        <f>K63-SUM(K68:K78)</f>
        <v>0</v>
      </c>
      <c r="L79" s="741">
        <f t="shared" si="43"/>
        <v>0.21</v>
      </c>
      <c r="M79" s="629"/>
      <c r="N79" s="740">
        <f>N63-SUM(N68:N78)</f>
        <v>0</v>
      </c>
      <c r="O79" s="741">
        <f t="shared" si="44"/>
        <v>0.21</v>
      </c>
      <c r="P79" s="740">
        <f>P63-SUM(P68:P78)</f>
        <v>0</v>
      </c>
      <c r="Q79" s="741">
        <f t="shared" si="46"/>
        <v>0.21</v>
      </c>
      <c r="R79" s="740">
        <f>R63-SUM(R68:R78)</f>
        <v>0</v>
      </c>
      <c r="S79" s="741">
        <f t="shared" si="46"/>
        <v>0.21</v>
      </c>
      <c r="T79" s="740">
        <f>T63-SUM(T68:T78)</f>
        <v>0</v>
      </c>
      <c r="U79" s="741">
        <f t="shared" si="46"/>
        <v>0.21</v>
      </c>
      <c r="V79" s="740">
        <f>V63-SUM(V68:V78)</f>
        <v>0</v>
      </c>
      <c r="W79" s="741">
        <f t="shared" si="46"/>
        <v>0.21</v>
      </c>
      <c r="X79" s="647"/>
      <c r="Y79" s="740">
        <f>Y63-SUM(Y68:Y78)</f>
        <v>0</v>
      </c>
      <c r="Z79" s="741">
        <f t="shared" si="47"/>
        <v>0.21</v>
      </c>
      <c r="AA79" s="740">
        <f>AA63-SUM(AA68:AA78)</f>
        <v>0</v>
      </c>
      <c r="AB79" s="741">
        <f t="shared" si="49"/>
        <v>0.21</v>
      </c>
      <c r="AC79" s="740">
        <f>AC63-SUM(AC68:AC78)</f>
        <v>0</v>
      </c>
      <c r="AD79" s="741">
        <f t="shared" si="49"/>
        <v>0.21</v>
      </c>
      <c r="AE79" s="740">
        <f>AE63-SUM(AE68:AE78)</f>
        <v>0</v>
      </c>
      <c r="AF79" s="741">
        <f t="shared" si="49"/>
        <v>0.21</v>
      </c>
      <c r="AG79" s="740">
        <f>AG63-SUM(AG68:AG78)</f>
        <v>0</v>
      </c>
      <c r="AH79" s="741">
        <f t="shared" si="49"/>
        <v>0.21</v>
      </c>
      <c r="AI79" s="18"/>
      <c r="AJ79" s="18"/>
      <c r="AL79" s="423">
        <f t="shared" si="0"/>
        <v>0</v>
      </c>
      <c r="AN79" s="599">
        <f>IFERROR(K79*$AO$5/$AR$5,0)</f>
        <v>0</v>
      </c>
      <c r="AO79" s="599">
        <f>IFERROR(K79*$AP$5/$AR$5,0)</f>
        <v>0</v>
      </c>
      <c r="AP79" s="599">
        <f>IFERROR(K79*$AQ$5/$AR$5,0)</f>
        <v>0</v>
      </c>
    </row>
    <row r="80" spans="2:42"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t="s">
        <v>470</v>
      </c>
      <c r="AN80" s="599">
        <f>IFERROR(K80*$AO$5/$AR$5,0)</f>
        <v>0</v>
      </c>
      <c r="AO80" s="599">
        <f>IFERROR(K80*$AP$5/$AR$5,0)</f>
        <v>0</v>
      </c>
      <c r="AP80" s="599">
        <f>IFERROR(K80*$AQ$5/$AR$5,0)</f>
        <v>0</v>
      </c>
    </row>
    <row r="81" spans="2:42" ht="15" thickBot="1" x14ac:dyDescent="0.35">
      <c r="B81" s="307" t="s">
        <v>471</v>
      </c>
      <c r="C81" s="326">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L81" s="819">
        <f t="shared" si="0"/>
        <v>0</v>
      </c>
      <c r="AN81" s="599"/>
    </row>
    <row r="82" spans="2:42" x14ac:dyDescent="0.3">
      <c r="B82" s="54"/>
      <c r="C82" s="978"/>
      <c r="D82" s="978"/>
      <c r="E82" s="978"/>
      <c r="F82" s="978"/>
      <c r="G82" s="978"/>
      <c r="H82" s="978"/>
      <c r="I82" s="978"/>
      <c r="J82" s="978"/>
      <c r="K82" s="51"/>
      <c r="L82" s="18"/>
      <c r="M82" s="18"/>
      <c r="N82" s="978"/>
      <c r="O82" s="978"/>
      <c r="P82" s="978"/>
      <c r="Q82" s="978"/>
      <c r="R82" s="978"/>
      <c r="S82" s="978"/>
      <c r="T82" s="978"/>
      <c r="U82" s="978"/>
      <c r="V82" s="51"/>
      <c r="W82" s="18"/>
      <c r="X82" s="18"/>
      <c r="Y82" s="978"/>
      <c r="Z82" s="978"/>
      <c r="AA82" s="978"/>
      <c r="AB82" s="978"/>
      <c r="AC82" s="978"/>
      <c r="AD82" s="978"/>
      <c r="AE82" s="978"/>
      <c r="AF82" s="978"/>
      <c r="AG82" s="51"/>
      <c r="AH82" s="18"/>
      <c r="AI82" s="18"/>
      <c r="AL82" s="423"/>
      <c r="AN82" s="423"/>
    </row>
    <row r="83" spans="2:42" ht="15" thickBot="1" x14ac:dyDescent="0.35">
      <c r="B83" s="977" t="s">
        <v>472</v>
      </c>
      <c r="C83" s="978"/>
      <c r="D83" s="978"/>
      <c r="E83" s="978"/>
      <c r="F83" s="978"/>
      <c r="G83" s="978"/>
      <c r="H83" s="978"/>
      <c r="I83" s="978">
        <f>I48*$F$10+I55*J55+I49*J49+I51*J51+I63+I63*J64+I61+I16+I54*J54+I56*J56+I57*J57+I58*J58+I59*J59+I60*J60</f>
        <v>0</v>
      </c>
      <c r="J83" s="978"/>
      <c r="K83" s="978">
        <f>K48*$F$10+K55*L55+K49*L49+K51*L51+K63+K63*L64+K61+K16+K54*L54+K56*L56+K57*L57+K58*L58+K59*L59+K60*L60</f>
        <v>0</v>
      </c>
      <c r="L83" s="18"/>
      <c r="M83" s="18"/>
      <c r="N83" s="978"/>
      <c r="O83" s="978"/>
      <c r="P83" s="978"/>
      <c r="Q83" s="978"/>
      <c r="R83" s="978"/>
      <c r="S83" s="978"/>
      <c r="T83" s="978">
        <f>T48*$Q$10+T55*U55+T49*U49+T51*U51+T63+T63*U64+T61+T16+T54*U54+T56*U56+T57*U57+T58*U58+T59*U59+T60*U60</f>
        <v>0</v>
      </c>
      <c r="U83" s="978"/>
      <c r="V83" s="978">
        <f>V48*$Q$10+V55*W55+V49*W49+V51*W51+V63+V63*W64+V61+V16+V54*W54+V56*W56+V57*W57+V58*W58+V59*W59+V60*W60</f>
        <v>0</v>
      </c>
      <c r="W83" s="18"/>
      <c r="X83" s="18"/>
      <c r="Y83" s="978"/>
      <c r="Z83" s="978"/>
      <c r="AA83" s="978"/>
      <c r="AB83" s="978"/>
      <c r="AC83" s="978"/>
      <c r="AD83" s="978"/>
      <c r="AE83" s="978">
        <f>AE48*$AB$10+AE55*AF55+AE49*AF49+AE51*AF51+AE63+AE63*AF64+AE61+AE16+AE54*AF54+AE56*AF56+AE57*AF57+AE58*AF58+AE59*AF59+AE60*AF60</f>
        <v>0</v>
      </c>
      <c r="AF83" s="978"/>
      <c r="AG83" s="978">
        <f>AG48*$AB$10+AG55*AH55+AG49*AH49+AG51*AH51+AG63+AG63*AH64+AG61+AG16+AG54*AH54+AG56*AH56+AG57*AH57+AG58*AH58+AG59*AH59+AG60*AH60</f>
        <v>0</v>
      </c>
      <c r="AH83" s="18"/>
      <c r="AI83" s="18"/>
      <c r="AJ83" s="18"/>
      <c r="AL83" s="819"/>
      <c r="AN83" s="51"/>
      <c r="AO83" s="423"/>
      <c r="AP83" s="423"/>
    </row>
    <row r="84" spans="2:42" ht="15" thickBot="1" x14ac:dyDescent="0.35">
      <c r="AI84" s="18"/>
      <c r="AJ84" s="18"/>
      <c r="AN84" s="597">
        <f>SUM(AN62:AN64)+AN16+AN20</f>
        <v>0</v>
      </c>
      <c r="AO84" s="599">
        <f>IFERROR(K84*$AP$5/$AR$5,0)</f>
        <v>0</v>
      </c>
      <c r="AP84" s="599">
        <f>IFERROR(K84*$AQ$5/$AR$5,0)</f>
        <v>0</v>
      </c>
    </row>
    <row r="85" spans="2:42" x14ac:dyDescent="0.3">
      <c r="B85" s="307" t="s">
        <v>61</v>
      </c>
      <c r="C85" s="102" t="s">
        <v>406</v>
      </c>
      <c r="D85" s="103"/>
      <c r="E85" s="102" t="s">
        <v>408</v>
      </c>
      <c r="F85" s="103"/>
      <c r="G85" s="104" t="s">
        <v>409</v>
      </c>
      <c r="H85" s="103"/>
      <c r="I85" s="104" t="s">
        <v>410</v>
      </c>
      <c r="J85" s="103"/>
      <c r="K85" s="104" t="s">
        <v>411</v>
      </c>
      <c r="L85" s="105"/>
      <c r="M85" s="480"/>
      <c r="N85" s="102" t="s">
        <v>473</v>
      </c>
      <c r="O85" s="103"/>
      <c r="P85" s="102" t="s">
        <v>408</v>
      </c>
      <c r="Q85" s="103"/>
      <c r="R85" s="104" t="s">
        <v>409</v>
      </c>
      <c r="S85" s="103"/>
      <c r="T85" s="104" t="s">
        <v>410</v>
      </c>
      <c r="U85" s="103"/>
      <c r="V85" s="104" t="s">
        <v>411</v>
      </c>
      <c r="W85" s="105"/>
      <c r="X85" s="480"/>
      <c r="Y85" s="102" t="s">
        <v>473</v>
      </c>
      <c r="Z85" s="103"/>
      <c r="AA85" s="102" t="s">
        <v>408</v>
      </c>
      <c r="AB85" s="103"/>
      <c r="AC85" s="104" t="s">
        <v>409</v>
      </c>
      <c r="AD85" s="103"/>
      <c r="AE85" s="104" t="s">
        <v>410</v>
      </c>
      <c r="AF85" s="103"/>
      <c r="AG85" s="104" t="s">
        <v>411</v>
      </c>
      <c r="AH85" s="105"/>
      <c r="AJ85" t="s">
        <v>474</v>
      </c>
      <c r="AN85" s="599"/>
    </row>
    <row r="86" spans="2:42" x14ac:dyDescent="0.3">
      <c r="B86" s="22" t="s">
        <v>475</v>
      </c>
      <c r="C86" s="439">
        <f>'Overzicht BTA'!D15</f>
        <v>0</v>
      </c>
      <c r="D86" s="323" t="s">
        <v>476</v>
      </c>
      <c r="E86" s="439">
        <f>'Overzicht BTA'!D59</f>
        <v>0</v>
      </c>
      <c r="F86" s="323" t="s">
        <v>476</v>
      </c>
      <c r="G86" s="439">
        <f>E86</f>
        <v>0</v>
      </c>
      <c r="H86" s="323" t="s">
        <v>476</v>
      </c>
      <c r="I86" s="439">
        <f>E86</f>
        <v>0</v>
      </c>
      <c r="J86" s="323" t="s">
        <v>476</v>
      </c>
      <c r="K86" s="439">
        <f>C86</f>
        <v>0</v>
      </c>
      <c r="L86" s="323" t="s">
        <v>476</v>
      </c>
      <c r="M86" s="321"/>
      <c r="N86" s="439">
        <f>'Overzicht BTA'!O15</f>
        <v>0</v>
      </c>
      <c r="O86" s="323" t="s">
        <v>476</v>
      </c>
      <c r="P86" s="439">
        <f>'Overzicht BTA'!J59</f>
        <v>0</v>
      </c>
      <c r="Q86" s="323" t="s">
        <v>476</v>
      </c>
      <c r="R86" s="439">
        <f>N86</f>
        <v>0</v>
      </c>
      <c r="S86" s="323" t="s">
        <v>476</v>
      </c>
      <c r="T86" s="439">
        <f>N86</f>
        <v>0</v>
      </c>
      <c r="U86" s="323" t="s">
        <v>476</v>
      </c>
      <c r="V86" s="439">
        <f>N86</f>
        <v>0</v>
      </c>
      <c r="W86" s="323" t="s">
        <v>476</v>
      </c>
      <c r="X86" s="649"/>
      <c r="Y86" s="439">
        <f>'Overzicht BTA'!Z15</f>
        <v>0</v>
      </c>
      <c r="Z86" s="323" t="s">
        <v>476</v>
      </c>
      <c r="AA86" s="439">
        <f>'Overzicht BTA'!P59</f>
        <v>0</v>
      </c>
      <c r="AB86" s="323" t="s">
        <v>476</v>
      </c>
      <c r="AC86" s="439">
        <f>Y86</f>
        <v>0</v>
      </c>
      <c r="AD86" s="323" t="s">
        <v>476</v>
      </c>
      <c r="AE86" s="439">
        <f>Y86</f>
        <v>0</v>
      </c>
      <c r="AF86" s="323" t="s">
        <v>476</v>
      </c>
      <c r="AG86" s="439">
        <f>Y86</f>
        <v>0</v>
      </c>
      <c r="AH86" s="323" t="s">
        <v>476</v>
      </c>
      <c r="AN86" s="599"/>
    </row>
    <row r="87" spans="2:42" x14ac:dyDescent="0.3">
      <c r="B87" s="916" t="s">
        <v>477</v>
      </c>
      <c r="C87" s="439">
        <f>'Overzicht BTA'!D16</f>
        <v>0</v>
      </c>
      <c r="D87" s="323" t="s">
        <v>476</v>
      </c>
      <c r="E87" s="439">
        <f>'Overzicht project'!E8</f>
        <v>0</v>
      </c>
      <c r="F87" s="323" t="s">
        <v>476</v>
      </c>
      <c r="G87" s="439">
        <f>'Overzicht BTA'!D60</f>
        <v>0</v>
      </c>
      <c r="H87" s="323" t="s">
        <v>476</v>
      </c>
      <c r="I87" s="439">
        <f>C87</f>
        <v>0</v>
      </c>
      <c r="J87" s="323" t="s">
        <v>476</v>
      </c>
      <c r="K87" s="439">
        <f>C87</f>
        <v>0</v>
      </c>
      <c r="L87" s="323" t="s">
        <v>476</v>
      </c>
      <c r="M87" s="321"/>
      <c r="N87" s="439">
        <f>'Overzicht BTA'!O16</f>
        <v>0</v>
      </c>
      <c r="O87" s="323" t="s">
        <v>476</v>
      </c>
      <c r="P87" s="439">
        <f>'Overzicht BTA'!J60</f>
        <v>0</v>
      </c>
      <c r="Q87" s="323" t="s">
        <v>476</v>
      </c>
      <c r="R87" s="439">
        <f>N87</f>
        <v>0</v>
      </c>
      <c r="S87" s="323" t="s">
        <v>476</v>
      </c>
      <c r="T87" s="439">
        <f>N87</f>
        <v>0</v>
      </c>
      <c r="U87" s="323" t="s">
        <v>476</v>
      </c>
      <c r="V87" s="439">
        <f>N87</f>
        <v>0</v>
      </c>
      <c r="W87" s="323" t="s">
        <v>476</v>
      </c>
      <c r="X87" s="649"/>
      <c r="Y87" s="439">
        <f>'Overzicht BTA'!Z16</f>
        <v>0</v>
      </c>
      <c r="Z87" s="323" t="s">
        <v>476</v>
      </c>
      <c r="AA87" s="439">
        <f>'Overzicht BTA'!P60</f>
        <v>0</v>
      </c>
      <c r="AB87" s="323" t="s">
        <v>476</v>
      </c>
      <c r="AC87" s="439">
        <v>0</v>
      </c>
      <c r="AD87" s="323"/>
      <c r="AE87" s="439">
        <v>0</v>
      </c>
      <c r="AF87" s="323"/>
      <c r="AG87" s="439">
        <v>0</v>
      </c>
      <c r="AH87" s="323"/>
      <c r="AN87" s="599">
        <f>IFERROR(K87*$AO$5/$AR$5,0)</f>
        <v>0</v>
      </c>
      <c r="AO87" s="599">
        <f>IFERROR(K87*$AP$5/$AR$5,0)</f>
        <v>0</v>
      </c>
      <c r="AP87" s="599">
        <f>IFERROR(K87*$AQ$5/$AR$5,0)</f>
        <v>0</v>
      </c>
    </row>
    <row r="88" spans="2:42" x14ac:dyDescent="0.3">
      <c r="B88" s="983" t="s">
        <v>478</v>
      </c>
      <c r="C88" s="439">
        <f>'Overzicht BTA'!D17</f>
        <v>0</v>
      </c>
      <c r="D88" s="323" t="s">
        <v>476</v>
      </c>
      <c r="E88" s="439">
        <f>'Overzicht project'!E9</f>
        <v>0</v>
      </c>
      <c r="F88" s="323" t="s">
        <v>476</v>
      </c>
      <c r="G88" s="439">
        <f>'Overzicht BTA'!D61</f>
        <v>0</v>
      </c>
      <c r="H88" s="323" t="s">
        <v>476</v>
      </c>
      <c r="I88" s="439">
        <f>C88</f>
        <v>0</v>
      </c>
      <c r="J88" s="323" t="s">
        <v>476</v>
      </c>
      <c r="K88" s="439">
        <f>C88</f>
        <v>0</v>
      </c>
      <c r="L88" s="323" t="s">
        <v>476</v>
      </c>
      <c r="M88" s="321"/>
      <c r="N88" s="439">
        <f>'Overzicht BTA'!O17</f>
        <v>0</v>
      </c>
      <c r="O88" s="323" t="s">
        <v>476</v>
      </c>
      <c r="P88" s="439">
        <f>'Overzicht BTA'!J61</f>
        <v>0</v>
      </c>
      <c r="Q88" s="323" t="s">
        <v>476</v>
      </c>
      <c r="R88" s="439">
        <f>N88</f>
        <v>0</v>
      </c>
      <c r="S88" s="323" t="s">
        <v>476</v>
      </c>
      <c r="T88" s="439">
        <f>N88</f>
        <v>0</v>
      </c>
      <c r="U88" s="323" t="s">
        <v>476</v>
      </c>
      <c r="V88" s="439">
        <f>N88</f>
        <v>0</v>
      </c>
      <c r="W88" s="323" t="s">
        <v>476</v>
      </c>
      <c r="X88" s="649"/>
      <c r="Y88" s="439">
        <f>'Overzicht BTA'!Z17</f>
        <v>0</v>
      </c>
      <c r="Z88" s="323" t="s">
        <v>476</v>
      </c>
      <c r="AA88" s="439">
        <f>'Overzicht BTA'!P61</f>
        <v>0</v>
      </c>
      <c r="AB88" s="323" t="s">
        <v>476</v>
      </c>
      <c r="AC88" s="439"/>
      <c r="AD88" s="323"/>
      <c r="AE88" s="439"/>
      <c r="AF88" s="323"/>
      <c r="AG88" s="439"/>
      <c r="AH88" s="323"/>
      <c r="AN88" s="599"/>
      <c r="AO88" s="599"/>
      <c r="AP88" s="599"/>
    </row>
    <row r="89" spans="2:42" x14ac:dyDescent="0.3">
      <c r="B89" s="917" t="s">
        <v>130</v>
      </c>
      <c r="C89" s="439">
        <v>0</v>
      </c>
      <c r="D89" s="323" t="s">
        <v>476</v>
      </c>
      <c r="E89" s="439">
        <v>0</v>
      </c>
      <c r="F89" s="323" t="s">
        <v>476</v>
      </c>
      <c r="G89" s="439">
        <f>E89</f>
        <v>0</v>
      </c>
      <c r="H89" s="323" t="s">
        <v>476</v>
      </c>
      <c r="I89" s="439">
        <f>G89</f>
        <v>0</v>
      </c>
      <c r="J89" s="323" t="s">
        <v>476</v>
      </c>
      <c r="K89" s="439">
        <f>I89</f>
        <v>0</v>
      </c>
      <c r="L89" s="323" t="s">
        <v>476</v>
      </c>
      <c r="M89" s="321"/>
      <c r="N89" s="439">
        <v>0</v>
      </c>
      <c r="O89" s="323" t="s">
        <v>476</v>
      </c>
      <c r="P89" s="439">
        <v>0</v>
      </c>
      <c r="Q89" s="323" t="s">
        <v>476</v>
      </c>
      <c r="R89" s="439">
        <f>N89</f>
        <v>0</v>
      </c>
      <c r="S89" s="323" t="s">
        <v>476</v>
      </c>
      <c r="T89" s="439">
        <f>N89</f>
        <v>0</v>
      </c>
      <c r="U89" s="323" t="s">
        <v>476</v>
      </c>
      <c r="V89" s="439">
        <f>N89</f>
        <v>0</v>
      </c>
      <c r="W89" s="323" t="s">
        <v>476</v>
      </c>
      <c r="X89" s="649"/>
      <c r="Y89" s="439">
        <v>0</v>
      </c>
      <c r="Z89" s="323" t="s">
        <v>476</v>
      </c>
      <c r="AA89" s="439">
        <v>0</v>
      </c>
      <c r="AB89" s="323" t="s">
        <v>476</v>
      </c>
      <c r="AC89" s="439">
        <v>0</v>
      </c>
      <c r="AD89" s="323"/>
      <c r="AE89" s="439">
        <v>0</v>
      </c>
      <c r="AF89" s="323"/>
      <c r="AG89" s="439">
        <v>0</v>
      </c>
      <c r="AH89" s="323"/>
      <c r="AN89" s="599">
        <f>IFERROR(K89*$AO$5/$AR$5,0)</f>
        <v>0</v>
      </c>
      <c r="AO89" s="599">
        <f>IFERROR(K89*$AP$5/$AR$5,0)</f>
        <v>0</v>
      </c>
      <c r="AP89" s="599">
        <f>IFERROR(K89*$AQ$5/$AR$5,0)</f>
        <v>0</v>
      </c>
    </row>
    <row r="90" spans="2:42" x14ac:dyDescent="0.3">
      <c r="B90" s="22" t="s">
        <v>479</v>
      </c>
      <c r="C90" s="439">
        <v>0</v>
      </c>
      <c r="D90" s="323" t="s">
        <v>476</v>
      </c>
      <c r="E90" s="439">
        <v>0</v>
      </c>
      <c r="F90" s="323" t="s">
        <v>476</v>
      </c>
      <c r="G90" s="439">
        <f>E90</f>
        <v>0</v>
      </c>
      <c r="H90" s="323" t="s">
        <v>476</v>
      </c>
      <c r="I90" s="439">
        <f>G90</f>
        <v>0</v>
      </c>
      <c r="J90" s="323" t="s">
        <v>476</v>
      </c>
      <c r="K90" s="439">
        <f>I90</f>
        <v>0</v>
      </c>
      <c r="L90" s="323" t="s">
        <v>476</v>
      </c>
      <c r="M90" s="321"/>
      <c r="N90" s="439">
        <v>0</v>
      </c>
      <c r="O90" s="323" t="s">
        <v>476</v>
      </c>
      <c r="P90" s="439">
        <v>0</v>
      </c>
      <c r="Q90" s="323" t="s">
        <v>476</v>
      </c>
      <c r="R90" s="439">
        <f>P90</f>
        <v>0</v>
      </c>
      <c r="S90" s="323" t="s">
        <v>476</v>
      </c>
      <c r="T90" s="439">
        <f>R90</f>
        <v>0</v>
      </c>
      <c r="U90" s="323" t="s">
        <v>476</v>
      </c>
      <c r="V90" s="439">
        <f>T90</f>
        <v>0</v>
      </c>
      <c r="W90" s="323" t="s">
        <v>476</v>
      </c>
      <c r="X90" s="649"/>
      <c r="Y90" s="439">
        <v>0</v>
      </c>
      <c r="Z90" s="323" t="s">
        <v>476</v>
      </c>
      <c r="AA90" s="439">
        <v>0</v>
      </c>
      <c r="AB90" s="323" t="s">
        <v>476</v>
      </c>
      <c r="AC90" s="439">
        <f>AA90</f>
        <v>0</v>
      </c>
      <c r="AD90" s="323" t="s">
        <v>476</v>
      </c>
      <c r="AE90" s="439">
        <f>AC90</f>
        <v>0</v>
      </c>
      <c r="AF90" s="323" t="s">
        <v>476</v>
      </c>
      <c r="AG90" s="439">
        <f>AE90</f>
        <v>0</v>
      </c>
      <c r="AH90" s="323" t="s">
        <v>476</v>
      </c>
      <c r="AN90" s="599">
        <f>IFERROR(K90*$AO$5/$AR$5,0)</f>
        <v>0</v>
      </c>
      <c r="AO90" s="599">
        <f>IFERROR(K90*$AP$5/$AR$5,0)</f>
        <v>0</v>
      </c>
      <c r="AP90" s="599">
        <f>IFERROR(K90*$AQ$5/$AR$5,0)</f>
        <v>0</v>
      </c>
    </row>
    <row r="91" spans="2:42"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J91" t="s">
        <v>480</v>
      </c>
      <c r="AN91" s="599">
        <f>IFERROR(K91*$AO$5/$AR$5,0)</f>
        <v>0</v>
      </c>
      <c r="AO91" s="599">
        <f>IFERROR(K91*$AP$5/$AR$5,0)</f>
        <v>0</v>
      </c>
      <c r="AP91" s="599">
        <f>IFERROR(K91*$AQ$5/$AR$5,0)</f>
        <v>0</v>
      </c>
    </row>
    <row r="92" spans="2:42" x14ac:dyDescent="0.3">
      <c r="B92" s="22" t="s">
        <v>88</v>
      </c>
      <c r="C92" s="1086">
        <f>'Overzicht BTA'!$C$36</f>
        <v>2026</v>
      </c>
      <c r="D92" s="321"/>
      <c r="E92" s="1086">
        <f>'Overzicht BTA'!$C$37</f>
        <v>2026</v>
      </c>
      <c r="F92" s="321"/>
      <c r="G92" s="1086">
        <v>2025</v>
      </c>
      <c r="H92" s="321"/>
      <c r="I92" s="1086">
        <v>2025</v>
      </c>
      <c r="J92" s="321"/>
      <c r="K92" s="1086">
        <v>2025</v>
      </c>
      <c r="L92" s="321"/>
      <c r="M92" s="321"/>
      <c r="N92" s="1086">
        <f>'Overzicht BTA'!$C$36</f>
        <v>2026</v>
      </c>
      <c r="O92" s="321"/>
      <c r="P92" s="1086">
        <f>'Overzicht BTA'!$C$37</f>
        <v>2026</v>
      </c>
      <c r="Q92" s="321"/>
      <c r="R92" s="1086">
        <v>2025</v>
      </c>
      <c r="S92" s="321"/>
      <c r="T92" s="1086">
        <v>2025</v>
      </c>
      <c r="U92" s="321"/>
      <c r="V92" s="1086">
        <v>2025</v>
      </c>
      <c r="W92" s="321"/>
      <c r="X92" s="321"/>
      <c r="Y92" s="1086">
        <f>'Overzicht BTA'!$C$36</f>
        <v>2026</v>
      </c>
      <c r="Z92" s="321"/>
      <c r="AA92" s="1086">
        <f>'Overzicht BTA'!$C$37</f>
        <v>2026</v>
      </c>
      <c r="AB92" s="321"/>
      <c r="AC92" s="1086">
        <v>2025</v>
      </c>
      <c r="AD92" s="321"/>
      <c r="AE92" s="1086">
        <v>2025</v>
      </c>
      <c r="AF92" s="321"/>
      <c r="AG92" s="1086">
        <v>2025</v>
      </c>
      <c r="AH92" s="321"/>
      <c r="AN92" s="599"/>
    </row>
    <row r="93" spans="2:42"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c r="AN93" s="89">
        <f>$K$93</f>
        <v>0</v>
      </c>
      <c r="AO93" s="89">
        <f>$K$93</f>
        <v>0</v>
      </c>
      <c r="AP93" s="89">
        <f>$K$93</f>
        <v>0</v>
      </c>
    </row>
    <row r="94" spans="2:42"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599"/>
    </row>
    <row r="95" spans="2:42" x14ac:dyDescent="0.3">
      <c r="AN95" s="610">
        <f>$K$95</f>
        <v>0</v>
      </c>
      <c r="AO95" s="610">
        <f>$K$95</f>
        <v>0</v>
      </c>
      <c r="AP95" s="610">
        <f>$K$95</f>
        <v>0</v>
      </c>
    </row>
    <row r="96" spans="2:42"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408</v>
      </c>
      <c r="Q96" s="103"/>
      <c r="R96" s="104" t="s">
        <v>409</v>
      </c>
      <c r="S96" s="103"/>
      <c r="T96" s="104" t="s">
        <v>410</v>
      </c>
      <c r="U96" s="103"/>
      <c r="V96" s="104" t="s">
        <v>411</v>
      </c>
      <c r="W96" s="105"/>
      <c r="X96" s="480"/>
      <c r="Y96" s="102" t="s">
        <v>473</v>
      </c>
      <c r="Z96" s="103"/>
      <c r="AA96" s="102" t="s">
        <v>408</v>
      </c>
      <c r="AB96" s="103"/>
      <c r="AC96" s="104" t="s">
        <v>409</v>
      </c>
      <c r="AD96" s="103"/>
      <c r="AE96" s="104" t="s">
        <v>410</v>
      </c>
      <c r="AF96" s="103"/>
      <c r="AG96" s="104" t="s">
        <v>411</v>
      </c>
      <c r="AH96" s="105"/>
      <c r="AN96" s="599"/>
    </row>
    <row r="97" spans="2:42"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599"/>
    </row>
    <row r="98" spans="2:42"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318">
        <f>IFERROR(AN48/AN87,0)</f>
        <v>0</v>
      </c>
      <c r="AO98" s="318">
        <f>IFERROR(AO48/AO87,0)</f>
        <v>0</v>
      </c>
      <c r="AP98" s="318">
        <f>IFERROR(AP48/AP87,0)</f>
        <v>0</v>
      </c>
    </row>
    <row r="99" spans="2:42"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318">
        <f>IFERROR(AN50/AN87,0)</f>
        <v>0</v>
      </c>
      <c r="AO99" s="318">
        <f>IFERROR(AO50/AO87,0)</f>
        <v>0</v>
      </c>
      <c r="AP99" s="318">
        <f>IFERROR(AP50/AP87,0)</f>
        <v>0</v>
      </c>
    </row>
    <row r="100" spans="2:42"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318">
        <f>IFERROR(AN49/AN87,0)</f>
        <v>0</v>
      </c>
      <c r="AO100" s="318">
        <f>IFERROR(AO49/AO87,0)</f>
        <v>0</v>
      </c>
      <c r="AP100" s="318">
        <f>IFERROR(AP49/AP87,0)</f>
        <v>0</v>
      </c>
    </row>
    <row r="101" spans="2:42" x14ac:dyDescent="0.3">
      <c r="B101" s="310" t="s">
        <v>359</v>
      </c>
      <c r="C101" s="309">
        <f>C122*10/6*'Overzicht BTA'!$D$36</f>
        <v>0</v>
      </c>
      <c r="D101" s="315" t="s">
        <v>278</v>
      </c>
      <c r="E101" s="309">
        <f>C122*10/6*'Overzicht BTA'!$D$37</f>
        <v>0</v>
      </c>
      <c r="F101" s="315" t="s">
        <v>278</v>
      </c>
      <c r="G101" s="309">
        <f>E101</f>
        <v>0</v>
      </c>
      <c r="H101" s="315" t="s">
        <v>278</v>
      </c>
      <c r="I101" s="309">
        <f>E101</f>
        <v>0</v>
      </c>
      <c r="J101" s="315" t="s">
        <v>278</v>
      </c>
      <c r="K101" s="309">
        <f>C122*10/6*'Overzicht BTA'!$D$38</f>
        <v>0</v>
      </c>
      <c r="L101" s="315" t="s">
        <v>278</v>
      </c>
      <c r="M101" s="633"/>
      <c r="N101" s="309">
        <f>N122*10/6*'Overzicht BTA'!$D$36</f>
        <v>0</v>
      </c>
      <c r="O101" s="315" t="s">
        <v>278</v>
      </c>
      <c r="P101" s="309">
        <f>N122*10/6*'Overzicht BTA'!$D$37</f>
        <v>0</v>
      </c>
      <c r="Q101" s="315" t="s">
        <v>278</v>
      </c>
      <c r="R101" s="309">
        <f>P101</f>
        <v>0</v>
      </c>
      <c r="S101" s="315" t="s">
        <v>278</v>
      </c>
      <c r="T101" s="309">
        <f>P101</f>
        <v>0</v>
      </c>
      <c r="U101" s="315" t="s">
        <v>278</v>
      </c>
      <c r="V101" s="309">
        <f>N122*10/6*'Overzicht BTA'!$D$38</f>
        <v>0</v>
      </c>
      <c r="W101" s="315" t="s">
        <v>278</v>
      </c>
      <c r="X101" s="652"/>
      <c r="Y101" s="309">
        <f>Y122*10/6*'Overzicht BTA'!$D$36</f>
        <v>0</v>
      </c>
      <c r="Z101" s="315" t="s">
        <v>278</v>
      </c>
      <c r="AA101" s="309">
        <f>Y122*10/6*'Overzicht BTA'!$D$37</f>
        <v>0</v>
      </c>
      <c r="AB101" s="315" t="s">
        <v>278</v>
      </c>
      <c r="AC101" s="309">
        <f>AA101</f>
        <v>0</v>
      </c>
      <c r="AD101" s="315" t="s">
        <v>278</v>
      </c>
      <c r="AE101" s="309">
        <f>AA101</f>
        <v>0</v>
      </c>
      <c r="AF101" s="315" t="s">
        <v>278</v>
      </c>
      <c r="AG101" s="309">
        <f>Y122*10/6*'Overzicht BTA'!$D$38</f>
        <v>0</v>
      </c>
      <c r="AH101" s="315" t="s">
        <v>278</v>
      </c>
      <c r="AN101" s="599"/>
    </row>
    <row r="102" spans="2:42"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309">
        <f>$K$102</f>
        <v>0</v>
      </c>
      <c r="AO102" s="309">
        <f>$K$102</f>
        <v>0</v>
      </c>
      <c r="AP102" s="309">
        <f>$K$102</f>
        <v>0</v>
      </c>
    </row>
    <row r="103" spans="2:42" x14ac:dyDescent="0.3">
      <c r="B103" s="310" t="s">
        <v>361</v>
      </c>
      <c r="C103" s="309">
        <f>C101+C105</f>
        <v>199.65166666666667</v>
      </c>
      <c r="D103" s="315" t="s">
        <v>278</v>
      </c>
      <c r="E103" s="309">
        <f>E101+E105</f>
        <v>199.65166666666667</v>
      </c>
      <c r="F103" s="315" t="s">
        <v>278</v>
      </c>
      <c r="G103" s="309">
        <f>G101+G105</f>
        <v>199.65166666666667</v>
      </c>
      <c r="H103" s="315" t="s">
        <v>278</v>
      </c>
      <c r="I103" s="309">
        <f>I101+I105</f>
        <v>199.65166666666667</v>
      </c>
      <c r="J103" s="315" t="s">
        <v>278</v>
      </c>
      <c r="K103" s="309">
        <f>K101+K105</f>
        <v>199.65166666666667</v>
      </c>
      <c r="L103" s="315" t="s">
        <v>278</v>
      </c>
      <c r="M103" s="633"/>
      <c r="N103" s="309">
        <f>N101+N105</f>
        <v>199.65166666666667</v>
      </c>
      <c r="O103" s="315" t="s">
        <v>278</v>
      </c>
      <c r="P103" s="309">
        <f>P101+P105</f>
        <v>199.65166666666667</v>
      </c>
      <c r="Q103" s="315" t="s">
        <v>278</v>
      </c>
      <c r="R103" s="309">
        <f>R101+R105</f>
        <v>199.65166666666667</v>
      </c>
      <c r="S103" s="315" t="s">
        <v>278</v>
      </c>
      <c r="T103" s="309">
        <f>T101+T105</f>
        <v>199.65166666666667</v>
      </c>
      <c r="U103" s="315" t="s">
        <v>278</v>
      </c>
      <c r="V103" s="309">
        <f>V101+V105</f>
        <v>199.65166666666667</v>
      </c>
      <c r="W103" s="315" t="s">
        <v>278</v>
      </c>
      <c r="X103" s="652"/>
      <c r="Y103" s="309">
        <f>Y101+Y105</f>
        <v>199.65166666666667</v>
      </c>
      <c r="Z103" s="315" t="s">
        <v>278</v>
      </c>
      <c r="AA103" s="309">
        <f>AA101+AA105</f>
        <v>199.65166666666667</v>
      </c>
      <c r="AB103" s="315" t="s">
        <v>278</v>
      </c>
      <c r="AC103" s="309">
        <f>AC101+AC105</f>
        <v>199.65166666666667</v>
      </c>
      <c r="AD103" s="315" t="s">
        <v>278</v>
      </c>
      <c r="AE103" s="309">
        <f>AE101+AE105</f>
        <v>199.65166666666667</v>
      </c>
      <c r="AF103" s="315" t="s">
        <v>278</v>
      </c>
      <c r="AG103" s="309">
        <f>AG101+AG105</f>
        <v>199.65166666666667</v>
      </c>
      <c r="AH103" s="315" t="s">
        <v>278</v>
      </c>
      <c r="AN103" s="433">
        <f>IFERROR(+AN98/AN102,0)</f>
        <v>0</v>
      </c>
      <c r="AO103" s="433">
        <f>IFERROR(+AO98/AO102,0)</f>
        <v>0</v>
      </c>
      <c r="AP103" s="433">
        <f>IFERROR(+AP98/AP102,0)</f>
        <v>0</v>
      </c>
    </row>
    <row r="104" spans="2:42"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309">
        <f>$K$104</f>
        <v>0</v>
      </c>
      <c r="AO104" s="309">
        <f>$K$104</f>
        <v>0</v>
      </c>
      <c r="AP104" s="309">
        <f>$K$104</f>
        <v>0</v>
      </c>
    </row>
    <row r="105" spans="2:42" x14ac:dyDescent="0.3">
      <c r="B105" s="310" t="s">
        <v>362</v>
      </c>
      <c r="C105" s="309">
        <f>C123*10/6*'Overzicht BTA'!$D$36</f>
        <v>199.65166666666667</v>
      </c>
      <c r="D105" s="315" t="s">
        <v>278</v>
      </c>
      <c r="E105" s="309">
        <f>C123*10/6*'Overzicht BTA'!$D$37</f>
        <v>199.65166666666667</v>
      </c>
      <c r="F105" s="315" t="s">
        <v>278</v>
      </c>
      <c r="G105" s="309">
        <f>E105</f>
        <v>199.65166666666667</v>
      </c>
      <c r="H105" s="315" t="s">
        <v>278</v>
      </c>
      <c r="I105" s="309">
        <f>E105</f>
        <v>199.65166666666667</v>
      </c>
      <c r="J105" s="315" t="s">
        <v>278</v>
      </c>
      <c r="K105" s="309">
        <f>C123*10/6*'Overzicht BTA'!$D$38</f>
        <v>199.65166666666667</v>
      </c>
      <c r="L105" s="315" t="s">
        <v>278</v>
      </c>
      <c r="M105" s="633"/>
      <c r="N105" s="309">
        <f>N123*10/6*'Overzicht BTA'!$D$36</f>
        <v>199.65166666666667</v>
      </c>
      <c r="O105" s="315" t="s">
        <v>278</v>
      </c>
      <c r="P105" s="309">
        <f>N123*10/6*'Overzicht BTA'!$D$37</f>
        <v>199.65166666666667</v>
      </c>
      <c r="Q105" s="315" t="s">
        <v>278</v>
      </c>
      <c r="R105" s="309">
        <f>P105</f>
        <v>199.65166666666667</v>
      </c>
      <c r="S105" s="315" t="s">
        <v>278</v>
      </c>
      <c r="T105" s="309">
        <f>P105</f>
        <v>199.65166666666667</v>
      </c>
      <c r="U105" s="315" t="s">
        <v>278</v>
      </c>
      <c r="V105" s="309">
        <f>N123*10/6*'Overzicht BTA'!$D$38</f>
        <v>199.65166666666667</v>
      </c>
      <c r="W105" s="315" t="s">
        <v>278</v>
      </c>
      <c r="X105" s="652"/>
      <c r="Y105" s="309">
        <f>Y123*10/6*'Overzicht BTA'!$D$36</f>
        <v>199.65166666666667</v>
      </c>
      <c r="Z105" s="315" t="s">
        <v>278</v>
      </c>
      <c r="AA105" s="309">
        <f>Y123*10/6*'Overzicht BTA'!$D$37</f>
        <v>199.65166666666667</v>
      </c>
      <c r="AB105" s="315" t="s">
        <v>278</v>
      </c>
      <c r="AC105" s="309">
        <f>AA105</f>
        <v>199.65166666666667</v>
      </c>
      <c r="AD105" s="315" t="s">
        <v>278</v>
      </c>
      <c r="AE105" s="309">
        <f>AA105</f>
        <v>199.65166666666667</v>
      </c>
      <c r="AF105" s="315" t="s">
        <v>278</v>
      </c>
      <c r="AG105" s="309">
        <f>Y123*10/6*'Overzicht BTA'!$D$38</f>
        <v>199.65166666666667</v>
      </c>
      <c r="AH105" s="315" t="s">
        <v>278</v>
      </c>
      <c r="AN105" s="433">
        <f>IFERROR(AN99/AN104,0)</f>
        <v>0</v>
      </c>
      <c r="AO105" s="433">
        <f>IFERROR(AO99/AO104,0)</f>
        <v>0</v>
      </c>
      <c r="AP105" s="433">
        <f>IFERROR(AP99/AP104,0)</f>
        <v>0</v>
      </c>
    </row>
    <row r="106" spans="2:42"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309">
        <f>$K$106</f>
        <v>0</v>
      </c>
      <c r="AO106" s="309">
        <f>$K$106</f>
        <v>0</v>
      </c>
      <c r="AP106" s="309">
        <f>$K$106</f>
        <v>0</v>
      </c>
    </row>
    <row r="107" spans="2:42"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433">
        <f>IFERROR(AN100/AN106,0)</f>
        <v>0</v>
      </c>
      <c r="AO107" s="433">
        <f>IFERROR(AO100/AO106,0)</f>
        <v>0</v>
      </c>
      <c r="AP107" s="433">
        <f>IFERROR(AP100/AP106,0)</f>
        <v>0</v>
      </c>
    </row>
    <row r="108" spans="2:42" x14ac:dyDescent="0.3">
      <c r="B108" s="310" t="s">
        <v>483</v>
      </c>
      <c r="C108" s="1036" t="e">
        <f>C51/C90</f>
        <v>#DIV/0!</v>
      </c>
      <c r="D108" s="308"/>
      <c r="E108" s="1036" t="e">
        <f>E51/E90</f>
        <v>#DIV/0!</v>
      </c>
      <c r="F108" s="308"/>
      <c r="G108" s="1036" t="e">
        <f>G51/G90</f>
        <v>#DIV/0!</v>
      </c>
      <c r="H108" s="308"/>
      <c r="I108" s="1036" t="e">
        <f>I51/I90</f>
        <v>#DIV/0!</v>
      </c>
      <c r="J108" s="308"/>
      <c r="K108" s="1036" t="e">
        <f>K51/K90</f>
        <v>#DIV/0!</v>
      </c>
      <c r="L108" s="308"/>
      <c r="M108" s="311"/>
      <c r="N108" s="1036" t="e">
        <f>N51/N90</f>
        <v>#DIV/0!</v>
      </c>
      <c r="O108" s="308"/>
      <c r="P108" s="1036" t="e">
        <f>P51/P90</f>
        <v>#DIV/0!</v>
      </c>
      <c r="Q108" s="308"/>
      <c r="R108" s="1036" t="e">
        <f>R51/R90</f>
        <v>#DIV/0!</v>
      </c>
      <c r="S108" s="308"/>
      <c r="T108" s="1036" t="e">
        <f>T51/T90</f>
        <v>#DIV/0!</v>
      </c>
      <c r="U108" s="308"/>
      <c r="V108" s="1036" t="e">
        <f>V51/V90</f>
        <v>#DIV/0!</v>
      </c>
      <c r="W108" s="308"/>
      <c r="X108" s="654"/>
      <c r="Y108" s="1036" t="e">
        <f>Y51/Y90</f>
        <v>#DIV/0!</v>
      </c>
      <c r="Z108" s="308"/>
      <c r="AA108" s="1036" t="e">
        <f>AA51/AA90</f>
        <v>#DIV/0!</v>
      </c>
      <c r="AB108" s="308"/>
      <c r="AC108" s="1036" t="e">
        <f>AC51/AC90</f>
        <v>#DIV/0!</v>
      </c>
      <c r="AD108" s="308"/>
      <c r="AE108" s="1036" t="e">
        <f>AE51/AE90</f>
        <v>#DIV/0!</v>
      </c>
      <c r="AF108" s="308"/>
      <c r="AG108" s="1036" t="e">
        <f>AG51/AG90</f>
        <v>#DIV/0!</v>
      </c>
      <c r="AH108" s="308"/>
      <c r="AN108" s="599"/>
      <c r="AO108" s="599"/>
      <c r="AP108" s="599"/>
    </row>
    <row r="109" spans="2:42"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309">
        <f>IFERROR(AN51/AN91,0)</f>
        <v>0</v>
      </c>
      <c r="AO109" s="309">
        <f>IFERROR(AO51/AO91,0)</f>
        <v>0</v>
      </c>
      <c r="AP109" s="309">
        <f>IFERROR(AP51/AP91,0)</f>
        <v>0</v>
      </c>
    </row>
    <row r="110" spans="2:42"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42"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50">AG111+V111+K111</f>
        <v>0</v>
      </c>
      <c r="AM111" s="820" t="str">
        <f>IF(ISNUMBER(ROUND(AL111/(C24+N24+Y24),2)),ROUND(AL111/(C24+N24+Y24),2),"/")</f>
        <v>/</v>
      </c>
    </row>
    <row r="112" spans="2:42"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50"/>
        <v>0</v>
      </c>
      <c r="AM112" s="820" t="str">
        <f>IF(ISNUMBER(ROUND(AL112/(Y31+C31+N31),2)),ROUND(AL112/(Y31+C31+N31),2),"/")</f>
        <v>/</v>
      </c>
    </row>
    <row r="113" spans="2:39"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50"/>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50"/>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50"/>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50"/>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50"/>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50"/>
        <v>0</v>
      </c>
      <c r="AM118" s="820" t="str">
        <f>IF(ISNUMBER(ROUND(AL118/(C54+N54+Y54),2)),ROUND(AL118/(C54+N54+Y54),2),"/")</f>
        <v>/</v>
      </c>
    </row>
    <row r="119" spans="2:39" x14ac:dyDescent="0.3">
      <c r="B119" s="23" t="s">
        <v>110</v>
      </c>
      <c r="C119" s="964">
        <f ca="1">$G$81-C81</f>
        <v>0</v>
      </c>
      <c r="D119" s="965"/>
      <c r="E119" s="964">
        <f ca="1">$G$81-E81</f>
        <v>0</v>
      </c>
      <c r="F119" s="965"/>
      <c r="G119" s="964">
        <f>I81-G81</f>
        <v>0</v>
      </c>
      <c r="H119" s="965"/>
      <c r="I119" s="964">
        <f>K81-I81</f>
        <v>0</v>
      </c>
      <c r="J119" s="965"/>
      <c r="K119" s="966">
        <f ca="1">K81-C81</f>
        <v>0</v>
      </c>
      <c r="L119" s="967"/>
      <c r="M119" s="634"/>
      <c r="N119" s="964"/>
      <c r="O119" s="965"/>
      <c r="P119" s="964"/>
      <c r="Q119" s="965"/>
      <c r="R119" s="964"/>
      <c r="S119" s="965"/>
      <c r="T119" s="964"/>
      <c r="U119" s="965"/>
      <c r="V119" s="966"/>
      <c r="W119" s="967"/>
      <c r="X119" s="634"/>
      <c r="Y119" s="964"/>
      <c r="Z119" s="965"/>
      <c r="AA119" s="964"/>
      <c r="AB119" s="965"/>
      <c r="AC119" s="964"/>
      <c r="AD119" s="965"/>
      <c r="AE119" s="964"/>
      <c r="AF119" s="965"/>
      <c r="AG119" s="966"/>
      <c r="AH119" s="967"/>
      <c r="AI119" s="18"/>
      <c r="AJ119" s="18"/>
      <c r="AL119" s="819"/>
      <c r="AM119" s="968"/>
    </row>
    <row r="120" spans="2:39" x14ac:dyDescent="0.3">
      <c r="L120" s="18"/>
      <c r="M120" s="18"/>
      <c r="AI120" s="18"/>
      <c r="AJ120" s="18"/>
    </row>
    <row r="121" spans="2:39" x14ac:dyDescent="0.3">
      <c r="B121" s="299" t="s">
        <v>489</v>
      </c>
      <c r="L121" s="18"/>
      <c r="M121" s="18"/>
      <c r="N121" s="299" t="s">
        <v>489</v>
      </c>
      <c r="Y121" s="299" t="s">
        <v>489</v>
      </c>
    </row>
    <row r="122" spans="2:39" x14ac:dyDescent="0.3">
      <c r="B122" s="249" t="s">
        <v>490</v>
      </c>
      <c r="C122" s="298">
        <f>VLOOKUP('Bouwkost UITB'!C8,'Capaciteiten &amp; forfaits'!$B$3:$H$71,6,FALSE)</f>
        <v>0</v>
      </c>
      <c r="L122" s="18"/>
      <c r="N122" s="298">
        <f>VLOOKUP('Bouwkost UITB'!N8,'Capaciteiten &amp; forfaits'!$B$3:$H$71,6,FALSE)</f>
        <v>0</v>
      </c>
      <c r="Y122" s="298">
        <f>VLOOKUP('Bouwkost UITB'!Y8,'Capaciteiten &amp; forfaits'!$B$3:$H$71,6,FALSE)</f>
        <v>0</v>
      </c>
    </row>
    <row r="123" spans="2:39" x14ac:dyDescent="0.3">
      <c r="B123" s="249" t="s">
        <v>491</v>
      </c>
      <c r="C123" s="297">
        <v>50</v>
      </c>
      <c r="E123" s="296"/>
      <c r="N123" s="297">
        <v>50</v>
      </c>
      <c r="Y123" s="297">
        <v>50</v>
      </c>
    </row>
    <row r="127" spans="2:39" x14ac:dyDescent="0.3">
      <c r="D127" s="294"/>
      <c r="E127" s="294"/>
      <c r="F127" s="294"/>
      <c r="G127" s="294"/>
    </row>
    <row r="128" spans="2:39" x14ac:dyDescent="0.3">
      <c r="D128" s="294"/>
      <c r="E128" s="294"/>
      <c r="F128" s="294"/>
      <c r="G128" s="294"/>
    </row>
    <row r="129" spans="4:7" x14ac:dyDescent="0.3">
      <c r="D129" s="294"/>
      <c r="E129" s="295"/>
      <c r="F129" s="294"/>
      <c r="G129" s="294"/>
    </row>
    <row r="130" spans="4:7" x14ac:dyDescent="0.3">
      <c r="D130" s="294"/>
      <c r="E130" s="295"/>
      <c r="F130" s="294"/>
      <c r="G130" s="294"/>
    </row>
    <row r="131" spans="4:7" x14ac:dyDescent="0.3">
      <c r="D131" s="294"/>
      <c r="E131" s="295"/>
      <c r="F131" s="294"/>
      <c r="G131" s="294"/>
    </row>
    <row r="132" spans="4:7" x14ac:dyDescent="0.3">
      <c r="E132" s="294"/>
      <c r="F132" s="294"/>
      <c r="G132" s="294"/>
    </row>
    <row r="133" spans="4:7" x14ac:dyDescent="0.3">
      <c r="E133" s="294"/>
      <c r="F133" s="294"/>
      <c r="G133" s="294"/>
    </row>
    <row r="134" spans="4:7" x14ac:dyDescent="0.3">
      <c r="E134" s="294"/>
    </row>
    <row r="135" spans="4:7" x14ac:dyDescent="0.3">
      <c r="E135" s="294"/>
    </row>
    <row r="136" spans="4:7" x14ac:dyDescent="0.3">
      <c r="E136" s="294"/>
    </row>
  </sheetData>
  <protectedRanges>
    <protectedRange algorithmName="SHA-512" hashValue="39UUfaiHpb8Y2KSoZB2WXYlenpjAHXG5i3D8xxC9naLZMmwxPVeRqRv0BDa5NbtMFV+1ULRm/H1ogmV3iruqzg==" saltValue="qNypIRagcY3Wn/6ZrXIgWA==" spinCount="100000" sqref="A10:XFD13" name="Bereik1"/>
  </protectedRanges>
  <mergeCells count="19">
    <mergeCell ref="C1:E1"/>
    <mergeCell ref="C5:E5"/>
    <mergeCell ref="C10:E10"/>
    <mergeCell ref="N10:P10"/>
    <mergeCell ref="G3:L3"/>
    <mergeCell ref="Y10:AA10"/>
    <mergeCell ref="C8:L8"/>
    <mergeCell ref="N8:W8"/>
    <mergeCell ref="Y8:AH8"/>
    <mergeCell ref="AJ4:AT4"/>
    <mergeCell ref="C13:E13"/>
    <mergeCell ref="N13:P13"/>
    <mergeCell ref="Y13:AA13"/>
    <mergeCell ref="C11:E11"/>
    <mergeCell ref="N11:P11"/>
    <mergeCell ref="Y11:AA11"/>
    <mergeCell ref="C12:E12"/>
    <mergeCell ref="N12:P12"/>
    <mergeCell ref="Y12:AA12"/>
  </mergeCells>
  <conditionalFormatting sqref="Y16">
    <cfRule type="expression" dxfId="391" priority="122">
      <formula>Y22&lt;0</formula>
    </cfRule>
  </conditionalFormatting>
  <conditionalFormatting sqref="C39">
    <cfRule type="expression" dxfId="390" priority="155">
      <formula>C45&lt;0</formula>
    </cfRule>
  </conditionalFormatting>
  <conditionalFormatting sqref="N24">
    <cfRule type="expression" dxfId="389" priority="152">
      <formula>N30&lt;0</formula>
    </cfRule>
  </conditionalFormatting>
  <conditionalFormatting sqref="Y31">
    <cfRule type="expression" dxfId="388" priority="125">
      <formula>Y37&lt;0</formula>
    </cfRule>
  </conditionalFormatting>
  <conditionalFormatting sqref="N39">
    <cfRule type="expression" dxfId="387" priority="146">
      <formula>N45&lt;0</formula>
    </cfRule>
  </conditionalFormatting>
  <conditionalFormatting sqref="P16">
    <cfRule type="expression" dxfId="386" priority="88">
      <formula>P22&lt;0</formula>
    </cfRule>
  </conditionalFormatting>
  <conditionalFormatting sqref="Y39">
    <cfRule type="expression" dxfId="385" priority="124">
      <formula>Y45&lt;0</formula>
    </cfRule>
  </conditionalFormatting>
  <conditionalFormatting sqref="AG24">
    <cfRule type="expression" dxfId="384" priority="78">
      <formula>AG30&lt;0</formula>
    </cfRule>
  </conditionalFormatting>
  <conditionalFormatting sqref="C24">
    <cfRule type="expression" dxfId="383" priority="162">
      <formula>C30&lt;0</formula>
    </cfRule>
  </conditionalFormatting>
  <conditionalFormatting sqref="C31">
    <cfRule type="expression" dxfId="382" priority="156">
      <formula>C37&lt;0</formula>
    </cfRule>
  </conditionalFormatting>
  <conditionalFormatting sqref="C49">
    <cfRule type="expression" dxfId="381" priority="154">
      <formula>C59&lt;0</formula>
    </cfRule>
  </conditionalFormatting>
  <conditionalFormatting sqref="C16">
    <cfRule type="expression" dxfId="380" priority="153">
      <formula>C22&lt;0</formula>
    </cfRule>
  </conditionalFormatting>
  <conditionalFormatting sqref="N31">
    <cfRule type="expression" dxfId="379" priority="147">
      <formula>N37&lt;0</formula>
    </cfRule>
  </conditionalFormatting>
  <conditionalFormatting sqref="N49">
    <cfRule type="expression" dxfId="378" priority="145">
      <formula>N59&lt;0</formula>
    </cfRule>
  </conditionalFormatting>
  <conditionalFormatting sqref="N16">
    <cfRule type="expression" dxfId="377" priority="144">
      <formula>N22&lt;0</formula>
    </cfRule>
  </conditionalFormatting>
  <conditionalFormatting sqref="Y24">
    <cfRule type="expression" dxfId="376" priority="131">
      <formula>Y30&lt;0</formula>
    </cfRule>
  </conditionalFormatting>
  <conditionalFormatting sqref="Y49">
    <cfRule type="expression" dxfId="375" priority="123">
      <formula>Y59&lt;0</formula>
    </cfRule>
  </conditionalFormatting>
  <conditionalFormatting sqref="AA31">
    <cfRule type="expression" dxfId="374" priority="72">
      <formula>AA37&lt;0</formula>
    </cfRule>
  </conditionalFormatting>
  <conditionalFormatting sqref="P24">
    <cfRule type="expression" dxfId="373" priority="86">
      <formula>P30&lt;0</formula>
    </cfRule>
  </conditionalFormatting>
  <conditionalFormatting sqref="P31">
    <cfRule type="expression" dxfId="372" priority="85">
      <formula>P37&lt;0</formula>
    </cfRule>
  </conditionalFormatting>
  <conditionalFormatting sqref="P39">
    <cfRule type="expression" dxfId="371" priority="84">
      <formula>P45&lt;0</formula>
    </cfRule>
  </conditionalFormatting>
  <conditionalFormatting sqref="E49">
    <cfRule type="expression" dxfId="370" priority="96">
      <formula>E55&lt;0</formula>
    </cfRule>
  </conditionalFormatting>
  <conditionalFormatting sqref="E51">
    <cfRule type="expression" dxfId="369" priority="95">
      <formula>E58&lt;0</formula>
    </cfRule>
  </conditionalFormatting>
  <conditionalFormatting sqref="E54">
    <cfRule type="expression" dxfId="368" priority="94">
      <formula>E61&lt;0</formula>
    </cfRule>
  </conditionalFormatting>
  <conditionalFormatting sqref="E56">
    <cfRule type="expression" dxfId="367" priority="93">
      <formula>E63&lt;0</formula>
    </cfRule>
  </conditionalFormatting>
  <conditionalFormatting sqref="G49">
    <cfRule type="expression" dxfId="366" priority="92">
      <formula>G55&lt;0</formula>
    </cfRule>
  </conditionalFormatting>
  <conditionalFormatting sqref="K24">
    <cfRule type="expression" dxfId="365" priority="104">
      <formula>K30&lt;0</formula>
    </cfRule>
  </conditionalFormatting>
  <conditionalFormatting sqref="K63">
    <cfRule type="expression" dxfId="364" priority="100">
      <formula>K79&lt;0</formula>
    </cfRule>
  </conditionalFormatting>
  <conditionalFormatting sqref="K31">
    <cfRule type="expression" dxfId="363" priority="103">
      <formula>K38&lt;0</formula>
    </cfRule>
  </conditionalFormatting>
  <conditionalFormatting sqref="K39">
    <cfRule type="expression" dxfId="362" priority="102">
      <formula>K47&lt;0</formula>
    </cfRule>
  </conditionalFormatting>
  <conditionalFormatting sqref="E16">
    <cfRule type="expression" dxfId="361" priority="101">
      <formula>E22&lt;0</formula>
    </cfRule>
  </conditionalFormatting>
  <conditionalFormatting sqref="E24">
    <cfRule type="expression" dxfId="360" priority="99">
      <formula>E30&lt;0</formula>
    </cfRule>
  </conditionalFormatting>
  <conditionalFormatting sqref="E31">
    <cfRule type="expression" dxfId="359" priority="98">
      <formula>E37&lt;0</formula>
    </cfRule>
  </conditionalFormatting>
  <conditionalFormatting sqref="E39">
    <cfRule type="expression" dxfId="358" priority="97">
      <formula>E45&lt;0</formula>
    </cfRule>
  </conditionalFormatting>
  <conditionalFormatting sqref="V24">
    <cfRule type="expression" dxfId="357" priority="91">
      <formula>V30&lt;0</formula>
    </cfRule>
  </conditionalFormatting>
  <conditionalFormatting sqref="V63">
    <cfRule type="expression" dxfId="356" priority="87">
      <formula>V79&lt;0</formula>
    </cfRule>
  </conditionalFormatting>
  <conditionalFormatting sqref="V31">
    <cfRule type="expression" dxfId="355" priority="90">
      <formula>V38&lt;0</formula>
    </cfRule>
  </conditionalFormatting>
  <conditionalFormatting sqref="V39">
    <cfRule type="expression" dxfId="354" priority="89">
      <formula>V47&lt;0</formula>
    </cfRule>
  </conditionalFormatting>
  <conditionalFormatting sqref="P49">
    <cfRule type="expression" dxfId="353" priority="83">
      <formula>P55&lt;0</formula>
    </cfRule>
  </conditionalFormatting>
  <conditionalFormatting sqref="P51">
    <cfRule type="expression" dxfId="352" priority="82">
      <formula>P58&lt;0</formula>
    </cfRule>
  </conditionalFormatting>
  <conditionalFormatting sqref="P54">
    <cfRule type="expression" dxfId="351" priority="81">
      <formula>P61&lt;0</formula>
    </cfRule>
  </conditionalFormatting>
  <conditionalFormatting sqref="P56">
    <cfRule type="expression" dxfId="350" priority="80">
      <formula>P63&lt;0</formula>
    </cfRule>
  </conditionalFormatting>
  <conditionalFormatting sqref="R49">
    <cfRule type="expression" dxfId="349" priority="79">
      <formula>R55&lt;0</formula>
    </cfRule>
  </conditionalFormatting>
  <conditionalFormatting sqref="AG63">
    <cfRule type="expression" dxfId="348" priority="74">
      <formula>AG79&lt;0</formula>
    </cfRule>
  </conditionalFormatting>
  <conditionalFormatting sqref="AG31">
    <cfRule type="expression" dxfId="347" priority="77">
      <formula>AG38&lt;0</formula>
    </cfRule>
  </conditionalFormatting>
  <conditionalFormatting sqref="AG39">
    <cfRule type="expression" dxfId="346" priority="76">
      <formula>AG47&lt;0</formula>
    </cfRule>
  </conditionalFormatting>
  <conditionalFormatting sqref="AA16">
    <cfRule type="expression" dxfId="345" priority="75">
      <formula>AA22&lt;0</formula>
    </cfRule>
  </conditionalFormatting>
  <conditionalFormatting sqref="AA24">
    <cfRule type="expression" dxfId="344" priority="73">
      <formula>AA30&lt;0</formula>
    </cfRule>
  </conditionalFormatting>
  <conditionalFormatting sqref="AA39">
    <cfRule type="expression" dxfId="343" priority="71">
      <formula>AA45&lt;0</formula>
    </cfRule>
  </conditionalFormatting>
  <conditionalFormatting sqref="AA49">
    <cfRule type="expression" dxfId="342" priority="70">
      <formula>AA55&lt;0</formula>
    </cfRule>
  </conditionalFormatting>
  <conditionalFormatting sqref="AA51">
    <cfRule type="expression" dxfId="341" priority="69">
      <formula>AA58&lt;0</formula>
    </cfRule>
  </conditionalFormatting>
  <conditionalFormatting sqref="AA54">
    <cfRule type="expression" dxfId="340" priority="68">
      <formula>AA61&lt;0</formula>
    </cfRule>
  </conditionalFormatting>
  <conditionalFormatting sqref="AA56">
    <cfRule type="expression" dxfId="339" priority="67">
      <formula>AA63&lt;0</formula>
    </cfRule>
  </conditionalFormatting>
  <conditionalFormatting sqref="AC49">
    <cfRule type="expression" dxfId="338" priority="66">
      <formula>AC55&lt;0</formula>
    </cfRule>
  </conditionalFormatting>
  <conditionalFormatting sqref="Y51">
    <cfRule type="expression" dxfId="337" priority="65">
      <formula>Y58&lt;0</formula>
    </cfRule>
  </conditionalFormatting>
  <conditionalFormatting sqref="N51">
    <cfRule type="expression" dxfId="336" priority="64">
      <formula>N58&lt;0</formula>
    </cfRule>
  </conditionalFormatting>
  <conditionalFormatting sqref="E57">
    <cfRule type="expression" dxfId="335" priority="63">
      <formula>E64&lt;0</formula>
    </cfRule>
  </conditionalFormatting>
  <conditionalFormatting sqref="P57">
    <cfRule type="expression" dxfId="334" priority="62">
      <formula>P64&lt;0</formula>
    </cfRule>
  </conditionalFormatting>
  <conditionalFormatting sqref="AA57">
    <cfRule type="expression" dxfId="333" priority="61">
      <formula>AA64&lt;0</formula>
    </cfRule>
  </conditionalFormatting>
  <conditionalFormatting sqref="C93 E93 G93 I93 K93">
    <cfRule type="expression" dxfId="332" priority="29">
      <formula>AND(C84&gt;0,C93=0)</formula>
    </cfRule>
  </conditionalFormatting>
  <conditionalFormatting sqref="C92 E92 G92 I92 K92">
    <cfRule type="expression" dxfId="331" priority="30">
      <formula>AND(C81&gt;0,C92=0)</formula>
    </cfRule>
  </conditionalFormatting>
  <conditionalFormatting sqref="N93 P93 R93 T93 V93">
    <cfRule type="expression" dxfId="330" priority="3">
      <formula>AND(N84&gt;0,N93=0)</formula>
    </cfRule>
  </conditionalFormatting>
  <conditionalFormatting sqref="N92 P92 R92 T92 V92">
    <cfRule type="expression" dxfId="329" priority="4">
      <formula>AND(N81&gt;0,N92=0)</formula>
    </cfRule>
  </conditionalFormatting>
  <conditionalFormatting sqref="Y93 AA93 AC93 AE93 AG93">
    <cfRule type="expression" dxfId="328" priority="1">
      <formula>AND(Y84&gt;0,Y93=0)</formula>
    </cfRule>
  </conditionalFormatting>
  <conditionalFormatting sqref="Y92 AA92 AC92 AE92 AG92">
    <cfRule type="expression" dxfId="327"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AE8491E-B717-49E6-B2BD-6F7ED3A1F8E6}">
          <x14:formula1>
            <xm:f>Bouwindex_ABEX!$Q$3:$Q$34</xm:f>
          </x14:formula1>
          <xm:sqref>C92 E92 G92 I92 K92 N92 P92 R92 T92 V92 Y92 AA92 AC92 AE92 AG92</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8DA84-27B0-4772-B356-4C0236FF4074}">
  <sheetPr codeName="Blad28"/>
  <dimension ref="A1:DP135"/>
  <sheetViews>
    <sheetView topLeftCell="A43" zoomScale="70" zoomScaleNormal="70" workbookViewId="0">
      <selection activeCell="C56" sqref="C56"/>
    </sheetView>
  </sheetViews>
  <sheetFormatPr defaultRowHeight="14.4" outlineLevelRow="1" x14ac:dyDescent="0.3"/>
  <cols>
    <col min="1" max="1" width="1.88671875" customWidth="1"/>
    <col min="2" max="2" width="39.44140625" customWidth="1"/>
    <col min="3" max="3" width="12.6640625" hidden="1" customWidth="1"/>
    <col min="4" max="4" width="8" hidden="1" customWidth="1"/>
    <col min="5" max="5" width="22.33203125" hidden="1" customWidth="1"/>
    <col min="6" max="6" width="6.88671875" hidden="1" customWidth="1"/>
    <col min="7" max="7" width="18.6640625" hidden="1" customWidth="1"/>
    <col min="8" max="8" width="6.88671875" hidden="1" customWidth="1"/>
    <col min="9" max="9" width="11.44140625" hidden="1" customWidth="1"/>
    <col min="10" max="10" width="6.88671875" hidden="1" customWidth="1"/>
    <col min="11" max="11" width="15.6640625" hidden="1" customWidth="1"/>
    <col min="12" max="12" width="8.88671875" hidden="1" customWidth="1"/>
    <col min="13" max="13" width="6.33203125" hidden="1" customWidth="1"/>
    <col min="14" max="14" width="16.33203125" hidden="1" customWidth="1"/>
    <col min="15" max="15" width="7" hidden="1" customWidth="1"/>
    <col min="16" max="16" width="26.33203125" hidden="1" customWidth="1"/>
    <col min="17" max="17" width="6.88671875" hidden="1" customWidth="1"/>
    <col min="18" max="18" width="18.6640625" hidden="1" customWidth="1"/>
    <col min="19" max="19" width="6.88671875" hidden="1" customWidth="1"/>
    <col min="20" max="20" width="11.6640625" hidden="1" customWidth="1"/>
    <col min="21" max="21" width="6.88671875" hidden="1" customWidth="1"/>
    <col min="22" max="22" width="15.6640625" hidden="1" customWidth="1"/>
    <col min="23" max="24" width="6.44140625" hidden="1" customWidth="1"/>
    <col min="25" max="25" width="16.33203125" hidden="1" customWidth="1"/>
    <col min="26" max="26" width="6.33203125" hidden="1" customWidth="1"/>
    <col min="27" max="27" width="20.88671875" hidden="1" customWidth="1"/>
    <col min="28" max="28" width="6.33203125" hidden="1" customWidth="1"/>
    <col min="29" max="29" width="18.44140625" hidden="1" customWidth="1"/>
    <col min="30" max="30" width="6.33203125" hidden="1" customWidth="1"/>
    <col min="31" max="31" width="11.6640625" hidden="1" customWidth="1"/>
    <col min="32" max="32" width="6.33203125" hidden="1" customWidth="1"/>
    <col min="33" max="33" width="15.6640625" hidden="1" customWidth="1"/>
    <col min="34" max="34" width="6.44140625" hidden="1" customWidth="1"/>
    <col min="35" max="35" width="8.88671875" customWidth="1"/>
    <col min="36" max="36" width="67" bestFit="1" customWidth="1"/>
    <col min="38" max="39" width="0" hidden="1" customWidth="1"/>
    <col min="40" max="42" width="25.33203125" hidden="1" customWidth="1"/>
    <col min="43" max="44" width="0" hidden="1" customWidth="1"/>
    <col min="50" max="50" width="0" hidden="1" customWidth="1"/>
    <col min="51" max="51" width="8.88671875" hidden="1" customWidth="1"/>
    <col min="52" max="54" width="24.88671875" hidden="1" customWidth="1"/>
    <col min="55" max="55" width="8.88671875" hidden="1" customWidth="1"/>
    <col min="56" max="56" width="0" hidden="1" customWidth="1"/>
  </cols>
  <sheetData>
    <row r="1" spans="2:55" ht="18.600000000000001" hidden="1" thickBot="1" x14ac:dyDescent="0.4">
      <c r="B1" s="692" t="s">
        <v>3</v>
      </c>
      <c r="C1" s="1259">
        <f>'Overzicht project'!I4</f>
        <v>0</v>
      </c>
      <c r="D1" s="1260"/>
      <c r="E1" s="1260"/>
      <c r="F1" s="669"/>
      <c r="G1" s="661"/>
      <c r="H1" s="606"/>
      <c r="I1" s="606"/>
      <c r="J1" s="606"/>
      <c r="K1" s="662"/>
    </row>
    <row r="2" spans="2:55" ht="14.4" customHeight="1" x14ac:dyDescent="0.35">
      <c r="B2" s="694" t="s">
        <v>396</v>
      </c>
      <c r="D2" s="672"/>
      <c r="E2" s="673"/>
      <c r="M2" s="340"/>
      <c r="AO2" s="608" t="s">
        <v>25</v>
      </c>
      <c r="AP2" s="608" t="s">
        <v>25</v>
      </c>
      <c r="AQ2" s="608" t="s">
        <v>25</v>
      </c>
      <c r="AR2" s="608" t="s">
        <v>167</v>
      </c>
      <c r="AZ2" s="608" t="s">
        <v>25</v>
      </c>
      <c r="BA2" s="608" t="s">
        <v>25</v>
      </c>
      <c r="BB2" s="608" t="s">
        <v>25</v>
      </c>
      <c r="BC2" s="608" t="s">
        <v>167</v>
      </c>
    </row>
    <row r="3" spans="2:55" ht="13.95" customHeight="1" thickBot="1" x14ac:dyDescent="0.4">
      <c r="B3" s="695" t="str">
        <f>Bron!B11</f>
        <v>Verbouwing</v>
      </c>
      <c r="C3" s="675"/>
      <c r="D3" s="675"/>
      <c r="E3" s="676"/>
      <c r="G3" s="1263" t="s">
        <v>397</v>
      </c>
      <c r="H3" s="1263"/>
      <c r="I3" s="1263"/>
      <c r="J3" s="1263"/>
      <c r="K3" s="1263"/>
      <c r="L3" s="1263"/>
      <c r="M3" s="340"/>
      <c r="AO3" s="608"/>
      <c r="AP3" s="608"/>
      <c r="AQ3" s="608"/>
      <c r="AR3" s="608"/>
      <c r="AZ3" s="608"/>
      <c r="BA3" s="608"/>
      <c r="BB3" s="608"/>
      <c r="BC3" s="608"/>
    </row>
    <row r="4" spans="2:55" ht="18" hidden="1" x14ac:dyDescent="0.35">
      <c r="B4" s="696" t="s">
        <v>399</v>
      </c>
      <c r="C4" s="1261">
        <f>'Overzicht project'!B34</f>
        <v>0</v>
      </c>
      <c r="D4" s="1262"/>
      <c r="E4" s="1262"/>
      <c r="F4" s="669"/>
      <c r="AN4" s="106" t="s">
        <v>400</v>
      </c>
      <c r="AO4" s="181">
        <v>0</v>
      </c>
      <c r="AP4" s="181">
        <v>0</v>
      </c>
      <c r="AQ4" s="181">
        <v>0</v>
      </c>
      <c r="AR4" s="181">
        <f>SUM(AO4:AQ4)</f>
        <v>0</v>
      </c>
      <c r="AY4" s="106" t="s">
        <v>400</v>
      </c>
      <c r="AZ4" s="89">
        <v>0</v>
      </c>
      <c r="BA4" s="89">
        <v>0</v>
      </c>
      <c r="BB4" s="89">
        <v>0</v>
      </c>
      <c r="BC4" s="89">
        <f>SUM(AZ4:BB4)</f>
        <v>0</v>
      </c>
    </row>
    <row r="5" spans="2:55" ht="52.2" customHeight="1" x14ac:dyDescent="0.35">
      <c r="B5" s="693"/>
      <c r="C5" s="674"/>
      <c r="D5" s="675"/>
      <c r="E5" s="676"/>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3"/>
      <c r="AI5" s="833"/>
      <c r="AJ5" s="1258" t="s">
        <v>1458</v>
      </c>
      <c r="AK5" s="1258"/>
      <c r="AL5" s="1258"/>
      <c r="AM5" s="1258"/>
      <c r="AN5" s="1258"/>
      <c r="AO5" s="1258"/>
      <c r="AP5" s="1258"/>
      <c r="AQ5" s="1258"/>
      <c r="AR5" s="1258"/>
      <c r="AS5" s="1258"/>
      <c r="AT5" s="1258"/>
    </row>
    <row r="6" spans="2:55" ht="7.2" hidden="1" customHeight="1" x14ac:dyDescent="0.3">
      <c r="B6" s="683"/>
      <c r="C6" s="683"/>
      <c r="D6" s="683"/>
      <c r="E6" s="683"/>
      <c r="F6" s="683"/>
      <c r="G6" s="683"/>
      <c r="H6" s="683"/>
      <c r="I6" s="683"/>
      <c r="J6" s="683"/>
      <c r="K6" s="683"/>
      <c r="L6" s="683"/>
      <c r="AN6" s="106"/>
    </row>
    <row r="7" spans="2:55" ht="7.2" customHeight="1" x14ac:dyDescent="0.3">
      <c r="B7" s="18"/>
      <c r="C7" s="591"/>
      <c r="AN7" s="106"/>
    </row>
    <row r="8" spans="2:55" ht="15.6" x14ac:dyDescent="0.3">
      <c r="B8" s="18"/>
      <c r="C8" s="1257" t="str">
        <f>'Overzicht project'!$C$40</f>
        <v>Kies de zorgvorm</v>
      </c>
      <c r="D8" s="1257"/>
      <c r="E8" s="1257"/>
      <c r="F8" s="1257"/>
      <c r="G8" s="1257"/>
      <c r="H8" s="1257"/>
      <c r="I8" s="1257"/>
      <c r="J8" s="1257"/>
      <c r="K8" s="1257"/>
      <c r="L8" s="1257"/>
      <c r="N8" s="1257" t="str">
        <f>'Overzicht project'!$C$41</f>
        <v>Kies de zorgvorm</v>
      </c>
      <c r="O8" s="1257"/>
      <c r="P8" s="1257"/>
      <c r="Q8" s="1257"/>
      <c r="R8" s="1257"/>
      <c r="S8" s="1257"/>
      <c r="T8" s="1257"/>
      <c r="U8" s="1257"/>
      <c r="V8" s="1257"/>
      <c r="W8" s="1257"/>
      <c r="X8" s="643"/>
      <c r="Y8" s="1257" t="str">
        <f>'Overzicht project'!$C$42</f>
        <v>Kies de zorgvorm</v>
      </c>
      <c r="Z8" s="1257"/>
      <c r="AA8" s="1257"/>
      <c r="AB8" s="1257"/>
      <c r="AC8" s="1257"/>
      <c r="AD8" s="1257"/>
      <c r="AE8" s="1257"/>
      <c r="AF8" s="1257"/>
      <c r="AG8" s="1257"/>
      <c r="AH8" s="1257"/>
    </row>
    <row r="9" spans="2:55"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55" x14ac:dyDescent="0.3">
      <c r="C10" s="1253" t="s">
        <v>401</v>
      </c>
      <c r="D10" s="1254"/>
      <c r="E10" s="1255"/>
      <c r="F10" s="473">
        <f>IF(ISNUMBER(MATCH($B$3,'Overzicht project'!C48:C51,0)),VLOOKUP('Bouwkost VERB'!B3,'Overzicht project'!C48:D51,2,FALSE),0)</f>
        <v>0</v>
      </c>
      <c r="G10" s="658"/>
      <c r="H10" s="658"/>
      <c r="N10" s="1256" t="s">
        <v>401</v>
      </c>
      <c r="O10" s="1256"/>
      <c r="P10" s="1256"/>
      <c r="Q10" s="473">
        <f>IF(ISNUMBER(MATCH($B$3,'Overzicht project'!C55:C58,0)),VLOOKUP('Bouwkost VERB'!B3,'Overzicht project'!C55:D58,2,FALSE),0)</f>
        <v>0</v>
      </c>
      <c r="Y10" s="1256" t="s">
        <v>401</v>
      </c>
      <c r="Z10" s="1256"/>
      <c r="AA10" s="1256"/>
      <c r="AB10" s="473">
        <f>IF(ISNUMBER(MATCH($B$3,'Overzicht project'!C62:C65,0)),VLOOKUP('Bouwkost VERB'!B3,'Overzicht project'!C62:D65,2,FALSE),0)</f>
        <v>0</v>
      </c>
    </row>
    <row r="11" spans="2:55" x14ac:dyDescent="0.3">
      <c r="C11" s="1253" t="s">
        <v>402</v>
      </c>
      <c r="D11" s="1254"/>
      <c r="E11" s="1255"/>
      <c r="F11" s="473">
        <v>0.21</v>
      </c>
      <c r="G11" s="658"/>
      <c r="H11" s="658"/>
      <c r="N11" s="1256" t="s">
        <v>402</v>
      </c>
      <c r="O11" s="1256"/>
      <c r="P11" s="1256"/>
      <c r="Q11" s="473">
        <v>0.21</v>
      </c>
      <c r="Y11" s="1256" t="s">
        <v>402</v>
      </c>
      <c r="Z11" s="1256"/>
      <c r="AA11" s="1256"/>
      <c r="AB11" s="473">
        <v>0.21</v>
      </c>
      <c r="AZ11" s="609" t="s">
        <v>412</v>
      </c>
      <c r="BA11" s="609" t="s">
        <v>413</v>
      </c>
      <c r="BB11" s="609" t="s">
        <v>414</v>
      </c>
    </row>
    <row r="12" spans="2:55" x14ac:dyDescent="0.3">
      <c r="C12" s="1253" t="s">
        <v>403</v>
      </c>
      <c r="D12" s="1254"/>
      <c r="E12" s="1255"/>
      <c r="F12" s="473">
        <v>0.21</v>
      </c>
      <c r="G12" s="658"/>
      <c r="H12" s="658"/>
      <c r="N12" s="1256" t="s">
        <v>403</v>
      </c>
      <c r="O12" s="1256"/>
      <c r="P12" s="1256"/>
      <c r="Q12" s="473">
        <v>0.21</v>
      </c>
      <c r="Y12" s="1256" t="s">
        <v>403</v>
      </c>
      <c r="Z12" s="1256"/>
      <c r="AA12" s="1256"/>
      <c r="AB12" s="473">
        <v>0.21</v>
      </c>
      <c r="AZ12" s="599">
        <f>IFERROR(H12*$AZ$4/$BC$4,0)</f>
        <v>0</v>
      </c>
      <c r="BA12" s="599">
        <f>IFERROR(H12*$BA$4/$BC$4,0)</f>
        <v>0</v>
      </c>
      <c r="BB12" s="599">
        <f>IFERROR(H12*$BB$4/$BC$4,0)</f>
        <v>0</v>
      </c>
    </row>
    <row r="13" spans="2:55" x14ac:dyDescent="0.3">
      <c r="C13" s="1253" t="s">
        <v>404</v>
      </c>
      <c r="D13" s="1254"/>
      <c r="E13" s="1255"/>
      <c r="F13" s="473">
        <v>0.06</v>
      </c>
      <c r="N13" s="1256" t="s">
        <v>404</v>
      </c>
      <c r="O13" s="1256"/>
      <c r="P13" s="1256"/>
      <c r="Q13" s="473">
        <v>0.06</v>
      </c>
      <c r="Y13" s="1256" t="s">
        <v>404</v>
      </c>
      <c r="Z13" s="1256"/>
      <c r="AA13" s="1256"/>
      <c r="AB13" s="473">
        <v>0.06</v>
      </c>
      <c r="AZ13" s="599">
        <f t="shared" ref="AZ13:AZ70" si="0">IFERROR(H13*$AZ$4/$BC$4,0)</f>
        <v>0</v>
      </c>
      <c r="BA13" s="599">
        <f t="shared" ref="BA13:BA69" si="1">IFERROR(H13*$BA$4/$BC$4,0)</f>
        <v>0</v>
      </c>
      <c r="BB13" s="599">
        <f t="shared" ref="BB13:BB72" si="2">IFERROR(H13*$BB$4/$BC$4,0)</f>
        <v>0</v>
      </c>
    </row>
    <row r="14" spans="2:55" x14ac:dyDescent="0.3">
      <c r="B14" s="339"/>
      <c r="C14" s="635"/>
      <c r="AZ14" s="599">
        <f t="shared" si="0"/>
        <v>0</v>
      </c>
      <c r="BA14" s="599">
        <f t="shared" si="1"/>
        <v>0</v>
      </c>
      <c r="BB14" s="599">
        <f t="shared" si="2"/>
        <v>0</v>
      </c>
    </row>
    <row r="15" spans="2:55" collapsed="1"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609" t="s">
        <v>412</v>
      </c>
      <c r="AO15" s="609" t="s">
        <v>413</v>
      </c>
      <c r="AP15" s="609" t="s">
        <v>414</v>
      </c>
      <c r="AZ15" s="599">
        <f t="shared" si="0"/>
        <v>0</v>
      </c>
      <c r="BA15" s="599">
        <f t="shared" si="1"/>
        <v>0</v>
      </c>
      <c r="BB15" s="599">
        <f t="shared" si="2"/>
        <v>0</v>
      </c>
    </row>
    <row r="16" spans="2:55" x14ac:dyDescent="0.3">
      <c r="B16" s="336" t="s">
        <v>415</v>
      </c>
      <c r="C16" s="663">
        <v>0</v>
      </c>
      <c r="D16" s="336"/>
      <c r="E16" s="663">
        <f>C16</f>
        <v>0</v>
      </c>
      <c r="F16" s="336"/>
      <c r="G16" s="664">
        <f>C16</f>
        <v>0</v>
      </c>
      <c r="H16" s="336"/>
      <c r="I16" s="664">
        <f>C16</f>
        <v>0</v>
      </c>
      <c r="J16" s="336"/>
      <c r="K16" s="663">
        <f>C16</f>
        <v>0</v>
      </c>
      <c r="L16" s="336"/>
      <c r="M16" s="23"/>
      <c r="N16" s="663">
        <v>0</v>
      </c>
      <c r="O16" s="336"/>
      <c r="P16" s="663">
        <f>N16</f>
        <v>0</v>
      </c>
      <c r="Q16" s="336"/>
      <c r="R16" s="664">
        <f>N16</f>
        <v>0</v>
      </c>
      <c r="S16" s="336"/>
      <c r="T16" s="664">
        <f>N16</f>
        <v>0</v>
      </c>
      <c r="U16" s="336"/>
      <c r="V16" s="663">
        <f>N16</f>
        <v>0</v>
      </c>
      <c r="W16" s="336"/>
      <c r="X16" s="644"/>
      <c r="Y16" s="663">
        <f>'analyse bij belofte'!AG12</f>
        <v>0</v>
      </c>
      <c r="Z16" s="336"/>
      <c r="AA16" s="663">
        <f>Y16</f>
        <v>0</v>
      </c>
      <c r="AB16" s="336"/>
      <c r="AC16" s="664">
        <f>Y16</f>
        <v>0</v>
      </c>
      <c r="AD16" s="336"/>
      <c r="AE16" s="664">
        <f>Y16</f>
        <v>0</v>
      </c>
      <c r="AF16" s="336"/>
      <c r="AG16" s="663">
        <f>Y16</f>
        <v>0</v>
      </c>
      <c r="AH16" s="336"/>
      <c r="AJ16" t="s">
        <v>416</v>
      </c>
      <c r="AL16" s="423">
        <f>AG16+V16+K16</f>
        <v>0</v>
      </c>
      <c r="AN16" s="599">
        <f>AKzondVERB!B13</f>
        <v>0</v>
      </c>
      <c r="AO16" s="599">
        <f>AKzondVERB!H13</f>
        <v>0</v>
      </c>
      <c r="AP16" s="599">
        <f>AKzondVERB!N13</f>
        <v>0</v>
      </c>
      <c r="AZ16" s="599">
        <f t="shared" si="0"/>
        <v>0</v>
      </c>
      <c r="BA16" s="599">
        <f t="shared" si="1"/>
        <v>0</v>
      </c>
      <c r="BB16" s="599">
        <f t="shared" si="2"/>
        <v>0</v>
      </c>
    </row>
    <row r="17" spans="1:120" outlineLevel="1" x14ac:dyDescent="0.3">
      <c r="B17" s="737" t="s">
        <v>417</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423">
        <f t="shared" ref="AL17:AL81" si="3">AG17+V17+K17</f>
        <v>0</v>
      </c>
      <c r="AN17" s="599">
        <f t="shared" ref="AN17:AN51" si="4">IFERROR(K17*$AO$4/$AR$4,0)</f>
        <v>0</v>
      </c>
      <c r="AO17" s="599">
        <f t="shared" ref="AO17:AO51" si="5">IFERROR(K17*$AP$4/$AR$4,0)</f>
        <v>0</v>
      </c>
      <c r="AP17" s="599">
        <f t="shared" ref="AP17:AP51" si="6">IFERROR(K17*$AQ$4/$AR$4,0)</f>
        <v>0</v>
      </c>
      <c r="AZ17" s="599">
        <f t="shared" si="0"/>
        <v>0</v>
      </c>
      <c r="BA17" s="599">
        <f t="shared" si="1"/>
        <v>0</v>
      </c>
      <c r="BB17" s="599">
        <f t="shared" si="2"/>
        <v>0</v>
      </c>
    </row>
    <row r="18" spans="1:120" outlineLevel="1" x14ac:dyDescent="0.3">
      <c r="B18" s="737" t="s">
        <v>418</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423">
        <f t="shared" si="3"/>
        <v>0</v>
      </c>
      <c r="AN18" s="599">
        <f t="shared" si="4"/>
        <v>0</v>
      </c>
      <c r="AO18" s="599">
        <f t="shared" si="5"/>
        <v>0</v>
      </c>
      <c r="AP18" s="599">
        <f t="shared" si="6"/>
        <v>0</v>
      </c>
      <c r="AZ18" s="599">
        <f t="shared" si="0"/>
        <v>0</v>
      </c>
      <c r="BA18" s="599">
        <f t="shared" si="1"/>
        <v>0</v>
      </c>
      <c r="BB18" s="599">
        <f t="shared" si="2"/>
        <v>0</v>
      </c>
    </row>
    <row r="19" spans="1:120" outlineLevel="1" x14ac:dyDescent="0.3">
      <c r="B19" s="737" t="s">
        <v>419</v>
      </c>
      <c r="C19" s="738">
        <v>0</v>
      </c>
      <c r="D19" s="739"/>
      <c r="E19" s="738">
        <v>0</v>
      </c>
      <c r="F19" s="739"/>
      <c r="G19" s="738">
        <v>0</v>
      </c>
      <c r="H19" s="739"/>
      <c r="I19" s="738">
        <v>0</v>
      </c>
      <c r="J19" s="739"/>
      <c r="K19" s="738">
        <v>0</v>
      </c>
      <c r="L19" s="739"/>
      <c r="N19" s="738">
        <v>0</v>
      </c>
      <c r="O19" s="739"/>
      <c r="P19" s="738">
        <v>0</v>
      </c>
      <c r="Q19" s="739"/>
      <c r="R19" s="738">
        <v>0</v>
      </c>
      <c r="S19" s="739"/>
      <c r="T19" s="738">
        <v>0</v>
      </c>
      <c r="U19" s="739"/>
      <c r="V19" s="738">
        <v>0</v>
      </c>
      <c r="W19" s="739"/>
      <c r="Y19" s="738">
        <v>0</v>
      </c>
      <c r="Z19" s="739"/>
      <c r="AA19" s="738">
        <v>0</v>
      </c>
      <c r="AB19" s="739"/>
      <c r="AC19" s="738">
        <v>0</v>
      </c>
      <c r="AD19" s="739"/>
      <c r="AE19" s="738">
        <v>0</v>
      </c>
      <c r="AF19" s="739"/>
      <c r="AG19" s="738">
        <v>0</v>
      </c>
      <c r="AH19" s="739"/>
      <c r="AL19" s="423">
        <f t="shared" si="3"/>
        <v>0</v>
      </c>
      <c r="AN19" s="599">
        <f t="shared" si="4"/>
        <v>0</v>
      </c>
      <c r="AO19" s="599">
        <f t="shared" si="5"/>
        <v>0</v>
      </c>
      <c r="AP19" s="599">
        <f t="shared" si="6"/>
        <v>0</v>
      </c>
      <c r="AZ19" s="599">
        <f t="shared" si="0"/>
        <v>0</v>
      </c>
      <c r="BA19" s="599">
        <f t="shared" si="1"/>
        <v>0</v>
      </c>
      <c r="BB19" s="599">
        <f t="shared" si="2"/>
        <v>0</v>
      </c>
    </row>
    <row r="20" spans="1:120" x14ac:dyDescent="0.3">
      <c r="B20" s="336" t="s">
        <v>420</v>
      </c>
      <c r="C20" s="663"/>
      <c r="D20" s="332"/>
      <c r="E20" s="663"/>
      <c r="F20" s="332"/>
      <c r="G20" s="664"/>
      <c r="H20" s="332"/>
      <c r="I20" s="664"/>
      <c r="J20" s="332"/>
      <c r="K20" s="663"/>
      <c r="L20" s="332"/>
      <c r="M20" s="51"/>
      <c r="N20" s="663"/>
      <c r="O20" s="332"/>
      <c r="P20" s="663"/>
      <c r="Q20" s="332"/>
      <c r="R20" s="664"/>
      <c r="S20" s="332"/>
      <c r="T20" s="664"/>
      <c r="U20" s="332"/>
      <c r="V20" s="663"/>
      <c r="W20" s="332"/>
      <c r="X20" s="645"/>
      <c r="Y20" s="663"/>
      <c r="Z20" s="332"/>
      <c r="AA20" s="663"/>
      <c r="AB20" s="332"/>
      <c r="AC20" s="664"/>
      <c r="AD20" s="332"/>
      <c r="AE20" s="664"/>
      <c r="AF20" s="332"/>
      <c r="AG20" s="663"/>
      <c r="AH20" s="332"/>
      <c r="AL20" s="423">
        <f t="shared" si="3"/>
        <v>0</v>
      </c>
      <c r="AN20" s="599">
        <f t="shared" si="4"/>
        <v>0</v>
      </c>
      <c r="AO20" s="599">
        <f t="shared" si="5"/>
        <v>0</v>
      </c>
      <c r="AP20" s="599">
        <f t="shared" si="6"/>
        <v>0</v>
      </c>
      <c r="AZ20" s="599">
        <f t="shared" si="0"/>
        <v>0</v>
      </c>
      <c r="BA20" s="599">
        <f t="shared" si="1"/>
        <v>0</v>
      </c>
      <c r="BB20" s="599">
        <f t="shared" si="2"/>
        <v>0</v>
      </c>
    </row>
    <row r="21" spans="1:120" s="168" customFormat="1" outlineLevel="1" x14ac:dyDescent="0.3">
      <c r="A21"/>
      <c r="B21" s="737" t="s">
        <v>421</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I21"/>
      <c r="AJ21"/>
      <c r="AK21"/>
      <c r="AL21" s="423">
        <f t="shared" si="3"/>
        <v>0</v>
      </c>
      <c r="AM21"/>
      <c r="AN21" s="599">
        <f t="shared" si="4"/>
        <v>0</v>
      </c>
      <c r="AO21" s="599">
        <f t="shared" si="5"/>
        <v>0</v>
      </c>
      <c r="AP21" s="599">
        <f t="shared" si="6"/>
        <v>0</v>
      </c>
      <c r="AQ21"/>
      <c r="AR21"/>
      <c r="AS21"/>
      <c r="AT21"/>
      <c r="AU21"/>
      <c r="AV21"/>
      <c r="AW21"/>
      <c r="AX21"/>
      <c r="AY21"/>
      <c r="AZ21" s="599">
        <f t="shared" si="0"/>
        <v>0</v>
      </c>
      <c r="BA21" s="599">
        <f t="shared" si="1"/>
        <v>0</v>
      </c>
      <c r="BB21" s="599">
        <f t="shared" si="2"/>
        <v>0</v>
      </c>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row>
    <row r="22" spans="1:120" s="168" customFormat="1" outlineLevel="1" x14ac:dyDescent="0.3">
      <c r="A22"/>
      <c r="B22" s="737" t="s">
        <v>422</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I22"/>
      <c r="AJ22"/>
      <c r="AK22"/>
      <c r="AL22" s="423">
        <f t="shared" si="3"/>
        <v>0</v>
      </c>
      <c r="AM22"/>
      <c r="AN22" s="599">
        <f t="shared" si="4"/>
        <v>0</v>
      </c>
      <c r="AO22" s="599">
        <f t="shared" si="5"/>
        <v>0</v>
      </c>
      <c r="AP22" s="599">
        <f t="shared" si="6"/>
        <v>0</v>
      </c>
      <c r="AQ22"/>
      <c r="AR22"/>
      <c r="AS22"/>
      <c r="AT22"/>
      <c r="AU22"/>
      <c r="AV22"/>
      <c r="AW22"/>
      <c r="AX22"/>
      <c r="AY22"/>
      <c r="AZ22" s="599">
        <f t="shared" si="0"/>
        <v>0</v>
      </c>
      <c r="BA22" s="599">
        <f t="shared" si="1"/>
        <v>0</v>
      </c>
      <c r="BB22" s="599">
        <f t="shared" si="2"/>
        <v>0</v>
      </c>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row>
    <row r="23" spans="1:120" s="168" customFormat="1" outlineLevel="1" x14ac:dyDescent="0.3">
      <c r="A23"/>
      <c r="B23" s="737" t="s">
        <v>423</v>
      </c>
      <c r="C23" s="738">
        <v>0</v>
      </c>
      <c r="D23" s="739"/>
      <c r="E23" s="738">
        <v>0</v>
      </c>
      <c r="F23" s="739"/>
      <c r="G23" s="738">
        <v>0</v>
      </c>
      <c r="H23" s="739"/>
      <c r="I23" s="738">
        <v>0</v>
      </c>
      <c r="J23" s="739"/>
      <c r="K23" s="738">
        <v>0</v>
      </c>
      <c r="L23" s="739"/>
      <c r="M23"/>
      <c r="N23" s="738">
        <v>0</v>
      </c>
      <c r="O23" s="739"/>
      <c r="P23" s="738">
        <v>0</v>
      </c>
      <c r="Q23" s="739"/>
      <c r="R23" s="738">
        <v>0</v>
      </c>
      <c r="S23" s="739"/>
      <c r="T23" s="738">
        <v>0</v>
      </c>
      <c r="U23" s="739"/>
      <c r="V23" s="738">
        <v>0</v>
      </c>
      <c r="W23" s="739"/>
      <c r="X23"/>
      <c r="Y23" s="738">
        <v>0</v>
      </c>
      <c r="Z23" s="739"/>
      <c r="AA23" s="738">
        <v>0</v>
      </c>
      <c r="AB23" s="739"/>
      <c r="AC23" s="738">
        <v>0</v>
      </c>
      <c r="AD23" s="739"/>
      <c r="AE23" s="738">
        <v>0</v>
      </c>
      <c r="AF23" s="739"/>
      <c r="AG23" s="738">
        <v>0</v>
      </c>
      <c r="AH23" s="739"/>
      <c r="AI23"/>
      <c r="AJ23"/>
      <c r="AK23"/>
      <c r="AL23" s="423">
        <f t="shared" si="3"/>
        <v>0</v>
      </c>
      <c r="AM23"/>
      <c r="AN23" s="599">
        <f t="shared" si="4"/>
        <v>0</v>
      </c>
      <c r="AO23" s="599">
        <f t="shared" si="5"/>
        <v>0</v>
      </c>
      <c r="AP23" s="599">
        <f t="shared" si="6"/>
        <v>0</v>
      </c>
      <c r="AQ23"/>
      <c r="AR23"/>
      <c r="AS23"/>
      <c r="AT23"/>
      <c r="AU23"/>
      <c r="AV23"/>
      <c r="AW23"/>
      <c r="AX23"/>
      <c r="AY23"/>
      <c r="AZ23" s="599">
        <f t="shared" si="0"/>
        <v>0</v>
      </c>
      <c r="BA23" s="599">
        <f t="shared" si="1"/>
        <v>0</v>
      </c>
      <c r="BB23" s="599">
        <f t="shared" si="2"/>
        <v>0</v>
      </c>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row>
    <row r="24" spans="1:120" s="168" customFormat="1" x14ac:dyDescent="0.3">
      <c r="A24"/>
      <c r="B24" s="336" t="s">
        <v>123</v>
      </c>
      <c r="C24" s="663">
        <v>0</v>
      </c>
      <c r="D24" s="335"/>
      <c r="E24" s="663">
        <f>C24</f>
        <v>0</v>
      </c>
      <c r="F24" s="335"/>
      <c r="G24" s="664"/>
      <c r="H24" s="335"/>
      <c r="I24" s="664"/>
      <c r="J24" s="335"/>
      <c r="K24" s="663"/>
      <c r="L24" s="335"/>
      <c r="M24" s="39"/>
      <c r="N24" s="663">
        <v>0</v>
      </c>
      <c r="O24" s="335"/>
      <c r="P24" s="663">
        <f>N24</f>
        <v>0</v>
      </c>
      <c r="Q24" s="335"/>
      <c r="R24" s="664"/>
      <c r="S24" s="335"/>
      <c r="T24" s="664"/>
      <c r="U24" s="335"/>
      <c r="V24" s="663"/>
      <c r="W24" s="335"/>
      <c r="X24" s="646"/>
      <c r="Y24" s="663">
        <v>0</v>
      </c>
      <c r="Z24" s="335"/>
      <c r="AA24" s="663">
        <f>Y24</f>
        <v>0</v>
      </c>
      <c r="AB24" s="335"/>
      <c r="AC24" s="664"/>
      <c r="AD24" s="335"/>
      <c r="AE24" s="664"/>
      <c r="AF24" s="335"/>
      <c r="AG24" s="663"/>
      <c r="AH24" s="335"/>
      <c r="AI24"/>
      <c r="AJ24" s="337" t="s">
        <v>424</v>
      </c>
      <c r="AK24"/>
      <c r="AL24" s="423">
        <f t="shared" si="3"/>
        <v>0</v>
      </c>
      <c r="AM24"/>
      <c r="AN24" s="599">
        <f t="shared" si="4"/>
        <v>0</v>
      </c>
      <c r="AO24" s="599">
        <f t="shared" si="5"/>
        <v>0</v>
      </c>
      <c r="AP24" s="599">
        <f t="shared" si="6"/>
        <v>0</v>
      </c>
      <c r="AQ24"/>
      <c r="AR24"/>
      <c r="AS24"/>
      <c r="AT24"/>
      <c r="AU24"/>
      <c r="AV24"/>
      <c r="AW24"/>
      <c r="AX24"/>
      <c r="AY24"/>
      <c r="AZ24" s="599">
        <f t="shared" si="0"/>
        <v>0</v>
      </c>
      <c r="BA24" s="599">
        <f t="shared" si="1"/>
        <v>0</v>
      </c>
      <c r="BB24" s="599">
        <f t="shared" si="2"/>
        <v>0</v>
      </c>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row>
    <row r="25" spans="1:120" s="168" customFormat="1" outlineLevel="1" x14ac:dyDescent="0.3">
      <c r="A25"/>
      <c r="B25" s="737" t="s">
        <v>425</v>
      </c>
      <c r="C25" s="740">
        <v>0</v>
      </c>
      <c r="D25" s="741">
        <f>F10</f>
        <v>0</v>
      </c>
      <c r="E25" s="740">
        <v>0</v>
      </c>
      <c r="F25" s="741">
        <f>F$10</f>
        <v>0</v>
      </c>
      <c r="G25" s="740">
        <v>0</v>
      </c>
      <c r="H25" s="741">
        <f>F25</f>
        <v>0</v>
      </c>
      <c r="I25" s="740">
        <v>0</v>
      </c>
      <c r="J25" s="741">
        <f>H25</f>
        <v>0</v>
      </c>
      <c r="K25" s="740">
        <v>0</v>
      </c>
      <c r="L25" s="741">
        <f>J25</f>
        <v>0</v>
      </c>
      <c r="M25" s="629"/>
      <c r="N25" s="740">
        <v>0</v>
      </c>
      <c r="O25" s="741">
        <f>$Q$10</f>
        <v>0</v>
      </c>
      <c r="P25" s="740">
        <v>0</v>
      </c>
      <c r="Q25" s="741">
        <f>O25</f>
        <v>0</v>
      </c>
      <c r="R25" s="740">
        <v>0</v>
      </c>
      <c r="S25" s="741">
        <f>Q25</f>
        <v>0</v>
      </c>
      <c r="T25" s="740">
        <v>0</v>
      </c>
      <c r="U25" s="741">
        <f>S25</f>
        <v>0</v>
      </c>
      <c r="V25" s="740">
        <v>0</v>
      </c>
      <c r="W25" s="741">
        <f>$AB$10</f>
        <v>0</v>
      </c>
      <c r="X25" s="647"/>
      <c r="Y25" s="740">
        <v>0</v>
      </c>
      <c r="Z25" s="741">
        <f>$AB$10</f>
        <v>0</v>
      </c>
      <c r="AA25" s="740">
        <v>0</v>
      </c>
      <c r="AB25" s="741">
        <f>Z25</f>
        <v>0</v>
      </c>
      <c r="AC25" s="740">
        <v>0</v>
      </c>
      <c r="AD25" s="741">
        <f>AB25</f>
        <v>0</v>
      </c>
      <c r="AE25" s="740">
        <v>0</v>
      </c>
      <c r="AF25" s="741">
        <f>AD25</f>
        <v>0</v>
      </c>
      <c r="AG25" s="740">
        <v>0</v>
      </c>
      <c r="AH25" s="741">
        <f>AF25</f>
        <v>0</v>
      </c>
      <c r="AI25"/>
      <c r="AJ25" t="s">
        <v>426</v>
      </c>
      <c r="AK25"/>
      <c r="AL25" s="423">
        <f t="shared" si="3"/>
        <v>0</v>
      </c>
      <c r="AM25"/>
      <c r="AN25" s="599">
        <f t="shared" si="4"/>
        <v>0</v>
      </c>
      <c r="AO25" s="599">
        <f t="shared" si="5"/>
        <v>0</v>
      </c>
      <c r="AP25" s="599">
        <f t="shared" si="6"/>
        <v>0</v>
      </c>
      <c r="AQ25"/>
      <c r="AR25"/>
      <c r="AS25"/>
      <c r="AT25"/>
      <c r="AU25"/>
      <c r="AV25"/>
      <c r="AW25"/>
      <c r="AX25"/>
      <c r="AY25"/>
      <c r="AZ25" s="599">
        <f t="shared" si="0"/>
        <v>0</v>
      </c>
      <c r="BA25" s="599">
        <f t="shared" si="1"/>
        <v>0</v>
      </c>
      <c r="BB25" s="599">
        <f t="shared" si="2"/>
        <v>0</v>
      </c>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row>
    <row r="26" spans="1:120" s="168" customFormat="1" outlineLevel="1" x14ac:dyDescent="0.3">
      <c r="A26"/>
      <c r="B26" s="737" t="s">
        <v>427</v>
      </c>
      <c r="C26" s="740">
        <v>0</v>
      </c>
      <c r="D26" s="741">
        <f>$F$10</f>
        <v>0</v>
      </c>
      <c r="E26" s="740">
        <v>0</v>
      </c>
      <c r="F26" s="741">
        <f t="shared" ref="F26:F30" si="7">F$10</f>
        <v>0</v>
      </c>
      <c r="G26" s="740">
        <v>0</v>
      </c>
      <c r="H26" s="741">
        <f t="shared" ref="H26:L30" si="8">F26</f>
        <v>0</v>
      </c>
      <c r="I26" s="740">
        <v>0</v>
      </c>
      <c r="J26" s="741">
        <f t="shared" si="8"/>
        <v>0</v>
      </c>
      <c r="K26" s="740">
        <v>0</v>
      </c>
      <c r="L26" s="741">
        <f t="shared" si="8"/>
        <v>0</v>
      </c>
      <c r="M26" s="629"/>
      <c r="N26" s="740">
        <v>0</v>
      </c>
      <c r="O26" s="741">
        <f t="shared" ref="O26:O30" si="9">$Q$10</f>
        <v>0</v>
      </c>
      <c r="P26" s="740">
        <v>0</v>
      </c>
      <c r="Q26" s="741">
        <f t="shared" ref="Q26:Q30" si="10">O26</f>
        <v>0</v>
      </c>
      <c r="R26" s="740">
        <v>0</v>
      </c>
      <c r="S26" s="741">
        <f t="shared" ref="S26:S30" si="11">Q26</f>
        <v>0</v>
      </c>
      <c r="T26" s="740">
        <v>0</v>
      </c>
      <c r="U26" s="741">
        <f t="shared" ref="U26:U30" si="12">S26</f>
        <v>0</v>
      </c>
      <c r="V26" s="740">
        <v>0</v>
      </c>
      <c r="W26" s="741">
        <f t="shared" ref="W26:W30" si="13">$AB$10</f>
        <v>0</v>
      </c>
      <c r="X26" s="647"/>
      <c r="Y26" s="740">
        <v>0</v>
      </c>
      <c r="Z26" s="741">
        <f t="shared" ref="Z26:Z30" si="14">$AB$10</f>
        <v>0</v>
      </c>
      <c r="AA26" s="740">
        <v>0</v>
      </c>
      <c r="AB26" s="741">
        <f t="shared" ref="AB26:AB30" si="15">Z26</f>
        <v>0</v>
      </c>
      <c r="AC26" s="740">
        <v>0</v>
      </c>
      <c r="AD26" s="741">
        <f t="shared" ref="AD26:AD30" si="16">AB26</f>
        <v>0</v>
      </c>
      <c r="AE26" s="740">
        <v>0</v>
      </c>
      <c r="AF26" s="741">
        <f t="shared" ref="AF26:AF30" si="17">AD26</f>
        <v>0</v>
      </c>
      <c r="AG26" s="740">
        <v>0</v>
      </c>
      <c r="AH26" s="741">
        <f t="shared" ref="AH26:AH30" si="18">AF26</f>
        <v>0</v>
      </c>
      <c r="AI26"/>
      <c r="AJ26"/>
      <c r="AK26"/>
      <c r="AL26" s="423">
        <f t="shared" si="3"/>
        <v>0</v>
      </c>
      <c r="AM26"/>
      <c r="AN26" s="599">
        <f t="shared" si="4"/>
        <v>0</v>
      </c>
      <c r="AO26" s="599">
        <f t="shared" si="5"/>
        <v>0</v>
      </c>
      <c r="AP26" s="599">
        <f t="shared" si="6"/>
        <v>0</v>
      </c>
      <c r="AQ26"/>
      <c r="AR26"/>
      <c r="AS26"/>
      <c r="AT26"/>
      <c r="AU26"/>
      <c r="AV26"/>
      <c r="AW26"/>
      <c r="AX26"/>
      <c r="AY26"/>
      <c r="AZ26" s="599">
        <f t="shared" si="0"/>
        <v>0</v>
      </c>
      <c r="BA26" s="599">
        <f t="shared" si="1"/>
        <v>0</v>
      </c>
      <c r="BB26" s="599">
        <f t="shared" si="2"/>
        <v>0</v>
      </c>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row>
    <row r="27" spans="1:120" outlineLevel="1" x14ac:dyDescent="0.3">
      <c r="B27" s="737" t="s">
        <v>428</v>
      </c>
      <c r="C27" s="740">
        <v>0</v>
      </c>
      <c r="D27" s="741">
        <f>$F$10</f>
        <v>0</v>
      </c>
      <c r="E27" s="740">
        <v>0</v>
      </c>
      <c r="F27" s="741">
        <f t="shared" si="7"/>
        <v>0</v>
      </c>
      <c r="G27" s="740">
        <v>0</v>
      </c>
      <c r="H27" s="741">
        <f t="shared" si="8"/>
        <v>0</v>
      </c>
      <c r="I27" s="740">
        <v>0</v>
      </c>
      <c r="J27" s="741">
        <f t="shared" si="8"/>
        <v>0</v>
      </c>
      <c r="K27" s="740">
        <v>0</v>
      </c>
      <c r="L27" s="741">
        <f t="shared" si="8"/>
        <v>0</v>
      </c>
      <c r="M27" s="629"/>
      <c r="N27" s="740">
        <v>0</v>
      </c>
      <c r="O27" s="741">
        <f t="shared" si="9"/>
        <v>0</v>
      </c>
      <c r="P27" s="740">
        <v>0</v>
      </c>
      <c r="Q27" s="741">
        <f t="shared" si="10"/>
        <v>0</v>
      </c>
      <c r="R27" s="740">
        <v>0</v>
      </c>
      <c r="S27" s="741">
        <f t="shared" si="11"/>
        <v>0</v>
      </c>
      <c r="T27" s="740">
        <v>0</v>
      </c>
      <c r="U27" s="741">
        <f t="shared" si="12"/>
        <v>0</v>
      </c>
      <c r="V27" s="740">
        <v>0</v>
      </c>
      <c r="W27" s="741">
        <f t="shared" si="13"/>
        <v>0</v>
      </c>
      <c r="X27" s="647"/>
      <c r="Y27" s="740">
        <v>0</v>
      </c>
      <c r="Z27" s="741">
        <f t="shared" si="14"/>
        <v>0</v>
      </c>
      <c r="AA27" s="740">
        <v>0</v>
      </c>
      <c r="AB27" s="741">
        <f t="shared" si="15"/>
        <v>0</v>
      </c>
      <c r="AC27" s="740">
        <v>0</v>
      </c>
      <c r="AD27" s="741">
        <f t="shared" si="16"/>
        <v>0</v>
      </c>
      <c r="AE27" s="740">
        <v>0</v>
      </c>
      <c r="AF27" s="741">
        <f t="shared" si="17"/>
        <v>0</v>
      </c>
      <c r="AG27" s="740">
        <v>0</v>
      </c>
      <c r="AH27" s="741">
        <f t="shared" si="18"/>
        <v>0</v>
      </c>
      <c r="AL27" s="423">
        <f t="shared" si="3"/>
        <v>0</v>
      </c>
      <c r="AN27" s="599">
        <f t="shared" si="4"/>
        <v>0</v>
      </c>
      <c r="AO27" s="599">
        <f t="shared" si="5"/>
        <v>0</v>
      </c>
      <c r="AP27" s="599">
        <f t="shared" si="6"/>
        <v>0</v>
      </c>
      <c r="AZ27" s="599">
        <f t="shared" si="0"/>
        <v>0</v>
      </c>
      <c r="BA27" s="599">
        <f t="shared" si="1"/>
        <v>0</v>
      </c>
      <c r="BB27" s="599">
        <f t="shared" si="2"/>
        <v>0</v>
      </c>
    </row>
    <row r="28" spans="1:120" outlineLevel="1" x14ac:dyDescent="0.3">
      <c r="B28" s="744" t="s">
        <v>429</v>
      </c>
      <c r="C28" s="740">
        <v>0</v>
      </c>
      <c r="D28" s="741">
        <f>$F$10</f>
        <v>0</v>
      </c>
      <c r="E28" s="740">
        <v>0</v>
      </c>
      <c r="F28" s="741">
        <f t="shared" si="7"/>
        <v>0</v>
      </c>
      <c r="G28" s="740">
        <v>0</v>
      </c>
      <c r="H28" s="741">
        <f t="shared" si="8"/>
        <v>0</v>
      </c>
      <c r="I28" s="740">
        <v>0</v>
      </c>
      <c r="J28" s="741">
        <f t="shared" si="8"/>
        <v>0</v>
      </c>
      <c r="K28" s="740">
        <v>0</v>
      </c>
      <c r="L28" s="741">
        <f t="shared" si="8"/>
        <v>0</v>
      </c>
      <c r="M28" s="629"/>
      <c r="N28" s="740">
        <v>0</v>
      </c>
      <c r="O28" s="741">
        <f t="shared" si="9"/>
        <v>0</v>
      </c>
      <c r="P28" s="740">
        <v>0</v>
      </c>
      <c r="Q28" s="741">
        <f t="shared" si="10"/>
        <v>0</v>
      </c>
      <c r="R28" s="740">
        <v>0</v>
      </c>
      <c r="S28" s="741">
        <f t="shared" si="11"/>
        <v>0</v>
      </c>
      <c r="T28" s="740">
        <v>0</v>
      </c>
      <c r="U28" s="741">
        <f t="shared" si="12"/>
        <v>0</v>
      </c>
      <c r="V28" s="740">
        <v>0</v>
      </c>
      <c r="W28" s="741">
        <f t="shared" si="13"/>
        <v>0</v>
      </c>
      <c r="X28" s="647"/>
      <c r="Y28" s="740">
        <v>0</v>
      </c>
      <c r="Z28" s="741">
        <f t="shared" si="14"/>
        <v>0</v>
      </c>
      <c r="AA28" s="740">
        <v>0</v>
      </c>
      <c r="AB28" s="741">
        <f t="shared" si="15"/>
        <v>0</v>
      </c>
      <c r="AC28" s="740">
        <v>0</v>
      </c>
      <c r="AD28" s="741">
        <f t="shared" si="16"/>
        <v>0</v>
      </c>
      <c r="AE28" s="740">
        <v>0</v>
      </c>
      <c r="AF28" s="741">
        <f t="shared" si="17"/>
        <v>0</v>
      </c>
      <c r="AG28" s="740">
        <v>0</v>
      </c>
      <c r="AH28" s="741">
        <f t="shared" si="18"/>
        <v>0</v>
      </c>
      <c r="AL28" s="423">
        <f t="shared" si="3"/>
        <v>0</v>
      </c>
      <c r="AN28" s="599">
        <f t="shared" si="4"/>
        <v>0</v>
      </c>
      <c r="AO28" s="599">
        <f t="shared" si="5"/>
        <v>0</v>
      </c>
      <c r="AP28" s="599">
        <f t="shared" si="6"/>
        <v>0</v>
      </c>
      <c r="AZ28" s="599">
        <f t="shared" si="0"/>
        <v>0</v>
      </c>
      <c r="BA28" s="599">
        <f t="shared" si="1"/>
        <v>0</v>
      </c>
      <c r="BB28" s="599">
        <f t="shared" si="2"/>
        <v>0</v>
      </c>
    </row>
    <row r="29" spans="1:120" outlineLevel="1" x14ac:dyDescent="0.3">
      <c r="B29" s="737" t="s">
        <v>430</v>
      </c>
      <c r="C29" s="740">
        <v>0</v>
      </c>
      <c r="D29" s="741">
        <f>$F$10</f>
        <v>0</v>
      </c>
      <c r="E29" s="740">
        <v>0</v>
      </c>
      <c r="F29" s="741">
        <f t="shared" si="7"/>
        <v>0</v>
      </c>
      <c r="G29" s="740">
        <v>0</v>
      </c>
      <c r="H29" s="741">
        <f t="shared" si="8"/>
        <v>0</v>
      </c>
      <c r="I29" s="740">
        <v>0</v>
      </c>
      <c r="J29" s="741">
        <f t="shared" si="8"/>
        <v>0</v>
      </c>
      <c r="K29" s="740">
        <v>0</v>
      </c>
      <c r="L29" s="741">
        <f t="shared" si="8"/>
        <v>0</v>
      </c>
      <c r="M29" s="629"/>
      <c r="N29" s="740">
        <v>0</v>
      </c>
      <c r="O29" s="741">
        <f t="shared" si="9"/>
        <v>0</v>
      </c>
      <c r="P29" s="740">
        <v>0</v>
      </c>
      <c r="Q29" s="741">
        <f t="shared" si="10"/>
        <v>0</v>
      </c>
      <c r="R29" s="740">
        <v>0</v>
      </c>
      <c r="S29" s="741">
        <f t="shared" si="11"/>
        <v>0</v>
      </c>
      <c r="T29" s="740">
        <v>0</v>
      </c>
      <c r="U29" s="741">
        <f t="shared" si="12"/>
        <v>0</v>
      </c>
      <c r="V29" s="740">
        <v>0</v>
      </c>
      <c r="W29" s="741">
        <f t="shared" si="13"/>
        <v>0</v>
      </c>
      <c r="X29" s="647"/>
      <c r="Y29" s="740">
        <v>0</v>
      </c>
      <c r="Z29" s="741">
        <f t="shared" si="14"/>
        <v>0</v>
      </c>
      <c r="AA29" s="740">
        <v>0</v>
      </c>
      <c r="AB29" s="741">
        <f t="shared" si="15"/>
        <v>0</v>
      </c>
      <c r="AC29" s="740">
        <v>0</v>
      </c>
      <c r="AD29" s="741">
        <f t="shared" si="16"/>
        <v>0</v>
      </c>
      <c r="AE29" s="740">
        <v>0</v>
      </c>
      <c r="AF29" s="741">
        <f t="shared" si="17"/>
        <v>0</v>
      </c>
      <c r="AG29" s="740">
        <v>0</v>
      </c>
      <c r="AH29" s="741">
        <f t="shared" si="18"/>
        <v>0</v>
      </c>
      <c r="AL29" s="423">
        <f t="shared" si="3"/>
        <v>0</v>
      </c>
      <c r="AN29" s="599">
        <f t="shared" si="4"/>
        <v>0</v>
      </c>
      <c r="AO29" s="599">
        <f t="shared" si="5"/>
        <v>0</v>
      </c>
      <c r="AP29" s="599">
        <f t="shared" si="6"/>
        <v>0</v>
      </c>
      <c r="AZ29" s="599">
        <f t="shared" si="0"/>
        <v>0</v>
      </c>
      <c r="BA29" s="599">
        <f t="shared" si="1"/>
        <v>0</v>
      </c>
      <c r="BB29" s="599">
        <f t="shared" si="2"/>
        <v>0</v>
      </c>
    </row>
    <row r="30" spans="1:120" outlineLevel="1" x14ac:dyDescent="0.3">
      <c r="B30" s="737" t="s">
        <v>431</v>
      </c>
      <c r="C30" s="740">
        <f>C24-SUM(C25:C29)</f>
        <v>0</v>
      </c>
      <c r="D30" s="741">
        <f>$F$10</f>
        <v>0</v>
      </c>
      <c r="E30" s="740">
        <f>E24-SUM(E25:E29)</f>
        <v>0</v>
      </c>
      <c r="F30" s="741">
        <f t="shared" si="7"/>
        <v>0</v>
      </c>
      <c r="G30" s="740">
        <f>G24-SUM(G25:G29)</f>
        <v>0</v>
      </c>
      <c r="H30" s="741">
        <f t="shared" si="8"/>
        <v>0</v>
      </c>
      <c r="I30" s="740">
        <f>I24-SUM(I25:I29)</f>
        <v>0</v>
      </c>
      <c r="J30" s="741">
        <f t="shared" si="8"/>
        <v>0</v>
      </c>
      <c r="K30" s="740">
        <f>K24-SUM(K25:K29)</f>
        <v>0</v>
      </c>
      <c r="L30" s="741">
        <f t="shared" si="8"/>
        <v>0</v>
      </c>
      <c r="M30" s="629"/>
      <c r="N30" s="740">
        <f>N24-SUM(N25:N29)</f>
        <v>0</v>
      </c>
      <c r="O30" s="741">
        <f t="shared" si="9"/>
        <v>0</v>
      </c>
      <c r="P30" s="740">
        <f>P24-SUM(P25:P29)</f>
        <v>0</v>
      </c>
      <c r="Q30" s="741">
        <f t="shared" si="10"/>
        <v>0</v>
      </c>
      <c r="R30" s="740">
        <f>R24-SUM(R25:R29)</f>
        <v>0</v>
      </c>
      <c r="S30" s="741">
        <f t="shared" si="11"/>
        <v>0</v>
      </c>
      <c r="T30" s="740">
        <f>T24-SUM(T25:T29)</f>
        <v>0</v>
      </c>
      <c r="U30" s="741">
        <f t="shared" si="12"/>
        <v>0</v>
      </c>
      <c r="V30" s="740">
        <f>V24-SUM(V25:V29)</f>
        <v>0</v>
      </c>
      <c r="W30" s="741">
        <f t="shared" si="13"/>
        <v>0</v>
      </c>
      <c r="X30" s="647"/>
      <c r="Y30" s="740">
        <f>Y24-SUM(Y25:Y29)</f>
        <v>0</v>
      </c>
      <c r="Z30" s="741">
        <f t="shared" si="14"/>
        <v>0</v>
      </c>
      <c r="AA30" s="740">
        <f>AA24-SUM(AA25:AA29)</f>
        <v>0</v>
      </c>
      <c r="AB30" s="741">
        <f t="shared" si="15"/>
        <v>0</v>
      </c>
      <c r="AC30" s="740">
        <f>AC24-SUM(AC25:AC29)</f>
        <v>0</v>
      </c>
      <c r="AD30" s="741">
        <f t="shared" si="16"/>
        <v>0</v>
      </c>
      <c r="AE30" s="740">
        <f>AE24-SUM(AE25:AE29)</f>
        <v>0</v>
      </c>
      <c r="AF30" s="741">
        <f t="shared" si="17"/>
        <v>0</v>
      </c>
      <c r="AG30" s="740">
        <f>AG24-SUM(AG25:AG29)</f>
        <v>0</v>
      </c>
      <c r="AH30" s="741">
        <f t="shared" si="18"/>
        <v>0</v>
      </c>
      <c r="AJ30" t="s">
        <v>432</v>
      </c>
      <c r="AL30" s="423">
        <f t="shared" si="3"/>
        <v>0</v>
      </c>
      <c r="AN30" s="599">
        <f t="shared" si="4"/>
        <v>0</v>
      </c>
      <c r="AO30" s="599">
        <f t="shared" si="5"/>
        <v>0</v>
      </c>
      <c r="AP30" s="599">
        <f t="shared" si="6"/>
        <v>0</v>
      </c>
      <c r="AZ30" s="599">
        <f t="shared" si="0"/>
        <v>0</v>
      </c>
      <c r="BA30" s="599">
        <f t="shared" si="1"/>
        <v>0</v>
      </c>
      <c r="BB30" s="599">
        <f t="shared" si="2"/>
        <v>0</v>
      </c>
    </row>
    <row r="31" spans="1:120" x14ac:dyDescent="0.3">
      <c r="B31" s="336" t="s">
        <v>124</v>
      </c>
      <c r="C31" s="663">
        <v>0</v>
      </c>
      <c r="D31" s="335"/>
      <c r="E31" s="663">
        <f>C31</f>
        <v>0</v>
      </c>
      <c r="F31" s="335"/>
      <c r="G31" s="664"/>
      <c r="H31" s="335"/>
      <c r="I31" s="664"/>
      <c r="J31" s="335"/>
      <c r="K31" s="663"/>
      <c r="L31" s="335"/>
      <c r="M31" s="629"/>
      <c r="N31" s="663">
        <v>0</v>
      </c>
      <c r="O31" s="335"/>
      <c r="P31" s="663">
        <f>N31</f>
        <v>0</v>
      </c>
      <c r="Q31" s="335"/>
      <c r="R31" s="664"/>
      <c r="S31" s="335"/>
      <c r="T31" s="664"/>
      <c r="U31" s="335"/>
      <c r="V31" s="663"/>
      <c r="W31" s="335"/>
      <c r="X31" s="647"/>
      <c r="Y31" s="663">
        <v>0</v>
      </c>
      <c r="Z31" s="335"/>
      <c r="AA31" s="663">
        <f>Y31</f>
        <v>0</v>
      </c>
      <c r="AB31" s="335"/>
      <c r="AC31" s="664"/>
      <c r="AD31" s="335"/>
      <c r="AE31" s="664"/>
      <c r="AF31" s="335"/>
      <c r="AG31" s="663"/>
      <c r="AH31" s="335"/>
      <c r="AL31" s="423">
        <f t="shared" si="3"/>
        <v>0</v>
      </c>
      <c r="AN31" s="599">
        <f t="shared" si="4"/>
        <v>0</v>
      </c>
      <c r="AO31" s="599">
        <f t="shared" si="5"/>
        <v>0</v>
      </c>
      <c r="AP31" s="599">
        <f t="shared" si="6"/>
        <v>0</v>
      </c>
      <c r="AZ31" s="599">
        <f t="shared" si="0"/>
        <v>0</v>
      </c>
      <c r="BA31" s="599">
        <f t="shared" si="1"/>
        <v>0</v>
      </c>
      <c r="BB31" s="599">
        <f t="shared" si="2"/>
        <v>0</v>
      </c>
    </row>
    <row r="32" spans="1:120" outlineLevel="1" x14ac:dyDescent="0.3">
      <c r="B32" s="737" t="s">
        <v>433</v>
      </c>
      <c r="C32" s="740">
        <v>0</v>
      </c>
      <c r="D32" s="741">
        <f t="shared" ref="D32:D38" si="19">$F$10</f>
        <v>0</v>
      </c>
      <c r="E32" s="740">
        <v>0</v>
      </c>
      <c r="F32" s="741">
        <f>F$10</f>
        <v>0</v>
      </c>
      <c r="G32" s="740">
        <v>0</v>
      </c>
      <c r="H32" s="741">
        <f>F32</f>
        <v>0</v>
      </c>
      <c r="I32" s="740">
        <v>0</v>
      </c>
      <c r="J32" s="741">
        <f>H32</f>
        <v>0</v>
      </c>
      <c r="K32" s="740">
        <v>0</v>
      </c>
      <c r="L32" s="741">
        <f>J32</f>
        <v>0</v>
      </c>
      <c r="M32" s="629"/>
      <c r="N32" s="740">
        <v>0</v>
      </c>
      <c r="O32" s="741">
        <f>$Q$10</f>
        <v>0</v>
      </c>
      <c r="P32" s="740">
        <v>0</v>
      </c>
      <c r="Q32" s="741">
        <f>O32</f>
        <v>0</v>
      </c>
      <c r="R32" s="740">
        <v>0</v>
      </c>
      <c r="S32" s="741">
        <f>Q32</f>
        <v>0</v>
      </c>
      <c r="T32" s="740">
        <v>0</v>
      </c>
      <c r="U32" s="741">
        <f>S32</f>
        <v>0</v>
      </c>
      <c r="V32" s="740">
        <v>0</v>
      </c>
      <c r="W32" s="741">
        <f>$AB$10</f>
        <v>0</v>
      </c>
      <c r="X32" s="647"/>
      <c r="Y32" s="740">
        <v>0</v>
      </c>
      <c r="Z32" s="741">
        <f>$AB$10</f>
        <v>0</v>
      </c>
      <c r="AA32" s="740">
        <v>0</v>
      </c>
      <c r="AB32" s="741">
        <f>Z32</f>
        <v>0</v>
      </c>
      <c r="AC32" s="740">
        <v>0</v>
      </c>
      <c r="AD32" s="741">
        <f>AB32</f>
        <v>0</v>
      </c>
      <c r="AE32" s="740">
        <v>0</v>
      </c>
      <c r="AF32" s="741">
        <f>AD32</f>
        <v>0</v>
      </c>
      <c r="AG32" s="740">
        <v>0</v>
      </c>
      <c r="AH32" s="741">
        <f>AF32</f>
        <v>0</v>
      </c>
      <c r="AL32" s="423">
        <f t="shared" si="3"/>
        <v>0</v>
      </c>
      <c r="AN32" s="599">
        <f t="shared" si="4"/>
        <v>0</v>
      </c>
      <c r="AO32" s="599">
        <f t="shared" si="5"/>
        <v>0</v>
      </c>
      <c r="AP32" s="599">
        <f t="shared" si="6"/>
        <v>0</v>
      </c>
      <c r="AZ32" s="599">
        <f t="shared" si="0"/>
        <v>0</v>
      </c>
      <c r="BA32" s="599">
        <f t="shared" si="1"/>
        <v>0</v>
      </c>
      <c r="BB32" s="599">
        <f t="shared" si="2"/>
        <v>0</v>
      </c>
    </row>
    <row r="33" spans="2:54" outlineLevel="1" x14ac:dyDescent="0.3">
      <c r="B33" s="737" t="s">
        <v>434</v>
      </c>
      <c r="C33" s="740">
        <v>0</v>
      </c>
      <c r="D33" s="741">
        <f t="shared" si="19"/>
        <v>0</v>
      </c>
      <c r="E33" s="740">
        <v>0</v>
      </c>
      <c r="F33" s="741">
        <f t="shared" ref="F33:F37" si="20">F$10</f>
        <v>0</v>
      </c>
      <c r="G33" s="740">
        <v>0</v>
      </c>
      <c r="H33" s="741">
        <f t="shared" ref="H33:L38" si="21">F33</f>
        <v>0</v>
      </c>
      <c r="I33" s="740">
        <v>0</v>
      </c>
      <c r="J33" s="741">
        <f t="shared" si="21"/>
        <v>0</v>
      </c>
      <c r="K33" s="740">
        <v>0</v>
      </c>
      <c r="L33" s="741">
        <f t="shared" si="21"/>
        <v>0</v>
      </c>
      <c r="M33" s="629"/>
      <c r="N33" s="740">
        <v>0</v>
      </c>
      <c r="O33" s="741">
        <f t="shared" ref="O33:O37" si="22">$Q$10</f>
        <v>0</v>
      </c>
      <c r="P33" s="740">
        <v>0</v>
      </c>
      <c r="Q33" s="741">
        <f t="shared" ref="Q33:Q38" si="23">O33</f>
        <v>0</v>
      </c>
      <c r="R33" s="740">
        <v>0</v>
      </c>
      <c r="S33" s="741">
        <f t="shared" ref="S33:S38" si="24">Q33</f>
        <v>0</v>
      </c>
      <c r="T33" s="740">
        <v>0</v>
      </c>
      <c r="U33" s="741">
        <f t="shared" ref="U33:U38" si="25">S33</f>
        <v>0</v>
      </c>
      <c r="V33" s="740">
        <v>0</v>
      </c>
      <c r="W33" s="741">
        <f t="shared" ref="W33:W38" si="26">$AB$10</f>
        <v>0</v>
      </c>
      <c r="X33" s="647"/>
      <c r="Y33" s="740">
        <v>0</v>
      </c>
      <c r="Z33" s="741">
        <f t="shared" ref="Z33:Z38" si="27">$AB$10</f>
        <v>0</v>
      </c>
      <c r="AA33" s="740">
        <v>0</v>
      </c>
      <c r="AB33" s="741">
        <f t="shared" ref="AB33:AB38" si="28">Z33</f>
        <v>0</v>
      </c>
      <c r="AC33" s="740">
        <v>0</v>
      </c>
      <c r="AD33" s="741">
        <f t="shared" ref="AD33:AD38" si="29">AB33</f>
        <v>0</v>
      </c>
      <c r="AE33" s="740">
        <v>0</v>
      </c>
      <c r="AF33" s="741">
        <f t="shared" ref="AF33:AF38" si="30">AD33</f>
        <v>0</v>
      </c>
      <c r="AG33" s="740">
        <v>0</v>
      </c>
      <c r="AH33" s="741">
        <f t="shared" ref="AH33:AH38" si="31">AF33</f>
        <v>0</v>
      </c>
      <c r="AL33" s="423">
        <f t="shared" si="3"/>
        <v>0</v>
      </c>
      <c r="AN33" s="599">
        <f t="shared" si="4"/>
        <v>0</v>
      </c>
      <c r="AO33" s="599">
        <f t="shared" si="5"/>
        <v>0</v>
      </c>
      <c r="AP33" s="599">
        <f t="shared" si="6"/>
        <v>0</v>
      </c>
      <c r="AZ33" s="599">
        <f t="shared" si="0"/>
        <v>0</v>
      </c>
      <c r="BA33" s="599">
        <f t="shared" si="1"/>
        <v>0</v>
      </c>
      <c r="BB33" s="599">
        <f t="shared" si="2"/>
        <v>0</v>
      </c>
    </row>
    <row r="34" spans="2:54" outlineLevel="1" x14ac:dyDescent="0.3">
      <c r="B34" s="737" t="s">
        <v>435</v>
      </c>
      <c r="C34" s="740">
        <v>0</v>
      </c>
      <c r="D34" s="741">
        <f t="shared" si="19"/>
        <v>0</v>
      </c>
      <c r="E34" s="740">
        <v>0</v>
      </c>
      <c r="F34" s="741">
        <f t="shared" si="20"/>
        <v>0</v>
      </c>
      <c r="G34" s="740">
        <v>0</v>
      </c>
      <c r="H34" s="741">
        <f t="shared" si="21"/>
        <v>0</v>
      </c>
      <c r="I34" s="740">
        <v>0</v>
      </c>
      <c r="J34" s="741">
        <f t="shared" si="21"/>
        <v>0</v>
      </c>
      <c r="K34" s="740">
        <v>0</v>
      </c>
      <c r="L34" s="741">
        <f t="shared" si="21"/>
        <v>0</v>
      </c>
      <c r="M34" s="629"/>
      <c r="N34" s="740">
        <v>0</v>
      </c>
      <c r="O34" s="741">
        <f t="shared" si="22"/>
        <v>0</v>
      </c>
      <c r="P34" s="740">
        <v>0</v>
      </c>
      <c r="Q34" s="741">
        <f t="shared" si="23"/>
        <v>0</v>
      </c>
      <c r="R34" s="740">
        <v>0</v>
      </c>
      <c r="S34" s="741">
        <f t="shared" si="24"/>
        <v>0</v>
      </c>
      <c r="T34" s="740">
        <v>0</v>
      </c>
      <c r="U34" s="741">
        <f t="shared" si="25"/>
        <v>0</v>
      </c>
      <c r="V34" s="740">
        <v>0</v>
      </c>
      <c r="W34" s="741">
        <f t="shared" si="26"/>
        <v>0</v>
      </c>
      <c r="X34" s="647"/>
      <c r="Y34" s="740">
        <v>0</v>
      </c>
      <c r="Z34" s="741">
        <f t="shared" si="27"/>
        <v>0</v>
      </c>
      <c r="AA34" s="740">
        <v>0</v>
      </c>
      <c r="AB34" s="741">
        <f t="shared" si="28"/>
        <v>0</v>
      </c>
      <c r="AC34" s="740">
        <v>0</v>
      </c>
      <c r="AD34" s="741">
        <f t="shared" si="29"/>
        <v>0</v>
      </c>
      <c r="AE34" s="740">
        <v>0</v>
      </c>
      <c r="AF34" s="741">
        <f t="shared" si="30"/>
        <v>0</v>
      </c>
      <c r="AG34" s="740">
        <v>0</v>
      </c>
      <c r="AH34" s="741">
        <f t="shared" si="31"/>
        <v>0</v>
      </c>
      <c r="AL34" s="423">
        <f t="shared" si="3"/>
        <v>0</v>
      </c>
      <c r="AN34" s="599">
        <f t="shared" si="4"/>
        <v>0</v>
      </c>
      <c r="AO34" s="599">
        <f t="shared" si="5"/>
        <v>0</v>
      </c>
      <c r="AP34" s="599">
        <f t="shared" si="6"/>
        <v>0</v>
      </c>
      <c r="AZ34" s="599">
        <f t="shared" si="0"/>
        <v>0</v>
      </c>
      <c r="BA34" s="599">
        <f t="shared" si="1"/>
        <v>0</v>
      </c>
      <c r="BB34" s="599">
        <f t="shared" si="2"/>
        <v>0</v>
      </c>
    </row>
    <row r="35" spans="2:54" outlineLevel="1" x14ac:dyDescent="0.3">
      <c r="B35" s="744" t="s">
        <v>436</v>
      </c>
      <c r="C35" s="740">
        <v>0</v>
      </c>
      <c r="D35" s="741">
        <f t="shared" si="19"/>
        <v>0</v>
      </c>
      <c r="E35" s="740">
        <v>0</v>
      </c>
      <c r="F35" s="741">
        <f t="shared" si="20"/>
        <v>0</v>
      </c>
      <c r="G35" s="740">
        <v>0</v>
      </c>
      <c r="H35" s="741">
        <f t="shared" si="21"/>
        <v>0</v>
      </c>
      <c r="I35" s="740">
        <v>0</v>
      </c>
      <c r="J35" s="741">
        <f t="shared" si="21"/>
        <v>0</v>
      </c>
      <c r="K35" s="740">
        <v>0</v>
      </c>
      <c r="L35" s="741">
        <f t="shared" si="21"/>
        <v>0</v>
      </c>
      <c r="M35" s="629"/>
      <c r="N35" s="740">
        <v>0</v>
      </c>
      <c r="O35" s="741">
        <f t="shared" si="22"/>
        <v>0</v>
      </c>
      <c r="P35" s="740">
        <v>0</v>
      </c>
      <c r="Q35" s="741">
        <f t="shared" si="23"/>
        <v>0</v>
      </c>
      <c r="R35" s="740">
        <v>0</v>
      </c>
      <c r="S35" s="741">
        <f t="shared" si="24"/>
        <v>0</v>
      </c>
      <c r="T35" s="740">
        <v>0</v>
      </c>
      <c r="U35" s="741">
        <f t="shared" si="25"/>
        <v>0</v>
      </c>
      <c r="V35" s="740">
        <v>0</v>
      </c>
      <c r="W35" s="741">
        <f t="shared" si="26"/>
        <v>0</v>
      </c>
      <c r="X35" s="647"/>
      <c r="Y35" s="740">
        <v>0</v>
      </c>
      <c r="Z35" s="741">
        <f t="shared" si="27"/>
        <v>0</v>
      </c>
      <c r="AA35" s="740">
        <v>0</v>
      </c>
      <c r="AB35" s="741">
        <f t="shared" si="28"/>
        <v>0</v>
      </c>
      <c r="AC35" s="740">
        <v>0</v>
      </c>
      <c r="AD35" s="741">
        <f t="shared" si="29"/>
        <v>0</v>
      </c>
      <c r="AE35" s="740">
        <v>0</v>
      </c>
      <c r="AF35" s="741">
        <f t="shared" si="30"/>
        <v>0</v>
      </c>
      <c r="AG35" s="740">
        <v>0</v>
      </c>
      <c r="AH35" s="741">
        <f t="shared" si="31"/>
        <v>0</v>
      </c>
      <c r="AL35" s="423">
        <f t="shared" si="3"/>
        <v>0</v>
      </c>
      <c r="AN35" s="599">
        <f t="shared" si="4"/>
        <v>0</v>
      </c>
      <c r="AO35" s="599">
        <f t="shared" si="5"/>
        <v>0</v>
      </c>
      <c r="AP35" s="599">
        <f t="shared" si="6"/>
        <v>0</v>
      </c>
      <c r="AZ35" s="599">
        <f t="shared" si="0"/>
        <v>0</v>
      </c>
      <c r="BA35" s="599">
        <f t="shared" si="1"/>
        <v>0</v>
      </c>
      <c r="BB35" s="599">
        <f t="shared" si="2"/>
        <v>0</v>
      </c>
    </row>
    <row r="36" spans="2:54" outlineLevel="1" x14ac:dyDescent="0.3">
      <c r="B36" s="744" t="s">
        <v>429</v>
      </c>
      <c r="C36" s="740">
        <v>0</v>
      </c>
      <c r="D36" s="741">
        <f t="shared" si="19"/>
        <v>0</v>
      </c>
      <c r="E36" s="740">
        <v>0</v>
      </c>
      <c r="F36" s="741">
        <f t="shared" si="20"/>
        <v>0</v>
      </c>
      <c r="G36" s="740">
        <v>0</v>
      </c>
      <c r="H36" s="741">
        <f t="shared" si="21"/>
        <v>0</v>
      </c>
      <c r="I36" s="740">
        <v>0</v>
      </c>
      <c r="J36" s="741">
        <f t="shared" si="21"/>
        <v>0</v>
      </c>
      <c r="K36" s="740">
        <v>0</v>
      </c>
      <c r="L36" s="741">
        <f t="shared" si="21"/>
        <v>0</v>
      </c>
      <c r="M36" s="629"/>
      <c r="N36" s="740">
        <v>0</v>
      </c>
      <c r="O36" s="741">
        <f t="shared" si="22"/>
        <v>0</v>
      </c>
      <c r="P36" s="740">
        <v>0</v>
      </c>
      <c r="Q36" s="741">
        <f t="shared" si="23"/>
        <v>0</v>
      </c>
      <c r="R36" s="740">
        <v>0</v>
      </c>
      <c r="S36" s="741">
        <f t="shared" si="24"/>
        <v>0</v>
      </c>
      <c r="T36" s="740">
        <v>0</v>
      </c>
      <c r="U36" s="741">
        <f t="shared" si="25"/>
        <v>0</v>
      </c>
      <c r="V36" s="740">
        <v>0</v>
      </c>
      <c r="W36" s="741">
        <f t="shared" si="26"/>
        <v>0</v>
      </c>
      <c r="X36" s="647"/>
      <c r="Y36" s="740">
        <v>0</v>
      </c>
      <c r="Z36" s="741">
        <f t="shared" si="27"/>
        <v>0</v>
      </c>
      <c r="AA36" s="740">
        <v>0</v>
      </c>
      <c r="AB36" s="741">
        <f t="shared" si="28"/>
        <v>0</v>
      </c>
      <c r="AC36" s="740">
        <v>0</v>
      </c>
      <c r="AD36" s="741">
        <f t="shared" si="29"/>
        <v>0</v>
      </c>
      <c r="AE36" s="740">
        <v>0</v>
      </c>
      <c r="AF36" s="741">
        <f t="shared" si="30"/>
        <v>0</v>
      </c>
      <c r="AG36" s="740">
        <v>0</v>
      </c>
      <c r="AH36" s="741">
        <f t="shared" si="31"/>
        <v>0</v>
      </c>
      <c r="AL36" s="423">
        <f t="shared" si="3"/>
        <v>0</v>
      </c>
      <c r="AN36" s="599">
        <f t="shared" si="4"/>
        <v>0</v>
      </c>
      <c r="AO36" s="599">
        <f t="shared" si="5"/>
        <v>0</v>
      </c>
      <c r="AP36" s="599">
        <f t="shared" si="6"/>
        <v>0</v>
      </c>
      <c r="AZ36" s="599">
        <f t="shared" si="0"/>
        <v>0</v>
      </c>
      <c r="BA36" s="599">
        <f t="shared" si="1"/>
        <v>0</v>
      </c>
      <c r="BB36" s="599">
        <f t="shared" si="2"/>
        <v>0</v>
      </c>
    </row>
    <row r="37" spans="2:54" outlineLevel="1" x14ac:dyDescent="0.3">
      <c r="B37" s="737" t="s">
        <v>430</v>
      </c>
      <c r="C37" s="740">
        <v>0</v>
      </c>
      <c r="D37" s="741">
        <f t="shared" si="19"/>
        <v>0</v>
      </c>
      <c r="E37" s="740">
        <v>0</v>
      </c>
      <c r="F37" s="741">
        <f t="shared" si="20"/>
        <v>0</v>
      </c>
      <c r="G37" s="740">
        <v>0</v>
      </c>
      <c r="H37" s="741">
        <f t="shared" si="21"/>
        <v>0</v>
      </c>
      <c r="I37" s="740">
        <v>0</v>
      </c>
      <c r="J37" s="741">
        <f t="shared" si="21"/>
        <v>0</v>
      </c>
      <c r="K37" s="740">
        <v>0</v>
      </c>
      <c r="L37" s="741">
        <f t="shared" si="21"/>
        <v>0</v>
      </c>
      <c r="M37" s="629"/>
      <c r="N37" s="740">
        <v>0</v>
      </c>
      <c r="O37" s="741">
        <f t="shared" si="22"/>
        <v>0</v>
      </c>
      <c r="P37" s="740">
        <v>0</v>
      </c>
      <c r="Q37" s="741">
        <f t="shared" si="23"/>
        <v>0</v>
      </c>
      <c r="R37" s="740">
        <v>0</v>
      </c>
      <c r="S37" s="741">
        <f t="shared" si="24"/>
        <v>0</v>
      </c>
      <c r="T37" s="740">
        <v>0</v>
      </c>
      <c r="U37" s="741">
        <f t="shared" si="25"/>
        <v>0</v>
      </c>
      <c r="V37" s="740">
        <v>0</v>
      </c>
      <c r="W37" s="741">
        <f t="shared" si="26"/>
        <v>0</v>
      </c>
      <c r="X37" s="647"/>
      <c r="Y37" s="740">
        <v>0</v>
      </c>
      <c r="Z37" s="741">
        <f t="shared" si="27"/>
        <v>0</v>
      </c>
      <c r="AA37" s="740">
        <v>0</v>
      </c>
      <c r="AB37" s="741">
        <f t="shared" si="28"/>
        <v>0</v>
      </c>
      <c r="AC37" s="740">
        <v>0</v>
      </c>
      <c r="AD37" s="741">
        <f t="shared" si="29"/>
        <v>0</v>
      </c>
      <c r="AE37" s="740">
        <v>0</v>
      </c>
      <c r="AF37" s="741">
        <f t="shared" si="30"/>
        <v>0</v>
      </c>
      <c r="AG37" s="740">
        <v>0</v>
      </c>
      <c r="AH37" s="741">
        <f t="shared" si="31"/>
        <v>0</v>
      </c>
      <c r="AL37" s="423">
        <f t="shared" si="3"/>
        <v>0</v>
      </c>
      <c r="AN37" s="599">
        <f t="shared" si="4"/>
        <v>0</v>
      </c>
      <c r="AO37" s="599">
        <f t="shared" si="5"/>
        <v>0</v>
      </c>
      <c r="AP37" s="599">
        <f t="shared" si="6"/>
        <v>0</v>
      </c>
      <c r="AZ37" s="599">
        <f t="shared" si="0"/>
        <v>0</v>
      </c>
      <c r="BA37" s="599">
        <f t="shared" si="1"/>
        <v>0</v>
      </c>
      <c r="BB37" s="599">
        <f t="shared" si="2"/>
        <v>0</v>
      </c>
    </row>
    <row r="38" spans="2:54" outlineLevel="1" x14ac:dyDescent="0.3">
      <c r="B38" s="745" t="s">
        <v>431</v>
      </c>
      <c r="C38" s="740">
        <f>C31-SUM(C32:C37)</f>
        <v>0</v>
      </c>
      <c r="D38" s="741">
        <f t="shared" si="19"/>
        <v>0</v>
      </c>
      <c r="E38" s="740">
        <f>E31-SUM(E32:E37)</f>
        <v>0</v>
      </c>
      <c r="F38" s="741">
        <f>F$10</f>
        <v>0</v>
      </c>
      <c r="G38" s="740">
        <f>G31-SUM(G32:G37)</f>
        <v>0</v>
      </c>
      <c r="H38" s="741">
        <f t="shared" si="21"/>
        <v>0</v>
      </c>
      <c r="I38" s="740">
        <f>I31-SUM(I32:I37)</f>
        <v>0</v>
      </c>
      <c r="J38" s="741">
        <f t="shared" si="21"/>
        <v>0</v>
      </c>
      <c r="K38" s="740">
        <f>K31-SUM(K32:K37)</f>
        <v>0</v>
      </c>
      <c r="L38" s="741">
        <f t="shared" si="21"/>
        <v>0</v>
      </c>
      <c r="M38" s="629"/>
      <c r="N38" s="740">
        <f>N31-SUM(N32:N37)</f>
        <v>0</v>
      </c>
      <c r="O38" s="741">
        <f>$Q$10</f>
        <v>0</v>
      </c>
      <c r="P38" s="740">
        <f>P31-SUM(P32:P37)</f>
        <v>0</v>
      </c>
      <c r="Q38" s="741">
        <f t="shared" si="23"/>
        <v>0</v>
      </c>
      <c r="R38" s="740">
        <f>R31-SUM(R32:R37)</f>
        <v>0</v>
      </c>
      <c r="S38" s="741">
        <f t="shared" si="24"/>
        <v>0</v>
      </c>
      <c r="T38" s="740">
        <f>T31-SUM(T32:T37)</f>
        <v>0</v>
      </c>
      <c r="U38" s="741">
        <f t="shared" si="25"/>
        <v>0</v>
      </c>
      <c r="V38" s="740">
        <f>V31-SUM(V32:V37)</f>
        <v>0</v>
      </c>
      <c r="W38" s="741">
        <f t="shared" si="26"/>
        <v>0</v>
      </c>
      <c r="X38" s="647"/>
      <c r="Y38" s="740">
        <f>Y31-SUM(Y32:Y37)</f>
        <v>0</v>
      </c>
      <c r="Z38" s="741">
        <f t="shared" si="27"/>
        <v>0</v>
      </c>
      <c r="AA38" s="740">
        <f>AA31-SUM(AA32:AA37)</f>
        <v>0</v>
      </c>
      <c r="AB38" s="741">
        <f t="shared" si="28"/>
        <v>0</v>
      </c>
      <c r="AC38" s="740">
        <f>AC31-SUM(AC32:AC37)</f>
        <v>0</v>
      </c>
      <c r="AD38" s="741">
        <f t="shared" si="29"/>
        <v>0</v>
      </c>
      <c r="AE38" s="740">
        <f>AE31-SUM(AE32:AE37)</f>
        <v>0</v>
      </c>
      <c r="AF38" s="741">
        <f t="shared" si="30"/>
        <v>0</v>
      </c>
      <c r="AG38" s="740">
        <f>AG31-SUM(AG32:AG37)</f>
        <v>0</v>
      </c>
      <c r="AH38" s="741">
        <f t="shared" si="31"/>
        <v>0</v>
      </c>
      <c r="AL38" s="423">
        <f t="shared" si="3"/>
        <v>0</v>
      </c>
      <c r="AN38" s="599">
        <f t="shared" si="4"/>
        <v>0</v>
      </c>
      <c r="AO38" s="599">
        <f t="shared" si="5"/>
        <v>0</v>
      </c>
      <c r="AP38" s="599">
        <f t="shared" si="6"/>
        <v>0</v>
      </c>
      <c r="AZ38" s="599">
        <f t="shared" si="0"/>
        <v>0</v>
      </c>
      <c r="BA38" s="599">
        <f t="shared" si="1"/>
        <v>0</v>
      </c>
      <c r="BB38" s="599">
        <f t="shared" si="2"/>
        <v>0</v>
      </c>
    </row>
    <row r="39" spans="2:54" x14ac:dyDescent="0.3">
      <c r="B39" s="336" t="s">
        <v>125</v>
      </c>
      <c r="C39" s="663">
        <v>0</v>
      </c>
      <c r="D39" s="335"/>
      <c r="E39" s="663">
        <f>C39</f>
        <v>0</v>
      </c>
      <c r="F39" s="335"/>
      <c r="G39" s="664"/>
      <c r="H39" s="335"/>
      <c r="I39" s="664"/>
      <c r="J39" s="335"/>
      <c r="K39" s="663"/>
      <c r="L39" s="335"/>
      <c r="M39" s="629"/>
      <c r="N39" s="663">
        <v>0</v>
      </c>
      <c r="O39" s="335"/>
      <c r="P39" s="663">
        <f>N39</f>
        <v>0</v>
      </c>
      <c r="Q39" s="335"/>
      <c r="R39" s="664"/>
      <c r="S39" s="335"/>
      <c r="T39" s="664"/>
      <c r="U39" s="335"/>
      <c r="V39" s="663"/>
      <c r="W39" s="335"/>
      <c r="X39" s="647"/>
      <c r="Y39" s="663">
        <v>0</v>
      </c>
      <c r="Z39" s="335"/>
      <c r="AA39" s="663">
        <f>Y39</f>
        <v>0</v>
      </c>
      <c r="AB39" s="335"/>
      <c r="AC39" s="664"/>
      <c r="AD39" s="335"/>
      <c r="AE39" s="664"/>
      <c r="AF39" s="335"/>
      <c r="AG39" s="663"/>
      <c r="AH39" s="335"/>
      <c r="AL39" s="423">
        <f t="shared" si="3"/>
        <v>0</v>
      </c>
      <c r="AN39" s="599">
        <f t="shared" si="4"/>
        <v>0</v>
      </c>
      <c r="AO39" s="599">
        <f t="shared" si="5"/>
        <v>0</v>
      </c>
      <c r="AP39" s="599">
        <f t="shared" si="6"/>
        <v>0</v>
      </c>
      <c r="AZ39" s="599">
        <f t="shared" si="0"/>
        <v>0</v>
      </c>
      <c r="BA39" s="599">
        <f t="shared" si="1"/>
        <v>0</v>
      </c>
      <c r="BB39" s="599">
        <f t="shared" si="2"/>
        <v>0</v>
      </c>
    </row>
    <row r="40" spans="2:54" outlineLevel="1" x14ac:dyDescent="0.3">
      <c r="B40" s="737" t="s">
        <v>437</v>
      </c>
      <c r="C40" s="740">
        <v>0</v>
      </c>
      <c r="D40" s="741">
        <f t="shared" ref="D40:D47" si="32">$F$10</f>
        <v>0</v>
      </c>
      <c r="E40" s="740">
        <v>0</v>
      </c>
      <c r="F40" s="741">
        <f>F$10</f>
        <v>0</v>
      </c>
      <c r="G40" s="740">
        <v>0</v>
      </c>
      <c r="H40" s="741">
        <f>F40</f>
        <v>0</v>
      </c>
      <c r="I40" s="740">
        <v>0</v>
      </c>
      <c r="J40" s="741">
        <f>H40</f>
        <v>0</v>
      </c>
      <c r="K40" s="740">
        <v>0</v>
      </c>
      <c r="L40" s="741">
        <f>J40</f>
        <v>0</v>
      </c>
      <c r="M40" s="629"/>
      <c r="N40" s="740">
        <v>0</v>
      </c>
      <c r="O40" s="741">
        <f>$Q$10</f>
        <v>0</v>
      </c>
      <c r="P40" s="740">
        <v>0</v>
      </c>
      <c r="Q40" s="741">
        <f>O40</f>
        <v>0</v>
      </c>
      <c r="R40" s="740">
        <v>0</v>
      </c>
      <c r="S40" s="741">
        <f>Q40</f>
        <v>0</v>
      </c>
      <c r="T40" s="740">
        <v>0</v>
      </c>
      <c r="U40" s="741">
        <f>S40</f>
        <v>0</v>
      </c>
      <c r="V40" s="740">
        <v>0</v>
      </c>
      <c r="W40" s="741">
        <f>$AB$10</f>
        <v>0</v>
      </c>
      <c r="X40" s="647"/>
      <c r="Y40" s="740">
        <v>0</v>
      </c>
      <c r="Z40" s="741">
        <f>$AB$10</f>
        <v>0</v>
      </c>
      <c r="AA40" s="740">
        <v>0</v>
      </c>
      <c r="AB40" s="741">
        <f>Z40</f>
        <v>0</v>
      </c>
      <c r="AC40" s="740">
        <v>0</v>
      </c>
      <c r="AD40" s="741">
        <f>AB40</f>
        <v>0</v>
      </c>
      <c r="AE40" s="740">
        <v>0</v>
      </c>
      <c r="AF40" s="741">
        <f>AD40</f>
        <v>0</v>
      </c>
      <c r="AG40" s="740">
        <v>0</v>
      </c>
      <c r="AH40" s="741">
        <f>AF40</f>
        <v>0</v>
      </c>
      <c r="AL40" s="423">
        <f t="shared" si="3"/>
        <v>0</v>
      </c>
      <c r="AN40" s="599">
        <f t="shared" si="4"/>
        <v>0</v>
      </c>
      <c r="AO40" s="599">
        <f t="shared" si="5"/>
        <v>0</v>
      </c>
      <c r="AP40" s="599">
        <f t="shared" si="6"/>
        <v>0</v>
      </c>
      <c r="AZ40" s="599">
        <f t="shared" si="0"/>
        <v>0</v>
      </c>
      <c r="BA40" s="599">
        <f t="shared" si="1"/>
        <v>0</v>
      </c>
      <c r="BB40" s="599">
        <f t="shared" si="2"/>
        <v>0</v>
      </c>
    </row>
    <row r="41" spans="2:54" outlineLevel="1" x14ac:dyDescent="0.3">
      <c r="B41" s="737" t="s">
        <v>438</v>
      </c>
      <c r="C41" s="740">
        <v>0</v>
      </c>
      <c r="D41" s="741">
        <f t="shared" si="32"/>
        <v>0</v>
      </c>
      <c r="E41" s="740">
        <v>0</v>
      </c>
      <c r="F41" s="741">
        <f t="shared" ref="F41:F45" si="33">F$10</f>
        <v>0</v>
      </c>
      <c r="G41" s="740">
        <v>0</v>
      </c>
      <c r="H41" s="741">
        <f t="shared" ref="H41:L47" si="34">F41</f>
        <v>0</v>
      </c>
      <c r="I41" s="740">
        <v>0</v>
      </c>
      <c r="J41" s="741">
        <f t="shared" si="34"/>
        <v>0</v>
      </c>
      <c r="K41" s="740">
        <v>0</v>
      </c>
      <c r="L41" s="741">
        <f t="shared" si="34"/>
        <v>0</v>
      </c>
      <c r="M41" s="629"/>
      <c r="N41" s="740">
        <v>0</v>
      </c>
      <c r="O41" s="741">
        <f t="shared" ref="O41:O45" si="35">$Q$10</f>
        <v>0</v>
      </c>
      <c r="P41" s="740">
        <v>0</v>
      </c>
      <c r="Q41" s="741">
        <f t="shared" ref="Q41:Q47" si="36">O41</f>
        <v>0</v>
      </c>
      <c r="R41" s="740">
        <v>0</v>
      </c>
      <c r="S41" s="741">
        <f t="shared" ref="S41:S47" si="37">Q41</f>
        <v>0</v>
      </c>
      <c r="T41" s="740">
        <v>0</v>
      </c>
      <c r="U41" s="741">
        <f t="shared" ref="U41:U47" si="38">S41</f>
        <v>0</v>
      </c>
      <c r="V41" s="740">
        <v>0</v>
      </c>
      <c r="W41" s="741">
        <f t="shared" ref="W41:W47" si="39">$AB$10</f>
        <v>0</v>
      </c>
      <c r="X41" s="647"/>
      <c r="Y41" s="740">
        <v>0</v>
      </c>
      <c r="Z41" s="741">
        <f t="shared" ref="Z41:Z47" si="40">$AB$10</f>
        <v>0</v>
      </c>
      <c r="AA41" s="740">
        <v>0</v>
      </c>
      <c r="AB41" s="741">
        <f t="shared" ref="AB41:AB47" si="41">Z41</f>
        <v>0</v>
      </c>
      <c r="AC41" s="740">
        <v>0</v>
      </c>
      <c r="AD41" s="741">
        <f t="shared" ref="AD41:AD47" si="42">AB41</f>
        <v>0</v>
      </c>
      <c r="AE41" s="740">
        <v>0</v>
      </c>
      <c r="AF41" s="741">
        <f t="shared" ref="AF41:AF47" si="43">AD41</f>
        <v>0</v>
      </c>
      <c r="AG41" s="740">
        <v>0</v>
      </c>
      <c r="AH41" s="741">
        <f t="shared" ref="AH41:AH47" si="44">AF41</f>
        <v>0</v>
      </c>
      <c r="AL41" s="423">
        <f t="shared" si="3"/>
        <v>0</v>
      </c>
      <c r="AN41" s="599">
        <f t="shared" si="4"/>
        <v>0</v>
      </c>
      <c r="AO41" s="599">
        <f t="shared" si="5"/>
        <v>0</v>
      </c>
      <c r="AP41" s="599">
        <f t="shared" si="6"/>
        <v>0</v>
      </c>
      <c r="AZ41" s="599">
        <f t="shared" si="0"/>
        <v>0</v>
      </c>
      <c r="BA41" s="599">
        <f t="shared" si="1"/>
        <v>0</v>
      </c>
      <c r="BB41" s="599">
        <f t="shared" si="2"/>
        <v>0</v>
      </c>
    </row>
    <row r="42" spans="2:54" outlineLevel="1" x14ac:dyDescent="0.3">
      <c r="B42" s="737" t="s">
        <v>439</v>
      </c>
      <c r="C42" s="740">
        <v>0</v>
      </c>
      <c r="D42" s="741">
        <f t="shared" si="32"/>
        <v>0</v>
      </c>
      <c r="E42" s="740">
        <v>0</v>
      </c>
      <c r="F42" s="741">
        <f t="shared" si="33"/>
        <v>0</v>
      </c>
      <c r="G42" s="740">
        <v>0</v>
      </c>
      <c r="H42" s="741">
        <f t="shared" si="34"/>
        <v>0</v>
      </c>
      <c r="I42" s="740">
        <v>0</v>
      </c>
      <c r="J42" s="741">
        <f t="shared" si="34"/>
        <v>0</v>
      </c>
      <c r="K42" s="740">
        <v>0</v>
      </c>
      <c r="L42" s="741">
        <f t="shared" si="34"/>
        <v>0</v>
      </c>
      <c r="M42" s="629"/>
      <c r="N42" s="740">
        <v>0</v>
      </c>
      <c r="O42" s="741">
        <f t="shared" si="35"/>
        <v>0</v>
      </c>
      <c r="P42" s="740">
        <v>0</v>
      </c>
      <c r="Q42" s="741">
        <f t="shared" si="36"/>
        <v>0</v>
      </c>
      <c r="R42" s="740">
        <v>0</v>
      </c>
      <c r="S42" s="741">
        <f t="shared" si="37"/>
        <v>0</v>
      </c>
      <c r="T42" s="740">
        <v>0</v>
      </c>
      <c r="U42" s="741">
        <f t="shared" si="38"/>
        <v>0</v>
      </c>
      <c r="V42" s="740">
        <v>0</v>
      </c>
      <c r="W42" s="741">
        <f t="shared" si="39"/>
        <v>0</v>
      </c>
      <c r="X42" s="647"/>
      <c r="Y42" s="740">
        <v>0</v>
      </c>
      <c r="Z42" s="741">
        <f t="shared" si="40"/>
        <v>0</v>
      </c>
      <c r="AA42" s="740">
        <v>0</v>
      </c>
      <c r="AB42" s="741">
        <f t="shared" si="41"/>
        <v>0</v>
      </c>
      <c r="AC42" s="740">
        <v>0</v>
      </c>
      <c r="AD42" s="741">
        <f t="shared" si="42"/>
        <v>0</v>
      </c>
      <c r="AE42" s="740">
        <v>0</v>
      </c>
      <c r="AF42" s="741">
        <f t="shared" si="43"/>
        <v>0</v>
      </c>
      <c r="AG42" s="740">
        <v>0</v>
      </c>
      <c r="AH42" s="741">
        <f t="shared" si="44"/>
        <v>0</v>
      </c>
      <c r="AL42" s="423">
        <f t="shared" si="3"/>
        <v>0</v>
      </c>
      <c r="AN42" s="599">
        <f t="shared" si="4"/>
        <v>0</v>
      </c>
      <c r="AO42" s="599">
        <f t="shared" si="5"/>
        <v>0</v>
      </c>
      <c r="AP42" s="599">
        <f t="shared" si="6"/>
        <v>0</v>
      </c>
      <c r="AZ42" s="599">
        <f t="shared" si="0"/>
        <v>0</v>
      </c>
      <c r="BA42" s="599">
        <f t="shared" si="1"/>
        <v>0</v>
      </c>
      <c r="BB42" s="599">
        <f t="shared" si="2"/>
        <v>0</v>
      </c>
    </row>
    <row r="43" spans="2:54" outlineLevel="1" x14ac:dyDescent="0.3">
      <c r="B43" s="744" t="s">
        <v>440</v>
      </c>
      <c r="C43" s="740">
        <v>0</v>
      </c>
      <c r="D43" s="741">
        <f t="shared" si="32"/>
        <v>0</v>
      </c>
      <c r="E43" s="740">
        <v>0</v>
      </c>
      <c r="F43" s="741">
        <f t="shared" si="33"/>
        <v>0</v>
      </c>
      <c r="G43" s="740">
        <v>0</v>
      </c>
      <c r="H43" s="741">
        <f t="shared" si="34"/>
        <v>0</v>
      </c>
      <c r="I43" s="740">
        <v>0</v>
      </c>
      <c r="J43" s="741">
        <f t="shared" si="34"/>
        <v>0</v>
      </c>
      <c r="K43" s="740">
        <v>0</v>
      </c>
      <c r="L43" s="741">
        <f t="shared" si="34"/>
        <v>0</v>
      </c>
      <c r="M43" s="629"/>
      <c r="N43" s="740">
        <v>0</v>
      </c>
      <c r="O43" s="741">
        <f t="shared" si="35"/>
        <v>0</v>
      </c>
      <c r="P43" s="740">
        <v>0</v>
      </c>
      <c r="Q43" s="741">
        <f t="shared" si="36"/>
        <v>0</v>
      </c>
      <c r="R43" s="740">
        <v>0</v>
      </c>
      <c r="S43" s="741">
        <f t="shared" si="37"/>
        <v>0</v>
      </c>
      <c r="T43" s="740">
        <v>0</v>
      </c>
      <c r="U43" s="741">
        <f t="shared" si="38"/>
        <v>0</v>
      </c>
      <c r="V43" s="740">
        <v>0</v>
      </c>
      <c r="W43" s="741">
        <f t="shared" si="39"/>
        <v>0</v>
      </c>
      <c r="X43" s="647"/>
      <c r="Y43" s="740">
        <v>0</v>
      </c>
      <c r="Z43" s="741">
        <f t="shared" si="40"/>
        <v>0</v>
      </c>
      <c r="AA43" s="740">
        <v>0</v>
      </c>
      <c r="AB43" s="741">
        <f t="shared" si="41"/>
        <v>0</v>
      </c>
      <c r="AC43" s="740">
        <v>0</v>
      </c>
      <c r="AD43" s="741">
        <f t="shared" si="42"/>
        <v>0</v>
      </c>
      <c r="AE43" s="740">
        <v>0</v>
      </c>
      <c r="AF43" s="741">
        <f t="shared" si="43"/>
        <v>0</v>
      </c>
      <c r="AG43" s="740">
        <v>0</v>
      </c>
      <c r="AH43" s="741">
        <f t="shared" si="44"/>
        <v>0</v>
      </c>
      <c r="AL43" s="423">
        <f t="shared" si="3"/>
        <v>0</v>
      </c>
      <c r="AN43" s="599">
        <f t="shared" si="4"/>
        <v>0</v>
      </c>
      <c r="AO43" s="599">
        <f t="shared" si="5"/>
        <v>0</v>
      </c>
      <c r="AP43" s="599">
        <f t="shared" si="6"/>
        <v>0</v>
      </c>
      <c r="AZ43" s="599">
        <f t="shared" si="0"/>
        <v>0</v>
      </c>
      <c r="BA43" s="599">
        <f t="shared" si="1"/>
        <v>0</v>
      </c>
      <c r="BB43" s="599">
        <f t="shared" si="2"/>
        <v>0</v>
      </c>
    </row>
    <row r="44" spans="2:54" outlineLevel="1" x14ac:dyDescent="0.3">
      <c r="B44" s="744" t="s">
        <v>441</v>
      </c>
      <c r="C44" s="740">
        <v>0</v>
      </c>
      <c r="D44" s="741">
        <f t="shared" si="32"/>
        <v>0</v>
      </c>
      <c r="E44" s="740">
        <v>0</v>
      </c>
      <c r="F44" s="741">
        <f t="shared" si="33"/>
        <v>0</v>
      </c>
      <c r="G44" s="740">
        <v>0</v>
      </c>
      <c r="H44" s="741">
        <f t="shared" si="34"/>
        <v>0</v>
      </c>
      <c r="I44" s="740">
        <v>0</v>
      </c>
      <c r="J44" s="741">
        <f t="shared" si="34"/>
        <v>0</v>
      </c>
      <c r="K44" s="740">
        <v>0</v>
      </c>
      <c r="L44" s="741">
        <f t="shared" si="34"/>
        <v>0</v>
      </c>
      <c r="M44" s="629"/>
      <c r="N44" s="740">
        <v>0</v>
      </c>
      <c r="O44" s="741">
        <f t="shared" si="35"/>
        <v>0</v>
      </c>
      <c r="P44" s="740">
        <v>0</v>
      </c>
      <c r="Q44" s="741">
        <f t="shared" si="36"/>
        <v>0</v>
      </c>
      <c r="R44" s="740">
        <v>0</v>
      </c>
      <c r="S44" s="741">
        <f t="shared" si="37"/>
        <v>0</v>
      </c>
      <c r="T44" s="740">
        <v>0</v>
      </c>
      <c r="U44" s="741">
        <f t="shared" si="38"/>
        <v>0</v>
      </c>
      <c r="V44" s="740">
        <v>0</v>
      </c>
      <c r="W44" s="741">
        <f t="shared" si="39"/>
        <v>0</v>
      </c>
      <c r="X44" s="647"/>
      <c r="Y44" s="740">
        <v>0</v>
      </c>
      <c r="Z44" s="741">
        <f t="shared" si="40"/>
        <v>0</v>
      </c>
      <c r="AA44" s="740">
        <v>0</v>
      </c>
      <c r="AB44" s="741">
        <f t="shared" si="41"/>
        <v>0</v>
      </c>
      <c r="AC44" s="740">
        <v>0</v>
      </c>
      <c r="AD44" s="741">
        <f t="shared" si="42"/>
        <v>0</v>
      </c>
      <c r="AE44" s="740">
        <v>0</v>
      </c>
      <c r="AF44" s="741">
        <f t="shared" si="43"/>
        <v>0</v>
      </c>
      <c r="AG44" s="740">
        <v>0</v>
      </c>
      <c r="AH44" s="741">
        <f t="shared" si="44"/>
        <v>0</v>
      </c>
      <c r="AL44" s="423">
        <f t="shared" si="3"/>
        <v>0</v>
      </c>
      <c r="AN44" s="599">
        <f t="shared" si="4"/>
        <v>0</v>
      </c>
      <c r="AO44" s="599">
        <f t="shared" si="5"/>
        <v>0</v>
      </c>
      <c r="AP44" s="599">
        <f t="shared" si="6"/>
        <v>0</v>
      </c>
      <c r="AZ44" s="599">
        <f t="shared" si="0"/>
        <v>0</v>
      </c>
      <c r="BA44" s="599">
        <f t="shared" si="1"/>
        <v>0</v>
      </c>
      <c r="BB44" s="599">
        <f t="shared" si="2"/>
        <v>0</v>
      </c>
    </row>
    <row r="45" spans="2:54" outlineLevel="1" x14ac:dyDescent="0.3">
      <c r="B45" s="737" t="s">
        <v>429</v>
      </c>
      <c r="C45" s="740">
        <v>0</v>
      </c>
      <c r="D45" s="741">
        <f t="shared" si="32"/>
        <v>0</v>
      </c>
      <c r="E45" s="740">
        <v>0</v>
      </c>
      <c r="F45" s="741">
        <f t="shared" si="33"/>
        <v>0</v>
      </c>
      <c r="G45" s="740">
        <v>0</v>
      </c>
      <c r="H45" s="741">
        <f t="shared" si="34"/>
        <v>0</v>
      </c>
      <c r="I45" s="740">
        <v>0</v>
      </c>
      <c r="J45" s="741">
        <f t="shared" si="34"/>
        <v>0</v>
      </c>
      <c r="K45" s="740">
        <v>0</v>
      </c>
      <c r="L45" s="741">
        <f t="shared" si="34"/>
        <v>0</v>
      </c>
      <c r="M45" s="629"/>
      <c r="N45" s="740">
        <v>0</v>
      </c>
      <c r="O45" s="741">
        <f t="shared" si="35"/>
        <v>0</v>
      </c>
      <c r="P45" s="740">
        <v>0</v>
      </c>
      <c r="Q45" s="741">
        <f t="shared" si="36"/>
        <v>0</v>
      </c>
      <c r="R45" s="740">
        <v>0</v>
      </c>
      <c r="S45" s="741">
        <f t="shared" si="37"/>
        <v>0</v>
      </c>
      <c r="T45" s="740">
        <v>0</v>
      </c>
      <c r="U45" s="741">
        <f t="shared" si="38"/>
        <v>0</v>
      </c>
      <c r="V45" s="740">
        <v>0</v>
      </c>
      <c r="W45" s="741">
        <f t="shared" si="39"/>
        <v>0</v>
      </c>
      <c r="X45" s="647"/>
      <c r="Y45" s="740">
        <v>0</v>
      </c>
      <c r="Z45" s="741">
        <f t="shared" si="40"/>
        <v>0</v>
      </c>
      <c r="AA45" s="740">
        <v>0</v>
      </c>
      <c r="AB45" s="741">
        <f t="shared" si="41"/>
        <v>0</v>
      </c>
      <c r="AC45" s="740">
        <v>0</v>
      </c>
      <c r="AD45" s="741">
        <f t="shared" si="42"/>
        <v>0</v>
      </c>
      <c r="AE45" s="740">
        <v>0</v>
      </c>
      <c r="AF45" s="741">
        <f t="shared" si="43"/>
        <v>0</v>
      </c>
      <c r="AG45" s="740">
        <v>0</v>
      </c>
      <c r="AH45" s="741">
        <f t="shared" si="44"/>
        <v>0</v>
      </c>
      <c r="AL45" s="423">
        <f t="shared" si="3"/>
        <v>0</v>
      </c>
      <c r="AN45" s="599">
        <f t="shared" si="4"/>
        <v>0</v>
      </c>
      <c r="AO45" s="599">
        <f t="shared" si="5"/>
        <v>0</v>
      </c>
      <c r="AP45" s="599">
        <f t="shared" si="6"/>
        <v>0</v>
      </c>
      <c r="AZ45" s="599">
        <f t="shared" si="0"/>
        <v>0</v>
      </c>
      <c r="BA45" s="599">
        <f t="shared" si="1"/>
        <v>0</v>
      </c>
      <c r="BB45" s="599">
        <f t="shared" si="2"/>
        <v>0</v>
      </c>
    </row>
    <row r="46" spans="2:54" outlineLevel="1" x14ac:dyDescent="0.3">
      <c r="B46" s="737" t="s">
        <v>430</v>
      </c>
      <c r="C46" s="740">
        <v>0</v>
      </c>
      <c r="D46" s="741">
        <f t="shared" si="32"/>
        <v>0</v>
      </c>
      <c r="E46" s="740">
        <v>0</v>
      </c>
      <c r="F46" s="741">
        <f>F$10</f>
        <v>0</v>
      </c>
      <c r="G46" s="740">
        <v>0</v>
      </c>
      <c r="H46" s="741">
        <f t="shared" si="34"/>
        <v>0</v>
      </c>
      <c r="I46" s="740">
        <v>0</v>
      </c>
      <c r="J46" s="741">
        <f t="shared" si="34"/>
        <v>0</v>
      </c>
      <c r="K46" s="740">
        <v>0</v>
      </c>
      <c r="L46" s="741">
        <f t="shared" si="34"/>
        <v>0</v>
      </c>
      <c r="M46" s="629"/>
      <c r="N46" s="740">
        <v>0</v>
      </c>
      <c r="O46" s="741">
        <f>$Q$10</f>
        <v>0</v>
      </c>
      <c r="P46" s="740">
        <v>0</v>
      </c>
      <c r="Q46" s="741">
        <f t="shared" si="36"/>
        <v>0</v>
      </c>
      <c r="R46" s="740">
        <v>0</v>
      </c>
      <c r="S46" s="741">
        <f t="shared" si="37"/>
        <v>0</v>
      </c>
      <c r="T46" s="740">
        <v>0</v>
      </c>
      <c r="U46" s="741">
        <f t="shared" si="38"/>
        <v>0</v>
      </c>
      <c r="V46" s="740">
        <v>0</v>
      </c>
      <c r="W46" s="741">
        <f t="shared" si="39"/>
        <v>0</v>
      </c>
      <c r="X46" s="647"/>
      <c r="Y46" s="740">
        <v>0</v>
      </c>
      <c r="Z46" s="741">
        <f t="shared" si="40"/>
        <v>0</v>
      </c>
      <c r="AA46" s="740">
        <v>0</v>
      </c>
      <c r="AB46" s="741">
        <f t="shared" si="41"/>
        <v>0</v>
      </c>
      <c r="AC46" s="740">
        <v>0</v>
      </c>
      <c r="AD46" s="741">
        <f t="shared" si="42"/>
        <v>0</v>
      </c>
      <c r="AE46" s="740">
        <v>0</v>
      </c>
      <c r="AF46" s="741">
        <f t="shared" si="43"/>
        <v>0</v>
      </c>
      <c r="AG46" s="740">
        <v>0</v>
      </c>
      <c r="AH46" s="741">
        <f t="shared" si="44"/>
        <v>0</v>
      </c>
      <c r="AL46" s="423">
        <f t="shared" si="3"/>
        <v>0</v>
      </c>
      <c r="AN46" s="599">
        <f t="shared" si="4"/>
        <v>0</v>
      </c>
      <c r="AO46" s="599">
        <f t="shared" si="5"/>
        <v>0</v>
      </c>
      <c r="AP46" s="599">
        <f t="shared" si="6"/>
        <v>0</v>
      </c>
      <c r="AZ46" s="599">
        <f t="shared" si="0"/>
        <v>0</v>
      </c>
      <c r="BA46" s="599">
        <f t="shared" si="1"/>
        <v>0</v>
      </c>
      <c r="BB46" s="599">
        <f t="shared" si="2"/>
        <v>0</v>
      </c>
    </row>
    <row r="47" spans="2:54" outlineLevel="1" x14ac:dyDescent="0.3">
      <c r="B47" s="745" t="s">
        <v>431</v>
      </c>
      <c r="C47" s="740">
        <f>C39-SUM(C40:C46)</f>
        <v>0</v>
      </c>
      <c r="D47" s="741">
        <f t="shared" si="32"/>
        <v>0</v>
      </c>
      <c r="E47" s="740">
        <f>E39-SUM(E40:E46)</f>
        <v>0</v>
      </c>
      <c r="F47" s="741">
        <f>F$10</f>
        <v>0</v>
      </c>
      <c r="G47" s="740">
        <f>G39-SUM(G40:G46)</f>
        <v>0</v>
      </c>
      <c r="H47" s="741">
        <f t="shared" si="34"/>
        <v>0</v>
      </c>
      <c r="I47" s="740">
        <f>I39-SUM(I40:I46)</f>
        <v>0</v>
      </c>
      <c r="J47" s="741">
        <f t="shared" si="34"/>
        <v>0</v>
      </c>
      <c r="K47" s="740">
        <f>K39-SUM(K40:K46)</f>
        <v>0</v>
      </c>
      <c r="L47" s="741">
        <f t="shared" si="34"/>
        <v>0</v>
      </c>
      <c r="M47" s="629"/>
      <c r="N47" s="740">
        <f>N39-SUM(N40:N46)</f>
        <v>0</v>
      </c>
      <c r="O47" s="741">
        <f>$Q$10</f>
        <v>0</v>
      </c>
      <c r="P47" s="740">
        <f>P39-SUM(P40:P46)</f>
        <v>0</v>
      </c>
      <c r="Q47" s="741">
        <f t="shared" si="36"/>
        <v>0</v>
      </c>
      <c r="R47" s="740">
        <f>R39-SUM(R40:R46)</f>
        <v>0</v>
      </c>
      <c r="S47" s="741">
        <f t="shared" si="37"/>
        <v>0</v>
      </c>
      <c r="T47" s="740">
        <f>T39-SUM(T40:T46)</f>
        <v>0</v>
      </c>
      <c r="U47" s="741">
        <f t="shared" si="38"/>
        <v>0</v>
      </c>
      <c r="V47" s="740">
        <f>V39-SUM(V40:V46)</f>
        <v>0</v>
      </c>
      <c r="W47" s="741">
        <f t="shared" si="39"/>
        <v>0</v>
      </c>
      <c r="X47" s="647"/>
      <c r="Y47" s="740">
        <f>Y39-SUM(Y40:Y46)</f>
        <v>0</v>
      </c>
      <c r="Z47" s="741">
        <f t="shared" si="40"/>
        <v>0</v>
      </c>
      <c r="AA47" s="740">
        <f>AA39-SUM(AA40:AA46)</f>
        <v>0</v>
      </c>
      <c r="AB47" s="741">
        <f t="shared" si="41"/>
        <v>0</v>
      </c>
      <c r="AC47" s="740">
        <f>AC39-SUM(AC40:AC46)</f>
        <v>0</v>
      </c>
      <c r="AD47" s="741">
        <f t="shared" si="42"/>
        <v>0</v>
      </c>
      <c r="AE47" s="740">
        <f>AE39-SUM(AE40:AE46)</f>
        <v>0</v>
      </c>
      <c r="AF47" s="741">
        <f t="shared" si="43"/>
        <v>0</v>
      </c>
      <c r="AG47" s="740">
        <f>AG39-SUM(AG40:AG46)</f>
        <v>0</v>
      </c>
      <c r="AH47" s="741">
        <f t="shared" si="44"/>
        <v>0</v>
      </c>
      <c r="AJ47" s="334"/>
      <c r="AL47" s="423">
        <f t="shared" si="3"/>
        <v>0</v>
      </c>
      <c r="AN47" s="599">
        <f t="shared" si="4"/>
        <v>0</v>
      </c>
      <c r="AO47" s="599">
        <f t="shared" si="5"/>
        <v>0</v>
      </c>
      <c r="AP47" s="599">
        <f t="shared" si="6"/>
        <v>0</v>
      </c>
      <c r="AZ47" s="599">
        <f t="shared" si="0"/>
        <v>0</v>
      </c>
      <c r="BA47" s="599">
        <f t="shared" si="1"/>
        <v>0</v>
      </c>
      <c r="BB47" s="599">
        <f t="shared" si="2"/>
        <v>0</v>
      </c>
    </row>
    <row r="48" spans="2:54" x14ac:dyDescent="0.3">
      <c r="B48" s="328" t="s">
        <v>126</v>
      </c>
      <c r="C48" s="670">
        <f>C24+C31+C39</f>
        <v>0</v>
      </c>
      <c r="D48" s="327"/>
      <c r="E48" s="670">
        <f>E24+E31+E39</f>
        <v>0</v>
      </c>
      <c r="F48" s="688"/>
      <c r="G48" s="671">
        <f>G24+G31+G39</f>
        <v>0</v>
      </c>
      <c r="H48" s="688"/>
      <c r="I48" s="671">
        <f>I24+I31+I39</f>
        <v>0</v>
      </c>
      <c r="J48" s="688"/>
      <c r="K48" s="670">
        <f>K24+K31+K39</f>
        <v>0</v>
      </c>
      <c r="L48" s="688"/>
      <c r="M48" s="39"/>
      <c r="N48" s="670">
        <f>N24+N31+N39</f>
        <v>0</v>
      </c>
      <c r="O48" s="327"/>
      <c r="P48" s="670">
        <f>P24+P31+P39</f>
        <v>0</v>
      </c>
      <c r="Q48" s="688"/>
      <c r="R48" s="671">
        <f>R24+R31+R39</f>
        <v>0</v>
      </c>
      <c r="S48" s="688"/>
      <c r="T48" s="671">
        <f>T24+T31+T39</f>
        <v>0</v>
      </c>
      <c r="U48" s="688"/>
      <c r="V48" s="670">
        <f>V24+V31+V39</f>
        <v>0</v>
      </c>
      <c r="W48" s="688"/>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3"/>
        <v>0</v>
      </c>
      <c r="AN48" s="599">
        <f t="shared" si="4"/>
        <v>0</v>
      </c>
      <c r="AO48" s="599">
        <f t="shared" si="5"/>
        <v>0</v>
      </c>
      <c r="AP48" s="599">
        <f t="shared" si="6"/>
        <v>0</v>
      </c>
      <c r="AZ48" s="599">
        <f t="shared" si="0"/>
        <v>0</v>
      </c>
      <c r="BA48" s="599">
        <f t="shared" si="1"/>
        <v>0</v>
      </c>
      <c r="BB48" s="599">
        <f t="shared" si="2"/>
        <v>0</v>
      </c>
    </row>
    <row r="49" spans="1:117" x14ac:dyDescent="0.3">
      <c r="B49" s="333" t="s">
        <v>127</v>
      </c>
      <c r="C49" s="663">
        <v>0</v>
      </c>
      <c r="D49" s="331">
        <f>$F$11</f>
        <v>0.21</v>
      </c>
      <c r="E49" s="663">
        <f>C49</f>
        <v>0</v>
      </c>
      <c r="F49" s="331">
        <v>0.21</v>
      </c>
      <c r="G49" s="663"/>
      <c r="H49" s="331">
        <f>F49</f>
        <v>0.21</v>
      </c>
      <c r="I49" s="663"/>
      <c r="J49" s="331">
        <f>H49</f>
        <v>0.21</v>
      </c>
      <c r="K49" s="663"/>
      <c r="L49" s="331">
        <f>J49</f>
        <v>0.21</v>
      </c>
      <c r="M49" s="39"/>
      <c r="N49" s="663">
        <v>0</v>
      </c>
      <c r="O49" s="331">
        <f>$Q$11</f>
        <v>0.21</v>
      </c>
      <c r="P49" s="663">
        <f>N49</f>
        <v>0</v>
      </c>
      <c r="Q49" s="331">
        <f>O49</f>
        <v>0.21</v>
      </c>
      <c r="R49" s="663"/>
      <c r="S49" s="331">
        <f>Q49</f>
        <v>0.21</v>
      </c>
      <c r="T49" s="663"/>
      <c r="U49" s="331">
        <f>S49</f>
        <v>0.21</v>
      </c>
      <c r="V49" s="663"/>
      <c r="W49" s="331">
        <f>$AB$11</f>
        <v>0.21</v>
      </c>
      <c r="X49" s="646"/>
      <c r="Y49" s="663">
        <v>0</v>
      </c>
      <c r="Z49" s="331">
        <f>$AB$11</f>
        <v>0.21</v>
      </c>
      <c r="AA49" s="663">
        <f>Y49</f>
        <v>0</v>
      </c>
      <c r="AB49" s="331">
        <f>Z49</f>
        <v>0.21</v>
      </c>
      <c r="AC49" s="663"/>
      <c r="AD49" s="331">
        <f>AB49</f>
        <v>0.21</v>
      </c>
      <c r="AE49" s="663"/>
      <c r="AF49" s="331">
        <f>AD49</f>
        <v>0.21</v>
      </c>
      <c r="AG49" s="663"/>
      <c r="AH49" s="331">
        <f>AF49</f>
        <v>0.21</v>
      </c>
      <c r="AL49" s="423">
        <f t="shared" si="3"/>
        <v>0</v>
      </c>
      <c r="AN49" s="599">
        <f t="shared" si="4"/>
        <v>0</v>
      </c>
      <c r="AO49" s="599">
        <f t="shared" si="5"/>
        <v>0</v>
      </c>
      <c r="AP49" s="599">
        <f t="shared" si="6"/>
        <v>0</v>
      </c>
      <c r="AZ49" s="599">
        <f t="shared" si="0"/>
        <v>0</v>
      </c>
      <c r="BA49" s="599">
        <f t="shared" si="1"/>
        <v>0</v>
      </c>
      <c r="BB49" s="599">
        <f t="shared" si="2"/>
        <v>0</v>
      </c>
    </row>
    <row r="50" spans="1:117" x14ac:dyDescent="0.3">
      <c r="B50" s="328" t="s">
        <v>443</v>
      </c>
      <c r="C50" s="670">
        <f>SUM(C48+C49)</f>
        <v>0</v>
      </c>
      <c r="D50" s="327"/>
      <c r="E50" s="670">
        <f>SUM(E48+E49)</f>
        <v>0</v>
      </c>
      <c r="F50" s="688"/>
      <c r="G50" s="671">
        <f>SUM(G48+G49)</f>
        <v>0</v>
      </c>
      <c r="H50" s="688"/>
      <c r="I50" s="671">
        <f>SUM(I48:I49)</f>
        <v>0</v>
      </c>
      <c r="J50" s="688"/>
      <c r="K50" s="670">
        <f>SUM(K48:K49)</f>
        <v>0</v>
      </c>
      <c r="L50" s="688"/>
      <c r="M50" s="39"/>
      <c r="N50" s="670">
        <f>SUM(N48+N49)</f>
        <v>0</v>
      </c>
      <c r="O50" s="327"/>
      <c r="P50" s="670">
        <f>SUM(P48+P49)</f>
        <v>0</v>
      </c>
      <c r="Q50" s="688"/>
      <c r="R50" s="671">
        <f>SUM(R48+R49)</f>
        <v>0</v>
      </c>
      <c r="S50" s="688"/>
      <c r="T50" s="671">
        <f>SUM(T48:T49)</f>
        <v>0</v>
      </c>
      <c r="U50" s="688"/>
      <c r="V50" s="670">
        <f>SUM(V48:V49)</f>
        <v>0</v>
      </c>
      <c r="W50" s="327"/>
      <c r="X50" s="646"/>
      <c r="Y50" s="670">
        <f>SUM(Y48+Y49)</f>
        <v>0</v>
      </c>
      <c r="Z50" s="327"/>
      <c r="AA50" s="670">
        <f>SUM(AA48+AA49)</f>
        <v>0</v>
      </c>
      <c r="AB50" s="688"/>
      <c r="AC50" s="671">
        <f>SUM(AC48+AC49)</f>
        <v>0</v>
      </c>
      <c r="AD50" s="688"/>
      <c r="AE50" s="671">
        <f>SUM(AE48:AE49)</f>
        <v>0</v>
      </c>
      <c r="AF50" s="688"/>
      <c r="AG50" s="670">
        <f>SUM(AG48:AG49)</f>
        <v>0</v>
      </c>
      <c r="AH50" s="688"/>
      <c r="AL50" s="423">
        <f t="shared" si="3"/>
        <v>0</v>
      </c>
      <c r="AN50" s="599">
        <f t="shared" si="4"/>
        <v>0</v>
      </c>
      <c r="AO50" s="599">
        <f t="shared" si="5"/>
        <v>0</v>
      </c>
      <c r="AP50" s="599">
        <f t="shared" si="6"/>
        <v>0</v>
      </c>
      <c r="AZ50" s="599">
        <f t="shared" si="0"/>
        <v>0</v>
      </c>
      <c r="BA50" s="599">
        <f t="shared" si="1"/>
        <v>0</v>
      </c>
      <c r="BB50" s="599">
        <f t="shared" si="2"/>
        <v>0</v>
      </c>
    </row>
    <row r="51" spans="1:117" x14ac:dyDescent="0.3">
      <c r="B51" s="333" t="s">
        <v>444</v>
      </c>
      <c r="C51" s="665">
        <f>SUM(C52:C53)</f>
        <v>0</v>
      </c>
      <c r="D51" s="656">
        <f>D49</f>
        <v>0.21</v>
      </c>
      <c r="E51" s="663">
        <f t="shared" ref="E51:E58" si="45">C51</f>
        <v>0</v>
      </c>
      <c r="F51" s="656">
        <v>0.21</v>
      </c>
      <c r="G51" s="665">
        <f>SUM(G52:G53)</f>
        <v>0</v>
      </c>
      <c r="H51" s="656">
        <f t="shared" ref="H51:H58" si="46">F51</f>
        <v>0.21</v>
      </c>
      <c r="I51" s="665">
        <f>SUM(I52:I53)</f>
        <v>0</v>
      </c>
      <c r="J51" s="656">
        <f t="shared" ref="J51:J58" si="47">H51</f>
        <v>0.21</v>
      </c>
      <c r="K51" s="665">
        <f>SUM(K52:K53)</f>
        <v>0</v>
      </c>
      <c r="L51" s="656">
        <f t="shared" ref="L51:L58" si="48">J51</f>
        <v>0.21</v>
      </c>
      <c r="M51" s="628"/>
      <c r="N51" s="665">
        <v>0</v>
      </c>
      <c r="O51" s="656">
        <f>O49</f>
        <v>0.21</v>
      </c>
      <c r="P51" s="663">
        <f t="shared" ref="P51:Q54" si="49">N51</f>
        <v>0</v>
      </c>
      <c r="Q51" s="656">
        <f t="shared" si="49"/>
        <v>0.21</v>
      </c>
      <c r="R51" s="665">
        <f>SUM(R52:R53)</f>
        <v>0</v>
      </c>
      <c r="S51" s="656">
        <f t="shared" ref="S51:S58" si="50">Q51</f>
        <v>0.21</v>
      </c>
      <c r="T51" s="665">
        <f>SUM(T52:T53)</f>
        <v>0</v>
      </c>
      <c r="U51" s="656">
        <f t="shared" ref="U51:U58" si="51">S51</f>
        <v>0.21</v>
      </c>
      <c r="V51" s="665">
        <f>SUM(V52:V53)</f>
        <v>0</v>
      </c>
      <c r="W51" s="656">
        <f>$AB$10</f>
        <v>0</v>
      </c>
      <c r="X51" s="648"/>
      <c r="Y51" s="665">
        <v>0</v>
      </c>
      <c r="Z51" s="656">
        <f>Z49</f>
        <v>0.21</v>
      </c>
      <c r="AA51" s="663">
        <f t="shared" ref="AA51:AB54" si="52">Y51</f>
        <v>0</v>
      </c>
      <c r="AB51" s="656">
        <f t="shared" si="52"/>
        <v>0.21</v>
      </c>
      <c r="AC51" s="665">
        <f>SUM(AC52:AC53)</f>
        <v>0</v>
      </c>
      <c r="AD51" s="656">
        <f t="shared" ref="AD51:AD58" si="53">AB51</f>
        <v>0.21</v>
      </c>
      <c r="AE51" s="665">
        <f>SUM(AE52:AE53)</f>
        <v>0</v>
      </c>
      <c r="AF51" s="656">
        <f t="shared" ref="AF51:AF58" si="54">AD51</f>
        <v>0.21</v>
      </c>
      <c r="AG51" s="665">
        <f>SUM(AG52:AG53)</f>
        <v>0</v>
      </c>
      <c r="AH51" s="656">
        <f t="shared" ref="AH51:AH58" si="55">AF51</f>
        <v>0.21</v>
      </c>
      <c r="AL51" s="819">
        <f t="shared" si="3"/>
        <v>0</v>
      </c>
      <c r="AN51" s="599">
        <f t="shared" si="4"/>
        <v>0</v>
      </c>
      <c r="AO51" s="599">
        <f t="shared" si="5"/>
        <v>0</v>
      </c>
      <c r="AP51" s="599">
        <f t="shared" si="6"/>
        <v>0</v>
      </c>
      <c r="AZ51" s="599">
        <f t="shared" si="0"/>
        <v>0</v>
      </c>
      <c r="BA51" s="599">
        <f t="shared" si="1"/>
        <v>0</v>
      </c>
      <c r="BB51" s="599">
        <f t="shared" si="2"/>
        <v>0</v>
      </c>
    </row>
    <row r="52" spans="1:117" ht="27.6" x14ac:dyDescent="0.3">
      <c r="B52" s="746" t="s">
        <v>445</v>
      </c>
      <c r="C52" s="740">
        <v>0</v>
      </c>
      <c r="D52" s="743">
        <f>$F$10</f>
        <v>0</v>
      </c>
      <c r="E52" s="740">
        <f t="shared" si="45"/>
        <v>0</v>
      </c>
      <c r="F52" s="743">
        <v>0.21</v>
      </c>
      <c r="G52" s="740">
        <v>0</v>
      </c>
      <c r="H52" s="743">
        <f t="shared" si="46"/>
        <v>0.21</v>
      </c>
      <c r="I52" s="740">
        <v>0</v>
      </c>
      <c r="J52" s="743">
        <f t="shared" si="47"/>
        <v>0.21</v>
      </c>
      <c r="K52" s="740">
        <v>0</v>
      </c>
      <c r="L52" s="743">
        <f t="shared" si="48"/>
        <v>0.21</v>
      </c>
      <c r="M52" s="628"/>
      <c r="N52" s="742"/>
      <c r="O52" s="743">
        <f t="shared" ref="O52:O54" si="56">$Q$10</f>
        <v>0</v>
      </c>
      <c r="P52" s="740">
        <f t="shared" si="49"/>
        <v>0</v>
      </c>
      <c r="Q52" s="743">
        <f t="shared" si="49"/>
        <v>0</v>
      </c>
      <c r="R52" s="740">
        <v>0</v>
      </c>
      <c r="S52" s="743">
        <f t="shared" si="50"/>
        <v>0</v>
      </c>
      <c r="T52" s="740">
        <v>0</v>
      </c>
      <c r="U52" s="743">
        <f t="shared" si="51"/>
        <v>0</v>
      </c>
      <c r="V52" s="740">
        <v>0</v>
      </c>
      <c r="W52" s="743">
        <f t="shared" ref="W52:W54" si="57">$AB$10</f>
        <v>0</v>
      </c>
      <c r="X52" s="648"/>
      <c r="Y52" s="742"/>
      <c r="Z52" s="743">
        <f t="shared" ref="Z52:Z54" si="58">$AB$10</f>
        <v>0</v>
      </c>
      <c r="AA52" s="740">
        <f t="shared" si="52"/>
        <v>0</v>
      </c>
      <c r="AB52" s="743">
        <f t="shared" si="52"/>
        <v>0</v>
      </c>
      <c r="AC52" s="740">
        <v>0</v>
      </c>
      <c r="AD52" s="743">
        <f t="shared" si="53"/>
        <v>0</v>
      </c>
      <c r="AE52" s="740">
        <v>0</v>
      </c>
      <c r="AF52" s="743">
        <f t="shared" si="54"/>
        <v>0</v>
      </c>
      <c r="AG52" s="740">
        <v>0</v>
      </c>
      <c r="AH52" s="743">
        <f t="shared" si="55"/>
        <v>0</v>
      </c>
      <c r="AL52" s="423">
        <f t="shared" si="3"/>
        <v>0</v>
      </c>
      <c r="AN52" s="599"/>
      <c r="AO52" s="599"/>
      <c r="AP52" s="599"/>
      <c r="AZ52" s="599">
        <f t="shared" si="0"/>
        <v>0</v>
      </c>
      <c r="BA52" s="599">
        <f t="shared" si="1"/>
        <v>0</v>
      </c>
      <c r="BB52" s="599">
        <f t="shared" si="2"/>
        <v>0</v>
      </c>
    </row>
    <row r="53" spans="1:117" x14ac:dyDescent="0.3">
      <c r="B53" s="746" t="s">
        <v>446</v>
      </c>
      <c r="C53" s="740">
        <v>0</v>
      </c>
      <c r="D53" s="743">
        <f>$F$10</f>
        <v>0</v>
      </c>
      <c r="E53" s="740">
        <f t="shared" si="45"/>
        <v>0</v>
      </c>
      <c r="F53" s="743">
        <v>0.21</v>
      </c>
      <c r="G53" s="740">
        <v>0</v>
      </c>
      <c r="H53" s="743">
        <f t="shared" si="46"/>
        <v>0.21</v>
      </c>
      <c r="I53" s="740">
        <v>0</v>
      </c>
      <c r="J53" s="743">
        <f t="shared" si="47"/>
        <v>0.21</v>
      </c>
      <c r="K53" s="740">
        <v>0</v>
      </c>
      <c r="L53" s="743">
        <f t="shared" si="48"/>
        <v>0.21</v>
      </c>
      <c r="M53" s="628"/>
      <c r="N53" s="742"/>
      <c r="O53" s="743">
        <f t="shared" si="56"/>
        <v>0</v>
      </c>
      <c r="P53" s="740">
        <f t="shared" si="49"/>
        <v>0</v>
      </c>
      <c r="Q53" s="743">
        <f t="shared" si="49"/>
        <v>0</v>
      </c>
      <c r="R53" s="740">
        <v>0</v>
      </c>
      <c r="S53" s="743">
        <f t="shared" si="50"/>
        <v>0</v>
      </c>
      <c r="T53" s="740">
        <v>0</v>
      </c>
      <c r="U53" s="743">
        <f t="shared" si="51"/>
        <v>0</v>
      </c>
      <c r="V53" s="740">
        <v>0</v>
      </c>
      <c r="W53" s="743">
        <f t="shared" si="57"/>
        <v>0</v>
      </c>
      <c r="X53" s="648"/>
      <c r="Y53" s="742"/>
      <c r="Z53" s="743">
        <f t="shared" si="58"/>
        <v>0</v>
      </c>
      <c r="AA53" s="740">
        <f t="shared" si="52"/>
        <v>0</v>
      </c>
      <c r="AB53" s="743">
        <f t="shared" si="52"/>
        <v>0</v>
      </c>
      <c r="AC53" s="740">
        <v>0</v>
      </c>
      <c r="AD53" s="743">
        <f t="shared" si="53"/>
        <v>0</v>
      </c>
      <c r="AE53" s="740">
        <v>0</v>
      </c>
      <c r="AF53" s="743">
        <f t="shared" si="54"/>
        <v>0</v>
      </c>
      <c r="AG53" s="740">
        <v>0</v>
      </c>
      <c r="AH53" s="743">
        <f t="shared" si="55"/>
        <v>0</v>
      </c>
      <c r="AL53" s="423">
        <f t="shared" si="3"/>
        <v>0</v>
      </c>
      <c r="AN53" s="599"/>
      <c r="AO53" s="599"/>
      <c r="AP53" s="599"/>
      <c r="AZ53" s="599">
        <f t="shared" si="0"/>
        <v>0</v>
      </c>
      <c r="BA53" s="599">
        <f t="shared" si="1"/>
        <v>0</v>
      </c>
      <c r="BB53" s="599">
        <f t="shared" si="2"/>
        <v>0</v>
      </c>
    </row>
    <row r="54" spans="1:117" x14ac:dyDescent="0.3">
      <c r="B54" s="333" t="s">
        <v>447</v>
      </c>
      <c r="C54" s="665">
        <v>0</v>
      </c>
      <c r="D54" s="656">
        <f>$F$10</f>
        <v>0</v>
      </c>
      <c r="E54" s="663">
        <f t="shared" si="45"/>
        <v>0</v>
      </c>
      <c r="F54" s="656">
        <f>F$10</f>
        <v>0</v>
      </c>
      <c r="G54" s="665">
        <v>0</v>
      </c>
      <c r="H54" s="656">
        <f t="shared" si="46"/>
        <v>0</v>
      </c>
      <c r="I54" s="665">
        <v>0</v>
      </c>
      <c r="J54" s="656">
        <f t="shared" si="47"/>
        <v>0</v>
      </c>
      <c r="K54" s="665">
        <v>0</v>
      </c>
      <c r="L54" s="656">
        <f t="shared" si="48"/>
        <v>0</v>
      </c>
      <c r="M54" s="628"/>
      <c r="N54" s="665">
        <v>0</v>
      </c>
      <c r="O54" s="656">
        <f t="shared" si="56"/>
        <v>0</v>
      </c>
      <c r="P54" s="663">
        <f t="shared" si="49"/>
        <v>0</v>
      </c>
      <c r="Q54" s="656">
        <f t="shared" si="49"/>
        <v>0</v>
      </c>
      <c r="R54" s="665">
        <v>0</v>
      </c>
      <c r="S54" s="656">
        <f t="shared" si="50"/>
        <v>0</v>
      </c>
      <c r="T54" s="665">
        <v>0</v>
      </c>
      <c r="U54" s="656">
        <f t="shared" si="51"/>
        <v>0</v>
      </c>
      <c r="V54" s="665">
        <v>0</v>
      </c>
      <c r="W54" s="656">
        <f t="shared" si="57"/>
        <v>0</v>
      </c>
      <c r="X54" s="648"/>
      <c r="Y54" s="665">
        <v>0</v>
      </c>
      <c r="Z54" s="656">
        <f t="shared" si="58"/>
        <v>0</v>
      </c>
      <c r="AA54" s="663">
        <f t="shared" si="52"/>
        <v>0</v>
      </c>
      <c r="AB54" s="656">
        <f t="shared" si="52"/>
        <v>0</v>
      </c>
      <c r="AC54" s="665">
        <v>0</v>
      </c>
      <c r="AD54" s="656">
        <f t="shared" si="53"/>
        <v>0</v>
      </c>
      <c r="AE54" s="665">
        <v>0</v>
      </c>
      <c r="AF54" s="656">
        <f t="shared" si="54"/>
        <v>0</v>
      </c>
      <c r="AG54" s="665">
        <v>0</v>
      </c>
      <c r="AH54" s="656">
        <f t="shared" si="55"/>
        <v>0</v>
      </c>
      <c r="AL54" s="819">
        <f t="shared" si="3"/>
        <v>0</v>
      </c>
      <c r="AN54" s="599"/>
      <c r="AO54" s="599"/>
      <c r="AP54" s="599"/>
      <c r="AZ54" s="599">
        <f t="shared" si="0"/>
        <v>0</v>
      </c>
      <c r="BA54" s="599">
        <f t="shared" si="1"/>
        <v>0</v>
      </c>
      <c r="BB54" s="599">
        <f t="shared" si="2"/>
        <v>0</v>
      </c>
    </row>
    <row r="55" spans="1:117" x14ac:dyDescent="0.3">
      <c r="B55" s="333" t="s">
        <v>335</v>
      </c>
      <c r="C55" s="665">
        <f ca="1">IFERROR(kunst!$B$11*('Overzicht BTA'!$D$17/'Overzicht project'!$E$66),0)</f>
        <v>0</v>
      </c>
      <c r="D55" s="335">
        <f>$F$13</f>
        <v>0.06</v>
      </c>
      <c r="E55" s="665">
        <f t="shared" ca="1" si="45"/>
        <v>0</v>
      </c>
      <c r="F55" s="656">
        <f>$AB$13</f>
        <v>0.06</v>
      </c>
      <c r="G55" s="665">
        <v>0</v>
      </c>
      <c r="H55" s="335">
        <f t="shared" si="46"/>
        <v>0.06</v>
      </c>
      <c r="I55" s="665">
        <v>0</v>
      </c>
      <c r="J55" s="335">
        <f t="shared" si="47"/>
        <v>0.06</v>
      </c>
      <c r="K55" s="665">
        <v>0</v>
      </c>
      <c r="L55" s="335">
        <f t="shared" si="48"/>
        <v>0.06</v>
      </c>
      <c r="M55" s="629"/>
      <c r="N55" s="665">
        <f ca="1">IFERROR(kunst!$B$11*('Overzicht BTA'!$J$17/'Overzicht project'!$E$66),0)</f>
        <v>0</v>
      </c>
      <c r="O55" s="335">
        <f>$Q$13</f>
        <v>0.06</v>
      </c>
      <c r="P55" s="665">
        <f ca="1">N55</f>
        <v>0</v>
      </c>
      <c r="Q55" s="335">
        <f>O55</f>
        <v>0.06</v>
      </c>
      <c r="R55" s="665">
        <v>0</v>
      </c>
      <c r="S55" s="335">
        <f t="shared" si="50"/>
        <v>0.06</v>
      </c>
      <c r="T55" s="665">
        <v>0</v>
      </c>
      <c r="U55" s="335">
        <f t="shared" si="51"/>
        <v>0.06</v>
      </c>
      <c r="V55" s="665">
        <v>0</v>
      </c>
      <c r="W55" s="335">
        <f>$AB$13</f>
        <v>0.06</v>
      </c>
      <c r="X55" s="647"/>
      <c r="Y55" s="665">
        <f ca="1">IFERROR(kunst!$B$11*('Overzicht BTA'!$P$17/'Overzicht project'!$E$66),0)</f>
        <v>0</v>
      </c>
      <c r="Z55" s="335">
        <f>$AB$13</f>
        <v>0.06</v>
      </c>
      <c r="AA55" s="665">
        <f ca="1">Y55</f>
        <v>0</v>
      </c>
      <c r="AB55" s="335">
        <f>Z55</f>
        <v>0.06</v>
      </c>
      <c r="AC55" s="665">
        <v>0</v>
      </c>
      <c r="AD55" s="335">
        <f t="shared" si="53"/>
        <v>0.06</v>
      </c>
      <c r="AE55" s="665">
        <v>0</v>
      </c>
      <c r="AF55" s="335">
        <f t="shared" si="54"/>
        <v>0.06</v>
      </c>
      <c r="AG55" s="665">
        <v>0</v>
      </c>
      <c r="AH55" s="335">
        <f t="shared" si="55"/>
        <v>0.06</v>
      </c>
      <c r="AL55" s="423">
        <f t="shared" si="3"/>
        <v>0</v>
      </c>
      <c r="AN55" s="599">
        <f t="shared" ref="AN55:AN65" si="59">IFERROR(K55*$AO$4/$AR$4,0)</f>
        <v>0</v>
      </c>
      <c r="AO55" s="599">
        <f t="shared" ref="AO55:AO65" si="60">IFERROR(K55*$AP$4/$AR$4,0)</f>
        <v>0</v>
      </c>
      <c r="AP55" s="599">
        <f t="shared" ref="AP55:AP65" si="61">IFERROR(K55*$AQ$4/$AR$4,0)</f>
        <v>0</v>
      </c>
      <c r="AZ55" s="599">
        <f t="shared" si="0"/>
        <v>0</v>
      </c>
      <c r="BA55" s="599">
        <f t="shared" si="1"/>
        <v>0</v>
      </c>
      <c r="BB55" s="599">
        <f t="shared" si="2"/>
        <v>0</v>
      </c>
    </row>
    <row r="56" spans="1:117" s="669" customFormat="1" x14ac:dyDescent="0.3">
      <c r="A56"/>
      <c r="B56" s="333" t="s">
        <v>448</v>
      </c>
      <c r="C56" s="665">
        <v>0</v>
      </c>
      <c r="D56" s="656">
        <f>$F$11</f>
        <v>0.21</v>
      </c>
      <c r="E56" s="663">
        <f t="shared" si="45"/>
        <v>0</v>
      </c>
      <c r="F56" s="656">
        <v>0.21</v>
      </c>
      <c r="G56" s="665">
        <v>0</v>
      </c>
      <c r="H56" s="656">
        <f t="shared" si="46"/>
        <v>0.21</v>
      </c>
      <c r="I56" s="665">
        <v>0</v>
      </c>
      <c r="J56" s="656">
        <f t="shared" si="47"/>
        <v>0.21</v>
      </c>
      <c r="K56" s="665">
        <v>0</v>
      </c>
      <c r="L56" s="656">
        <f t="shared" si="48"/>
        <v>0.21</v>
      </c>
      <c r="M56" s="629"/>
      <c r="N56" s="665">
        <v>0</v>
      </c>
      <c r="O56" s="656">
        <f t="shared" ref="O56" si="62">$Q$11</f>
        <v>0.21</v>
      </c>
      <c r="P56" s="663">
        <f>N56</f>
        <v>0</v>
      </c>
      <c r="Q56" s="656">
        <f>O56</f>
        <v>0.21</v>
      </c>
      <c r="R56" s="665">
        <v>0</v>
      </c>
      <c r="S56" s="656">
        <f t="shared" si="50"/>
        <v>0.21</v>
      </c>
      <c r="T56" s="665">
        <v>0</v>
      </c>
      <c r="U56" s="656">
        <f t="shared" si="51"/>
        <v>0.21</v>
      </c>
      <c r="V56" s="665">
        <v>0</v>
      </c>
      <c r="W56" s="656">
        <f t="shared" ref="W56" si="63">$AB$11</f>
        <v>0.21</v>
      </c>
      <c r="X56" s="647"/>
      <c r="Y56" s="665">
        <v>0</v>
      </c>
      <c r="Z56" s="656">
        <f t="shared" ref="Z56" si="64">$AB$11</f>
        <v>0.21</v>
      </c>
      <c r="AA56" s="663">
        <f>Y56</f>
        <v>0</v>
      </c>
      <c r="AB56" s="656">
        <f>Z56</f>
        <v>0.21</v>
      </c>
      <c r="AC56" s="665">
        <v>0</v>
      </c>
      <c r="AD56" s="656">
        <f t="shared" si="53"/>
        <v>0.21</v>
      </c>
      <c r="AE56" s="665">
        <v>0</v>
      </c>
      <c r="AF56" s="656">
        <f t="shared" si="54"/>
        <v>0.21</v>
      </c>
      <c r="AG56" s="665">
        <v>0</v>
      </c>
      <c r="AH56" s="656">
        <f t="shared" si="55"/>
        <v>0.21</v>
      </c>
      <c r="AI56"/>
      <c r="AJ56"/>
      <c r="AK56"/>
      <c r="AL56" s="423"/>
      <c r="AM56"/>
      <c r="AN56" s="599"/>
      <c r="AO56" s="599"/>
      <c r="AP56" s="599"/>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1456</v>
      </c>
      <c r="C57" s="665">
        <v>0</v>
      </c>
      <c r="D57" s="656">
        <f>$F$10</f>
        <v>0</v>
      </c>
      <c r="E57" s="663">
        <f t="shared" si="45"/>
        <v>0</v>
      </c>
      <c r="F57" s="656">
        <f>F$10</f>
        <v>0</v>
      </c>
      <c r="G57" s="665">
        <v>0</v>
      </c>
      <c r="H57" s="656">
        <f t="shared" ref="H57" si="65">F57</f>
        <v>0</v>
      </c>
      <c r="I57" s="665">
        <v>0</v>
      </c>
      <c r="J57" s="656">
        <f t="shared" ref="J57" si="66">H57</f>
        <v>0</v>
      </c>
      <c r="K57" s="665">
        <v>0</v>
      </c>
      <c r="L57" s="656">
        <f t="shared" ref="L57" si="67">J57</f>
        <v>0</v>
      </c>
      <c r="M57" s="628"/>
      <c r="N57" s="665">
        <v>0</v>
      </c>
      <c r="O57" s="656">
        <f t="shared" ref="O57" si="68">$Q$10</f>
        <v>0</v>
      </c>
      <c r="P57" s="663">
        <f t="shared" ref="P57" si="69">N57</f>
        <v>0</v>
      </c>
      <c r="Q57" s="656">
        <f t="shared" ref="Q57" si="70">O57</f>
        <v>0</v>
      </c>
      <c r="R57" s="665">
        <v>0</v>
      </c>
      <c r="S57" s="656">
        <f t="shared" ref="S57" si="71">Q57</f>
        <v>0</v>
      </c>
      <c r="T57" s="665">
        <v>0</v>
      </c>
      <c r="U57" s="656">
        <f t="shared" ref="U57" si="72">S57</f>
        <v>0</v>
      </c>
      <c r="V57" s="665">
        <v>0</v>
      </c>
      <c r="W57" s="656">
        <f t="shared" ref="W57" si="73">$AB$10</f>
        <v>0</v>
      </c>
      <c r="X57" s="648"/>
      <c r="Y57" s="665">
        <v>0</v>
      </c>
      <c r="Z57" s="656">
        <f t="shared" ref="Z57" si="74">$AB$10</f>
        <v>0</v>
      </c>
      <c r="AA57" s="663">
        <f t="shared" ref="AA57" si="75">Y57</f>
        <v>0</v>
      </c>
      <c r="AB57" s="656">
        <f>Z54</f>
        <v>0</v>
      </c>
      <c r="AC57" s="665"/>
      <c r="AD57" s="656"/>
      <c r="AE57" s="665"/>
      <c r="AF57" s="656"/>
      <c r="AG57" s="665"/>
      <c r="AH57" s="656"/>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outlineLevel="1" x14ac:dyDescent="0.3">
      <c r="B58" s="747" t="s">
        <v>450</v>
      </c>
      <c r="C58" s="740">
        <v>0</v>
      </c>
      <c r="D58" s="743">
        <f>$F$10</f>
        <v>0</v>
      </c>
      <c r="E58" s="740">
        <f t="shared" si="45"/>
        <v>0</v>
      </c>
      <c r="F58" s="743">
        <v>0.21</v>
      </c>
      <c r="G58" s="740">
        <v>0</v>
      </c>
      <c r="H58" s="741">
        <f t="shared" si="46"/>
        <v>0.21</v>
      </c>
      <c r="I58" s="740">
        <v>0</v>
      </c>
      <c r="J58" s="741">
        <f t="shared" si="47"/>
        <v>0.21</v>
      </c>
      <c r="K58" s="740">
        <v>0</v>
      </c>
      <c r="L58" s="741">
        <f t="shared" si="48"/>
        <v>0.21</v>
      </c>
      <c r="M58" s="629"/>
      <c r="N58" s="740"/>
      <c r="O58" s="743">
        <f>$Q$10</f>
        <v>0</v>
      </c>
      <c r="P58" s="740">
        <f>N58</f>
        <v>0</v>
      </c>
      <c r="Q58" s="741">
        <f>O58</f>
        <v>0</v>
      </c>
      <c r="R58" s="740">
        <v>0</v>
      </c>
      <c r="S58" s="741">
        <f t="shared" si="50"/>
        <v>0</v>
      </c>
      <c r="T58" s="740">
        <v>0</v>
      </c>
      <c r="U58" s="741">
        <f t="shared" si="51"/>
        <v>0</v>
      </c>
      <c r="V58" s="740">
        <v>0</v>
      </c>
      <c r="W58" s="743">
        <f>$AB$10</f>
        <v>0</v>
      </c>
      <c r="X58" s="647"/>
      <c r="Y58" s="740"/>
      <c r="Z58" s="743">
        <f>$AB$10</f>
        <v>0</v>
      </c>
      <c r="AA58" s="740">
        <f>Y58</f>
        <v>0</v>
      </c>
      <c r="AB58" s="741">
        <f>Z58</f>
        <v>0</v>
      </c>
      <c r="AC58" s="740">
        <v>0</v>
      </c>
      <c r="AD58" s="741">
        <f t="shared" si="53"/>
        <v>0</v>
      </c>
      <c r="AE58" s="740">
        <v>0</v>
      </c>
      <c r="AF58" s="741">
        <f t="shared" si="54"/>
        <v>0</v>
      </c>
      <c r="AG58" s="740">
        <v>0</v>
      </c>
      <c r="AH58" s="741">
        <f t="shared" si="55"/>
        <v>0</v>
      </c>
      <c r="AL58" s="423">
        <f t="shared" si="3"/>
        <v>0</v>
      </c>
      <c r="AN58" s="599">
        <f t="shared" si="59"/>
        <v>0</v>
      </c>
      <c r="AO58" s="599">
        <f t="shared" si="60"/>
        <v>0</v>
      </c>
      <c r="AP58" s="599">
        <f t="shared" si="61"/>
        <v>0</v>
      </c>
      <c r="AZ58" s="599">
        <f t="shared" si="0"/>
        <v>0</v>
      </c>
      <c r="BA58" s="599">
        <f t="shared" si="1"/>
        <v>0</v>
      </c>
      <c r="BB58" s="599">
        <f t="shared" si="2"/>
        <v>0</v>
      </c>
    </row>
    <row r="59" spans="1:117" outlineLevel="1" x14ac:dyDescent="0.3">
      <c r="B59" s="747" t="s">
        <v>451</v>
      </c>
      <c r="C59" s="740">
        <v>0</v>
      </c>
      <c r="D59" s="741">
        <f>$F$10</f>
        <v>0</v>
      </c>
      <c r="E59" s="740">
        <f t="shared" ref="E59:E60" si="76">C59</f>
        <v>0</v>
      </c>
      <c r="F59" s="743">
        <v>0.21</v>
      </c>
      <c r="G59" s="740">
        <v>0</v>
      </c>
      <c r="H59" s="741">
        <f t="shared" ref="H59:L60" si="77">F59</f>
        <v>0.21</v>
      </c>
      <c r="I59" s="740">
        <v>0</v>
      </c>
      <c r="J59" s="741">
        <f t="shared" si="77"/>
        <v>0.21</v>
      </c>
      <c r="K59" s="740">
        <v>0</v>
      </c>
      <c r="L59" s="741">
        <f t="shared" si="77"/>
        <v>0.21</v>
      </c>
      <c r="M59" s="629"/>
      <c r="N59" s="740"/>
      <c r="O59" s="741">
        <f>$F$10</f>
        <v>0</v>
      </c>
      <c r="P59" s="740">
        <f t="shared" ref="P59:Q60" si="78">N59</f>
        <v>0</v>
      </c>
      <c r="Q59" s="741">
        <f t="shared" si="78"/>
        <v>0</v>
      </c>
      <c r="R59" s="740">
        <v>0</v>
      </c>
      <c r="S59" s="741">
        <f t="shared" ref="S59:S60" si="79">Q59</f>
        <v>0</v>
      </c>
      <c r="T59" s="740">
        <v>0</v>
      </c>
      <c r="U59" s="741">
        <f t="shared" ref="U59:U60" si="80">S59</f>
        <v>0</v>
      </c>
      <c r="V59" s="740">
        <v>0</v>
      </c>
      <c r="W59" s="743">
        <f t="shared" ref="W59:W60" si="81">$AB$10</f>
        <v>0</v>
      </c>
      <c r="X59" s="647"/>
      <c r="Y59" s="740"/>
      <c r="Z59" s="743">
        <f t="shared" ref="Z59:Z60" si="82">$AB$10</f>
        <v>0</v>
      </c>
      <c r="AA59" s="740">
        <f t="shared" ref="AA59:AB60" si="83">Y59</f>
        <v>0</v>
      </c>
      <c r="AB59" s="741">
        <f t="shared" si="83"/>
        <v>0</v>
      </c>
      <c r="AC59" s="740">
        <v>0</v>
      </c>
      <c r="AD59" s="741">
        <f t="shared" ref="AD59:AD60" si="84">AB59</f>
        <v>0</v>
      </c>
      <c r="AE59" s="740">
        <v>0</v>
      </c>
      <c r="AF59" s="741">
        <f t="shared" ref="AF59:AF60" si="85">AD59</f>
        <v>0</v>
      </c>
      <c r="AG59" s="740">
        <v>0</v>
      </c>
      <c r="AH59" s="741">
        <f t="shared" ref="AH59:AH60" si="86">AF59</f>
        <v>0</v>
      </c>
      <c r="AL59" s="423">
        <f t="shared" si="3"/>
        <v>0</v>
      </c>
      <c r="AN59" s="599">
        <f t="shared" si="59"/>
        <v>0</v>
      </c>
      <c r="AO59" s="599">
        <f t="shared" si="60"/>
        <v>0</v>
      </c>
      <c r="AP59" s="599">
        <f t="shared" si="61"/>
        <v>0</v>
      </c>
      <c r="AZ59" s="599">
        <f t="shared" si="0"/>
        <v>0</v>
      </c>
      <c r="BA59" s="599">
        <f t="shared" si="1"/>
        <v>0</v>
      </c>
      <c r="BB59" s="599">
        <f t="shared" si="2"/>
        <v>0</v>
      </c>
    </row>
    <row r="60" spans="1:117" outlineLevel="1" x14ac:dyDescent="0.3">
      <c r="B60" s="747" t="s">
        <v>452</v>
      </c>
      <c r="C60" s="740">
        <v>0</v>
      </c>
      <c r="D60" s="741">
        <f>$F$10</f>
        <v>0</v>
      </c>
      <c r="E60" s="740">
        <f t="shared" si="76"/>
        <v>0</v>
      </c>
      <c r="F60" s="743">
        <v>0.21</v>
      </c>
      <c r="G60" s="740">
        <v>0</v>
      </c>
      <c r="H60" s="741">
        <f t="shared" si="77"/>
        <v>0.21</v>
      </c>
      <c r="I60" s="740">
        <v>0</v>
      </c>
      <c r="J60" s="741">
        <f t="shared" si="77"/>
        <v>0.21</v>
      </c>
      <c r="K60" s="740">
        <v>0</v>
      </c>
      <c r="L60" s="741">
        <f t="shared" si="77"/>
        <v>0.21</v>
      </c>
      <c r="M60" s="629"/>
      <c r="N60" s="740"/>
      <c r="O60" s="741">
        <f>$F$10</f>
        <v>0</v>
      </c>
      <c r="P60" s="740">
        <f t="shared" si="78"/>
        <v>0</v>
      </c>
      <c r="Q60" s="741">
        <f t="shared" si="78"/>
        <v>0</v>
      </c>
      <c r="R60" s="740">
        <v>0</v>
      </c>
      <c r="S60" s="741">
        <f t="shared" si="79"/>
        <v>0</v>
      </c>
      <c r="T60" s="740">
        <v>0</v>
      </c>
      <c r="U60" s="741">
        <f t="shared" si="80"/>
        <v>0</v>
      </c>
      <c r="V60" s="740">
        <v>0</v>
      </c>
      <c r="W60" s="743">
        <f t="shared" si="81"/>
        <v>0</v>
      </c>
      <c r="X60" s="647"/>
      <c r="Y60" s="740"/>
      <c r="Z60" s="743">
        <f t="shared" si="82"/>
        <v>0</v>
      </c>
      <c r="AA60" s="740">
        <f t="shared" si="83"/>
        <v>0</v>
      </c>
      <c r="AB60" s="741">
        <f t="shared" si="83"/>
        <v>0</v>
      </c>
      <c r="AC60" s="740">
        <v>0</v>
      </c>
      <c r="AD60" s="741">
        <f t="shared" si="84"/>
        <v>0</v>
      </c>
      <c r="AE60" s="740">
        <v>0</v>
      </c>
      <c r="AF60" s="741">
        <f t="shared" si="85"/>
        <v>0</v>
      </c>
      <c r="AG60" s="740">
        <v>0</v>
      </c>
      <c r="AH60" s="741">
        <f t="shared" si="86"/>
        <v>0</v>
      </c>
      <c r="AL60" s="423">
        <f t="shared" si="3"/>
        <v>0</v>
      </c>
      <c r="AN60" s="599">
        <f t="shared" si="59"/>
        <v>0</v>
      </c>
      <c r="AO60" s="599">
        <f t="shared" si="60"/>
        <v>0</v>
      </c>
      <c r="AP60" s="599">
        <f t="shared" si="61"/>
        <v>0</v>
      </c>
      <c r="AZ60" s="599">
        <f t="shared" si="0"/>
        <v>0</v>
      </c>
      <c r="BA60" s="599">
        <f t="shared" si="1"/>
        <v>0</v>
      </c>
      <c r="BB60" s="599">
        <f t="shared" si="2"/>
        <v>0</v>
      </c>
    </row>
    <row r="61" spans="1:117" outlineLevel="1" x14ac:dyDescent="0.3">
      <c r="B61" s="328" t="s">
        <v>282</v>
      </c>
      <c r="C61" s="670">
        <f ca="1">C50+C51+C54+C55+C56+C57+C58+C59+C60</f>
        <v>0</v>
      </c>
      <c r="D61" s="327"/>
      <c r="E61" s="670">
        <f ca="1">E50+E51+E54+E55+E56+E57+E58+E59+E60</f>
        <v>0</v>
      </c>
      <c r="F61" s="670"/>
      <c r="G61" s="670">
        <f>G50+G51+G54+G55+G56+G57+G58+G59+G60</f>
        <v>0</v>
      </c>
      <c r="H61" s="670"/>
      <c r="I61" s="670">
        <f>I50+I51+I54+I55+I56+I57+I58+I59+I60</f>
        <v>0</v>
      </c>
      <c r="J61" s="670"/>
      <c r="K61" s="670">
        <f>K50+K51+K54+K55+K56+K57+K58+K59+K60</f>
        <v>0</v>
      </c>
      <c r="L61" s="670"/>
      <c r="M61" s="39"/>
      <c r="N61" s="670">
        <f ca="1">N50+N51+N54+N55+N56+N57+N58+N59+N60</f>
        <v>0</v>
      </c>
      <c r="O61" s="327"/>
      <c r="P61" s="670">
        <f ca="1">P50+P51+P54+P55+P56+P57+P58+P59+P60</f>
        <v>0</v>
      </c>
      <c r="Q61" s="670"/>
      <c r="R61" s="670">
        <f>R50+R51+R54+R55+R56+R57+R58+R59+R60</f>
        <v>0</v>
      </c>
      <c r="S61" s="670"/>
      <c r="T61" s="670">
        <f>T50+T51+T54+T55+T56+T57+T58+T59+T60</f>
        <v>0</v>
      </c>
      <c r="U61" s="670"/>
      <c r="V61" s="670">
        <f>V50+V51+V54+V55+V56+V57+V58+V59+V60</f>
        <v>0</v>
      </c>
      <c r="W61" s="670"/>
      <c r="X61" s="646"/>
      <c r="Y61" s="670">
        <f ca="1">Y50+Y51+Y54+Y55+Y56+Y57+Y58+Y59+Y60</f>
        <v>0</v>
      </c>
      <c r="Z61" s="327"/>
      <c r="AA61" s="670">
        <f ca="1">AA50+AA51+AA54+AA55+AA56+AA57+AA58+AA59+AA60</f>
        <v>0</v>
      </c>
      <c r="AB61" s="670"/>
      <c r="AC61" s="670">
        <f>AC50+AC51+AC54+AC55+AC56+AC57+AC58+AC59+AC60</f>
        <v>0</v>
      </c>
      <c r="AD61" s="670"/>
      <c r="AE61" s="670">
        <f>AE50+AE51+AE54+AE55+AE56+AE57+AE58+AE59+AE60</f>
        <v>0</v>
      </c>
      <c r="AF61" s="670"/>
      <c r="AG61" s="670">
        <f>AG50+AG51+AG54+AG55+AG56+AG57+AG58+AG59+AG60</f>
        <v>0</v>
      </c>
      <c r="AH61" s="670"/>
      <c r="AL61" s="423">
        <f t="shared" si="3"/>
        <v>0</v>
      </c>
      <c r="AN61" s="599">
        <f t="shared" si="59"/>
        <v>0</v>
      </c>
      <c r="AO61" s="599">
        <f t="shared" si="60"/>
        <v>0</v>
      </c>
      <c r="AP61" s="599">
        <f t="shared" si="61"/>
        <v>0</v>
      </c>
      <c r="AZ61" s="599">
        <f t="shared" si="0"/>
        <v>0</v>
      </c>
      <c r="BA61" s="599">
        <f t="shared" si="1"/>
        <v>0</v>
      </c>
      <c r="BB61" s="599">
        <f t="shared" si="2"/>
        <v>0</v>
      </c>
    </row>
    <row r="62" spans="1:117" outlineLevel="1" x14ac:dyDescent="0.3">
      <c r="B62" s="18"/>
      <c r="C62" s="666"/>
      <c r="D62" s="18"/>
      <c r="E62" s="666"/>
      <c r="F62" s="18"/>
      <c r="G62" s="666"/>
      <c r="H62" s="18"/>
      <c r="I62" s="666"/>
      <c r="J62" s="18"/>
      <c r="K62" s="666"/>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3"/>
        <v>0</v>
      </c>
      <c r="AN62" s="599">
        <f t="shared" si="59"/>
        <v>0</v>
      </c>
      <c r="AO62" s="599">
        <f t="shared" si="60"/>
        <v>0</v>
      </c>
      <c r="AP62" s="599">
        <f t="shared" si="61"/>
        <v>0</v>
      </c>
      <c r="AZ62" s="599">
        <f t="shared" si="0"/>
        <v>0</v>
      </c>
      <c r="BA62" s="599">
        <f t="shared" si="1"/>
        <v>0</v>
      </c>
      <c r="BB62" s="599">
        <f t="shared" si="2"/>
        <v>0</v>
      </c>
    </row>
    <row r="63" spans="1:117" outlineLevel="1" x14ac:dyDescent="0.3">
      <c r="B63" s="328" t="s">
        <v>453</v>
      </c>
      <c r="C63" s="667">
        <v>0</v>
      </c>
      <c r="D63" s="327"/>
      <c r="E63" s="667">
        <f>C63</f>
        <v>0</v>
      </c>
      <c r="F63" s="327"/>
      <c r="G63" s="667">
        <f>C63</f>
        <v>0</v>
      </c>
      <c r="H63" s="327"/>
      <c r="I63" s="667">
        <f>K63</f>
        <v>0</v>
      </c>
      <c r="J63" s="327"/>
      <c r="K63" s="611">
        <f>C63</f>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3"/>
        <v>0</v>
      </c>
      <c r="AN63" s="599">
        <f t="shared" si="59"/>
        <v>0</v>
      </c>
      <c r="AO63" s="599">
        <f t="shared" si="60"/>
        <v>0</v>
      </c>
      <c r="AP63" s="599">
        <f t="shared" si="61"/>
        <v>0</v>
      </c>
      <c r="AZ63" s="599">
        <f t="shared" si="0"/>
        <v>0</v>
      </c>
      <c r="BA63" s="599">
        <f t="shared" si="1"/>
        <v>0</v>
      </c>
      <c r="BB63" s="599">
        <f t="shared" si="2"/>
        <v>0</v>
      </c>
    </row>
    <row r="64" spans="1:117" outlineLevel="1" x14ac:dyDescent="0.3">
      <c r="B64" s="748" t="s">
        <v>455</v>
      </c>
      <c r="C64" s="740">
        <v>0</v>
      </c>
      <c r="D64" s="741">
        <f t="shared" ref="D64:D79" si="87">$F$12</f>
        <v>0.21</v>
      </c>
      <c r="E64" s="740">
        <f>C64</f>
        <v>0</v>
      </c>
      <c r="F64" s="741">
        <v>0.21</v>
      </c>
      <c r="G64" s="740">
        <v>0</v>
      </c>
      <c r="H64" s="741">
        <f>F64</f>
        <v>0.21</v>
      </c>
      <c r="I64" s="740">
        <v>0</v>
      </c>
      <c r="J64" s="741">
        <f>H64</f>
        <v>0.21</v>
      </c>
      <c r="K64" s="740">
        <v>0</v>
      </c>
      <c r="L64" s="741">
        <f>J64</f>
        <v>0.21</v>
      </c>
      <c r="M64" s="629"/>
      <c r="N64" s="740"/>
      <c r="O64" s="741">
        <f>$Q$12</f>
        <v>0.21</v>
      </c>
      <c r="P64" s="740">
        <f>N64</f>
        <v>0</v>
      </c>
      <c r="Q64" s="741">
        <f>O64</f>
        <v>0.21</v>
      </c>
      <c r="R64" s="740">
        <v>0</v>
      </c>
      <c r="S64" s="741">
        <f>Q64</f>
        <v>0.21</v>
      </c>
      <c r="T64" s="740">
        <v>0</v>
      </c>
      <c r="U64" s="741">
        <f>S64</f>
        <v>0.21</v>
      </c>
      <c r="V64" s="740">
        <v>0</v>
      </c>
      <c r="W64" s="741">
        <f>$AB$12</f>
        <v>0.21</v>
      </c>
      <c r="X64" s="647"/>
      <c r="Y64" s="740"/>
      <c r="Z64" s="741">
        <f>$AB$12</f>
        <v>0.21</v>
      </c>
      <c r="AA64" s="740">
        <f>Y64</f>
        <v>0</v>
      </c>
      <c r="AB64" s="741">
        <f>Z64</f>
        <v>0.21</v>
      </c>
      <c r="AC64" s="740">
        <v>0</v>
      </c>
      <c r="AD64" s="741">
        <f>AB64</f>
        <v>0.21</v>
      </c>
      <c r="AE64" s="740">
        <v>0</v>
      </c>
      <c r="AF64" s="741">
        <f>AD64</f>
        <v>0.21</v>
      </c>
      <c r="AG64" s="740">
        <v>0</v>
      </c>
      <c r="AH64" s="741">
        <f>AF64</f>
        <v>0.21</v>
      </c>
      <c r="AI64" s="18"/>
      <c r="AJ64" s="18"/>
      <c r="AL64" s="423">
        <f t="shared" si="3"/>
        <v>0</v>
      </c>
      <c r="AN64" s="599">
        <f t="shared" si="59"/>
        <v>0</v>
      </c>
      <c r="AO64" s="599">
        <f t="shared" si="60"/>
        <v>0</v>
      </c>
      <c r="AP64" s="599">
        <f t="shared" si="61"/>
        <v>0</v>
      </c>
      <c r="AZ64" s="599">
        <f t="shared" si="0"/>
        <v>0</v>
      </c>
      <c r="BA64" s="599">
        <f t="shared" si="1"/>
        <v>0</v>
      </c>
      <c r="BB64" s="599">
        <f t="shared" si="2"/>
        <v>0</v>
      </c>
    </row>
    <row r="65" spans="2:54" outlineLevel="1" x14ac:dyDescent="0.3">
      <c r="B65" s="749" t="s">
        <v>456</v>
      </c>
      <c r="C65" s="740">
        <v>0</v>
      </c>
      <c r="D65" s="741">
        <f t="shared" si="87"/>
        <v>0.21</v>
      </c>
      <c r="E65" s="740">
        <f t="shared" ref="E65:E78" si="88">C65</f>
        <v>0</v>
      </c>
      <c r="F65" s="741">
        <v>0.21</v>
      </c>
      <c r="G65" s="740">
        <v>0</v>
      </c>
      <c r="H65" s="741">
        <f t="shared" ref="H65:L78" si="89">F65</f>
        <v>0.21</v>
      </c>
      <c r="I65" s="740">
        <v>0</v>
      </c>
      <c r="J65" s="741">
        <f t="shared" si="89"/>
        <v>0.21</v>
      </c>
      <c r="K65" s="740">
        <v>0</v>
      </c>
      <c r="L65" s="741">
        <f t="shared" si="89"/>
        <v>0.21</v>
      </c>
      <c r="M65" s="629"/>
      <c r="N65" s="740"/>
      <c r="O65" s="741">
        <f t="shared" ref="O65:O79" si="90">$Q$12</f>
        <v>0.21</v>
      </c>
      <c r="P65" s="740">
        <f t="shared" ref="P65:Q78" si="91">N65</f>
        <v>0</v>
      </c>
      <c r="Q65" s="741">
        <f t="shared" si="91"/>
        <v>0.21</v>
      </c>
      <c r="R65" s="740">
        <v>0</v>
      </c>
      <c r="S65" s="741">
        <f t="shared" ref="S65:S78" si="92">Q65</f>
        <v>0.21</v>
      </c>
      <c r="T65" s="740">
        <v>0</v>
      </c>
      <c r="U65" s="741">
        <f t="shared" ref="U65:U78" si="93">S65</f>
        <v>0.21</v>
      </c>
      <c r="V65" s="740">
        <v>0</v>
      </c>
      <c r="W65" s="741">
        <f t="shared" ref="W65:W79" si="94">$AB$12</f>
        <v>0.21</v>
      </c>
      <c r="X65" s="647"/>
      <c r="Y65" s="740"/>
      <c r="Z65" s="741">
        <f t="shared" ref="Z65:Z79" si="95">$AB$12</f>
        <v>0.21</v>
      </c>
      <c r="AA65" s="740">
        <f t="shared" ref="AA65:AB78" si="96">Y65</f>
        <v>0</v>
      </c>
      <c r="AB65" s="741">
        <f t="shared" si="96"/>
        <v>0.21</v>
      </c>
      <c r="AC65" s="740">
        <v>0</v>
      </c>
      <c r="AD65" s="741">
        <f t="shared" ref="AD65:AD78" si="97">AB65</f>
        <v>0.21</v>
      </c>
      <c r="AE65" s="740">
        <v>0</v>
      </c>
      <c r="AF65" s="741">
        <f t="shared" ref="AF65:AF78" si="98">AD65</f>
        <v>0.21</v>
      </c>
      <c r="AG65" s="740">
        <v>0</v>
      </c>
      <c r="AH65" s="741">
        <f t="shared" ref="AH65:AH78" si="99">AF65</f>
        <v>0.21</v>
      </c>
      <c r="AI65" s="18"/>
      <c r="AJ65" s="18"/>
      <c r="AL65" s="423">
        <f t="shared" si="3"/>
        <v>0</v>
      </c>
      <c r="AN65" s="599">
        <f t="shared" si="59"/>
        <v>0</v>
      </c>
      <c r="AO65" s="599">
        <f t="shared" si="60"/>
        <v>0</v>
      </c>
      <c r="AP65" s="599">
        <f t="shared" si="61"/>
        <v>0</v>
      </c>
      <c r="AZ65" s="599">
        <f t="shared" si="0"/>
        <v>0</v>
      </c>
      <c r="BA65" s="599">
        <f t="shared" si="1"/>
        <v>0</v>
      </c>
      <c r="BB65" s="599">
        <f t="shared" si="2"/>
        <v>0</v>
      </c>
    </row>
    <row r="66" spans="2:54" outlineLevel="1" x14ac:dyDescent="0.3">
      <c r="B66" s="749" t="s">
        <v>457</v>
      </c>
      <c r="C66" s="740">
        <v>0</v>
      </c>
      <c r="D66" s="741">
        <f t="shared" si="87"/>
        <v>0.21</v>
      </c>
      <c r="E66" s="740">
        <f t="shared" si="88"/>
        <v>0</v>
      </c>
      <c r="F66" s="741">
        <v>0.21</v>
      </c>
      <c r="G66" s="740">
        <v>0</v>
      </c>
      <c r="H66" s="741">
        <f t="shared" si="89"/>
        <v>0.21</v>
      </c>
      <c r="I66" s="740">
        <v>0</v>
      </c>
      <c r="J66" s="741">
        <f t="shared" si="89"/>
        <v>0.21</v>
      </c>
      <c r="K66" s="740">
        <v>0</v>
      </c>
      <c r="L66" s="741">
        <f t="shared" si="89"/>
        <v>0.21</v>
      </c>
      <c r="M66" s="629"/>
      <c r="N66" s="740"/>
      <c r="O66" s="741">
        <f t="shared" si="90"/>
        <v>0.21</v>
      </c>
      <c r="P66" s="740">
        <f t="shared" si="91"/>
        <v>0</v>
      </c>
      <c r="Q66" s="741">
        <f t="shared" si="91"/>
        <v>0.21</v>
      </c>
      <c r="R66" s="740">
        <v>0</v>
      </c>
      <c r="S66" s="741">
        <f t="shared" si="92"/>
        <v>0.21</v>
      </c>
      <c r="T66" s="740">
        <v>0</v>
      </c>
      <c r="U66" s="741">
        <f t="shared" si="93"/>
        <v>0.21</v>
      </c>
      <c r="V66" s="740">
        <v>0</v>
      </c>
      <c r="W66" s="741">
        <f t="shared" si="94"/>
        <v>0.21</v>
      </c>
      <c r="X66" s="647"/>
      <c r="Y66" s="740"/>
      <c r="Z66" s="741">
        <f t="shared" si="95"/>
        <v>0.21</v>
      </c>
      <c r="AA66" s="740">
        <f t="shared" si="96"/>
        <v>0</v>
      </c>
      <c r="AB66" s="741">
        <f t="shared" si="96"/>
        <v>0.21</v>
      </c>
      <c r="AC66" s="740">
        <v>0</v>
      </c>
      <c r="AD66" s="741">
        <f t="shared" si="97"/>
        <v>0.21</v>
      </c>
      <c r="AE66" s="740">
        <v>0</v>
      </c>
      <c r="AF66" s="741">
        <f t="shared" si="98"/>
        <v>0.21</v>
      </c>
      <c r="AG66" s="740">
        <v>0</v>
      </c>
      <c r="AH66" s="741">
        <f t="shared" si="99"/>
        <v>0.21</v>
      </c>
      <c r="AI66" s="18"/>
      <c r="AJ66" s="18"/>
      <c r="AL66" s="423">
        <f t="shared" si="3"/>
        <v>0</v>
      </c>
      <c r="AN66" s="599"/>
      <c r="AO66" s="599"/>
      <c r="AP66" s="599"/>
      <c r="AZ66" s="599">
        <f t="shared" si="0"/>
        <v>0</v>
      </c>
      <c r="BA66" s="599">
        <f t="shared" si="1"/>
        <v>0</v>
      </c>
      <c r="BB66" s="599">
        <f t="shared" si="2"/>
        <v>0</v>
      </c>
    </row>
    <row r="67" spans="2:54" outlineLevel="1" x14ac:dyDescent="0.3">
      <c r="B67" s="748" t="s">
        <v>458</v>
      </c>
      <c r="C67" s="740">
        <v>0</v>
      </c>
      <c r="D67" s="741">
        <f t="shared" si="87"/>
        <v>0.21</v>
      </c>
      <c r="E67" s="740">
        <f t="shared" si="88"/>
        <v>0</v>
      </c>
      <c r="F67" s="741">
        <v>0.21</v>
      </c>
      <c r="G67" s="740">
        <v>0</v>
      </c>
      <c r="H67" s="741">
        <f t="shared" si="89"/>
        <v>0.21</v>
      </c>
      <c r="I67" s="740">
        <v>0</v>
      </c>
      <c r="J67" s="741">
        <f t="shared" si="89"/>
        <v>0.21</v>
      </c>
      <c r="K67" s="740">
        <v>0</v>
      </c>
      <c r="L67" s="741">
        <f t="shared" si="89"/>
        <v>0.21</v>
      </c>
      <c r="M67" s="629"/>
      <c r="N67" s="740"/>
      <c r="O67" s="741">
        <f t="shared" si="90"/>
        <v>0.21</v>
      </c>
      <c r="P67" s="740">
        <f t="shared" si="91"/>
        <v>0</v>
      </c>
      <c r="Q67" s="741">
        <f t="shared" si="91"/>
        <v>0.21</v>
      </c>
      <c r="R67" s="740">
        <v>0</v>
      </c>
      <c r="S67" s="741">
        <f t="shared" si="92"/>
        <v>0.21</v>
      </c>
      <c r="T67" s="740">
        <v>0</v>
      </c>
      <c r="U67" s="741">
        <f t="shared" si="93"/>
        <v>0.21</v>
      </c>
      <c r="V67" s="740">
        <v>0</v>
      </c>
      <c r="W67" s="741">
        <f t="shared" si="94"/>
        <v>0.21</v>
      </c>
      <c r="X67" s="647"/>
      <c r="Y67" s="740"/>
      <c r="Z67" s="741">
        <f t="shared" si="95"/>
        <v>0.21</v>
      </c>
      <c r="AA67" s="740">
        <f t="shared" si="96"/>
        <v>0</v>
      </c>
      <c r="AB67" s="741">
        <f t="shared" si="96"/>
        <v>0.21</v>
      </c>
      <c r="AC67" s="740">
        <v>0</v>
      </c>
      <c r="AD67" s="741">
        <f t="shared" si="97"/>
        <v>0.21</v>
      </c>
      <c r="AE67" s="740">
        <v>0</v>
      </c>
      <c r="AF67" s="741">
        <f t="shared" si="98"/>
        <v>0.21</v>
      </c>
      <c r="AG67" s="740">
        <v>0</v>
      </c>
      <c r="AH67" s="741">
        <f t="shared" si="99"/>
        <v>0.21</v>
      </c>
      <c r="AI67" s="18"/>
      <c r="AJ67" s="18"/>
      <c r="AL67" s="423">
        <f t="shared" si="3"/>
        <v>0</v>
      </c>
      <c r="AN67" s="599"/>
      <c r="AO67" s="599"/>
      <c r="AP67" s="599"/>
      <c r="AZ67" s="599">
        <f t="shared" si="0"/>
        <v>0</v>
      </c>
      <c r="BA67" s="599">
        <f t="shared" si="1"/>
        <v>0</v>
      </c>
      <c r="BB67" s="599">
        <f t="shared" si="2"/>
        <v>0</v>
      </c>
    </row>
    <row r="68" spans="2:54" outlineLevel="1" x14ac:dyDescent="0.3">
      <c r="B68" s="748" t="s">
        <v>459</v>
      </c>
      <c r="C68" s="740">
        <v>0</v>
      </c>
      <c r="D68" s="741">
        <f t="shared" si="87"/>
        <v>0.21</v>
      </c>
      <c r="E68" s="740">
        <f t="shared" si="88"/>
        <v>0</v>
      </c>
      <c r="F68" s="741">
        <v>0.21</v>
      </c>
      <c r="G68" s="740">
        <v>0</v>
      </c>
      <c r="H68" s="741">
        <f t="shared" si="89"/>
        <v>0.21</v>
      </c>
      <c r="I68" s="740">
        <v>0</v>
      </c>
      <c r="J68" s="741">
        <f t="shared" si="89"/>
        <v>0.21</v>
      </c>
      <c r="K68" s="740">
        <v>0</v>
      </c>
      <c r="L68" s="741">
        <f t="shared" si="89"/>
        <v>0.21</v>
      </c>
      <c r="M68" s="629"/>
      <c r="N68" s="740"/>
      <c r="O68" s="741">
        <f t="shared" si="90"/>
        <v>0.21</v>
      </c>
      <c r="P68" s="740">
        <f t="shared" si="91"/>
        <v>0</v>
      </c>
      <c r="Q68" s="741">
        <f t="shared" si="91"/>
        <v>0.21</v>
      </c>
      <c r="R68" s="740">
        <v>0</v>
      </c>
      <c r="S68" s="741">
        <f t="shared" si="92"/>
        <v>0.21</v>
      </c>
      <c r="T68" s="740">
        <v>0</v>
      </c>
      <c r="U68" s="741">
        <f t="shared" si="93"/>
        <v>0.21</v>
      </c>
      <c r="V68" s="740">
        <v>0</v>
      </c>
      <c r="W68" s="741">
        <f t="shared" si="94"/>
        <v>0.21</v>
      </c>
      <c r="X68" s="647"/>
      <c r="Y68" s="740"/>
      <c r="Z68" s="741">
        <f t="shared" si="95"/>
        <v>0.21</v>
      </c>
      <c r="AA68" s="740">
        <f t="shared" si="96"/>
        <v>0</v>
      </c>
      <c r="AB68" s="741">
        <f t="shared" si="96"/>
        <v>0.21</v>
      </c>
      <c r="AC68" s="740">
        <v>0</v>
      </c>
      <c r="AD68" s="741">
        <f t="shared" si="97"/>
        <v>0.21</v>
      </c>
      <c r="AE68" s="740">
        <v>0</v>
      </c>
      <c r="AF68" s="741">
        <f t="shared" si="98"/>
        <v>0.21</v>
      </c>
      <c r="AG68" s="740">
        <v>0</v>
      </c>
      <c r="AH68" s="741">
        <f t="shared" si="99"/>
        <v>0.21</v>
      </c>
      <c r="AI68" s="18"/>
      <c r="AJ68" s="18"/>
      <c r="AL68" s="423">
        <f t="shared" si="3"/>
        <v>0</v>
      </c>
      <c r="AN68" s="599">
        <f>IFERROR(K68*$AO$4/$AR$4,0)</f>
        <v>0</v>
      </c>
      <c r="AO68" s="599">
        <f>IFERROR(K68*$AP$4/$AR$4,0)</f>
        <v>0</v>
      </c>
      <c r="AP68" s="599">
        <f>IFERROR(K68*$AQ$4/$AR$4,0)</f>
        <v>0</v>
      </c>
      <c r="AZ68" s="599">
        <f t="shared" si="0"/>
        <v>0</v>
      </c>
      <c r="BA68" s="599">
        <f t="shared" si="1"/>
        <v>0</v>
      </c>
      <c r="BB68" s="599">
        <f t="shared" si="2"/>
        <v>0</v>
      </c>
    </row>
    <row r="69" spans="2:54" outlineLevel="1" x14ac:dyDescent="0.3">
      <c r="B69" s="748" t="s">
        <v>460</v>
      </c>
      <c r="C69" s="740">
        <v>0</v>
      </c>
      <c r="D69" s="741">
        <f t="shared" si="87"/>
        <v>0.21</v>
      </c>
      <c r="E69" s="740">
        <f t="shared" si="88"/>
        <v>0</v>
      </c>
      <c r="F69" s="741">
        <v>0.21</v>
      </c>
      <c r="G69" s="740">
        <v>0</v>
      </c>
      <c r="H69" s="741">
        <f t="shared" si="89"/>
        <v>0.21</v>
      </c>
      <c r="I69" s="740">
        <v>0</v>
      </c>
      <c r="J69" s="741">
        <f t="shared" si="89"/>
        <v>0.21</v>
      </c>
      <c r="K69" s="740">
        <v>0</v>
      </c>
      <c r="L69" s="741">
        <f t="shared" si="89"/>
        <v>0.21</v>
      </c>
      <c r="M69" s="629"/>
      <c r="N69" s="740"/>
      <c r="O69" s="741">
        <f t="shared" si="90"/>
        <v>0.21</v>
      </c>
      <c r="P69" s="740">
        <f t="shared" si="91"/>
        <v>0</v>
      </c>
      <c r="Q69" s="741">
        <f t="shared" si="91"/>
        <v>0.21</v>
      </c>
      <c r="R69" s="740">
        <v>0</v>
      </c>
      <c r="S69" s="741">
        <f t="shared" si="92"/>
        <v>0.21</v>
      </c>
      <c r="T69" s="740">
        <v>0</v>
      </c>
      <c r="U69" s="741">
        <f t="shared" si="93"/>
        <v>0.21</v>
      </c>
      <c r="V69" s="740">
        <v>0</v>
      </c>
      <c r="W69" s="741">
        <f t="shared" si="94"/>
        <v>0.21</v>
      </c>
      <c r="X69" s="647"/>
      <c r="Y69" s="740"/>
      <c r="Z69" s="741">
        <f t="shared" si="95"/>
        <v>0.21</v>
      </c>
      <c r="AA69" s="740">
        <f t="shared" si="96"/>
        <v>0</v>
      </c>
      <c r="AB69" s="741">
        <f t="shared" si="96"/>
        <v>0.21</v>
      </c>
      <c r="AC69" s="740">
        <v>0</v>
      </c>
      <c r="AD69" s="741">
        <f t="shared" si="97"/>
        <v>0.21</v>
      </c>
      <c r="AE69" s="740">
        <v>0</v>
      </c>
      <c r="AF69" s="741">
        <f t="shared" si="98"/>
        <v>0.21</v>
      </c>
      <c r="AG69" s="740">
        <v>0</v>
      </c>
      <c r="AH69" s="741">
        <f t="shared" si="99"/>
        <v>0.21</v>
      </c>
      <c r="AI69" s="18"/>
      <c r="AJ69" s="18"/>
      <c r="AL69" s="423">
        <f t="shared" si="3"/>
        <v>0</v>
      </c>
      <c r="AN69" s="599">
        <f>IFERROR(K69*$AO$4/$AR$4,0)</f>
        <v>0</v>
      </c>
      <c r="AO69" s="599">
        <f>IFERROR(K69*$AP$4/$AR$4,0)</f>
        <v>0</v>
      </c>
      <c r="AP69" s="599">
        <f>IFERROR(K69*$AQ$4/$AR$4,0)</f>
        <v>0</v>
      </c>
      <c r="AZ69" s="599">
        <f t="shared" si="0"/>
        <v>0</v>
      </c>
      <c r="BA69" s="599">
        <f t="shared" si="1"/>
        <v>0</v>
      </c>
      <c r="BB69" s="599">
        <f t="shared" si="2"/>
        <v>0</v>
      </c>
    </row>
    <row r="70" spans="2:54" outlineLevel="1" x14ac:dyDescent="0.3">
      <c r="B70" s="749" t="s">
        <v>461</v>
      </c>
      <c r="C70" s="740">
        <v>0</v>
      </c>
      <c r="D70" s="741">
        <f t="shared" si="87"/>
        <v>0.21</v>
      </c>
      <c r="E70" s="740">
        <f t="shared" si="88"/>
        <v>0</v>
      </c>
      <c r="F70" s="741">
        <v>0.21</v>
      </c>
      <c r="G70" s="740">
        <v>0</v>
      </c>
      <c r="H70" s="741">
        <f t="shared" si="89"/>
        <v>0.21</v>
      </c>
      <c r="I70" s="740">
        <v>0</v>
      </c>
      <c r="J70" s="741">
        <f t="shared" si="89"/>
        <v>0.21</v>
      </c>
      <c r="K70" s="740">
        <v>0</v>
      </c>
      <c r="L70" s="741">
        <f t="shared" si="89"/>
        <v>0.21</v>
      </c>
      <c r="M70" s="629"/>
      <c r="N70" s="740"/>
      <c r="O70" s="741">
        <f t="shared" si="90"/>
        <v>0.21</v>
      </c>
      <c r="P70" s="740">
        <f t="shared" si="91"/>
        <v>0</v>
      </c>
      <c r="Q70" s="741">
        <f t="shared" si="91"/>
        <v>0.21</v>
      </c>
      <c r="R70" s="740">
        <v>0</v>
      </c>
      <c r="S70" s="741">
        <f t="shared" si="92"/>
        <v>0.21</v>
      </c>
      <c r="T70" s="740">
        <v>0</v>
      </c>
      <c r="U70" s="741">
        <f t="shared" si="93"/>
        <v>0.21</v>
      </c>
      <c r="V70" s="740">
        <v>0</v>
      </c>
      <c r="W70" s="741">
        <f t="shared" si="94"/>
        <v>0.21</v>
      </c>
      <c r="X70" s="647"/>
      <c r="Y70" s="740"/>
      <c r="Z70" s="741">
        <f t="shared" si="95"/>
        <v>0.21</v>
      </c>
      <c r="AA70" s="740">
        <f t="shared" si="96"/>
        <v>0</v>
      </c>
      <c r="AB70" s="741">
        <f t="shared" si="96"/>
        <v>0.21</v>
      </c>
      <c r="AC70" s="740">
        <v>0</v>
      </c>
      <c r="AD70" s="741">
        <f t="shared" si="97"/>
        <v>0.21</v>
      </c>
      <c r="AE70" s="740">
        <v>0</v>
      </c>
      <c r="AF70" s="741">
        <f t="shared" si="98"/>
        <v>0.21</v>
      </c>
      <c r="AG70" s="740">
        <v>0</v>
      </c>
      <c r="AH70" s="741">
        <f t="shared" si="99"/>
        <v>0.21</v>
      </c>
      <c r="AI70" s="18"/>
      <c r="AJ70" s="18"/>
      <c r="AL70" s="423">
        <f t="shared" si="3"/>
        <v>0</v>
      </c>
      <c r="AN70" s="599">
        <f>IFERROR(K70*$AO$4/$AR$4,0)</f>
        <v>0</v>
      </c>
      <c r="AO70" s="599">
        <f>IFERROR(K70*$AP$4/$AR$4,0)</f>
        <v>0</v>
      </c>
      <c r="AP70" s="599">
        <f>IFERROR(K70*$AQ$4/$AR$4,0)</f>
        <v>0</v>
      </c>
      <c r="AZ70" s="599">
        <f t="shared" si="0"/>
        <v>0</v>
      </c>
      <c r="BA70" s="599">
        <f>IFERROR(H70*$BA$4/$BC$4,0)</f>
        <v>0</v>
      </c>
      <c r="BB70" s="599">
        <f t="shared" si="2"/>
        <v>0</v>
      </c>
    </row>
    <row r="71" spans="2:54" ht="15" thickBot="1" x14ac:dyDescent="0.35">
      <c r="B71" s="748" t="s">
        <v>462</v>
      </c>
      <c r="C71" s="740">
        <v>0</v>
      </c>
      <c r="D71" s="741">
        <f t="shared" si="87"/>
        <v>0.21</v>
      </c>
      <c r="E71" s="740">
        <f t="shared" si="88"/>
        <v>0</v>
      </c>
      <c r="F71" s="741">
        <v>0.21</v>
      </c>
      <c r="G71" s="740">
        <v>0</v>
      </c>
      <c r="H71" s="741">
        <f t="shared" si="89"/>
        <v>0.21</v>
      </c>
      <c r="I71" s="740">
        <v>0</v>
      </c>
      <c r="J71" s="741">
        <f t="shared" si="89"/>
        <v>0.21</v>
      </c>
      <c r="K71" s="740">
        <v>0</v>
      </c>
      <c r="L71" s="741">
        <f t="shared" si="89"/>
        <v>0.21</v>
      </c>
      <c r="M71" s="629"/>
      <c r="N71" s="740"/>
      <c r="O71" s="741">
        <f t="shared" si="90"/>
        <v>0.21</v>
      </c>
      <c r="P71" s="740">
        <f t="shared" si="91"/>
        <v>0</v>
      </c>
      <c r="Q71" s="741">
        <f t="shared" si="91"/>
        <v>0.21</v>
      </c>
      <c r="R71" s="740">
        <v>0</v>
      </c>
      <c r="S71" s="741">
        <f t="shared" si="92"/>
        <v>0.21</v>
      </c>
      <c r="T71" s="740">
        <v>0</v>
      </c>
      <c r="U71" s="741">
        <f t="shared" si="93"/>
        <v>0.21</v>
      </c>
      <c r="V71" s="740">
        <v>0</v>
      </c>
      <c r="W71" s="741">
        <f t="shared" si="94"/>
        <v>0.21</v>
      </c>
      <c r="X71" s="647"/>
      <c r="Y71" s="740"/>
      <c r="Z71" s="741">
        <f t="shared" si="95"/>
        <v>0.21</v>
      </c>
      <c r="AA71" s="740">
        <f t="shared" si="96"/>
        <v>0</v>
      </c>
      <c r="AB71" s="741">
        <f t="shared" si="96"/>
        <v>0.21</v>
      </c>
      <c r="AC71" s="740">
        <v>0</v>
      </c>
      <c r="AD71" s="741">
        <f t="shared" si="97"/>
        <v>0.21</v>
      </c>
      <c r="AE71" s="740">
        <v>0</v>
      </c>
      <c r="AF71" s="741">
        <f t="shared" si="98"/>
        <v>0.21</v>
      </c>
      <c r="AG71" s="740">
        <v>0</v>
      </c>
      <c r="AH71" s="741">
        <f t="shared" si="99"/>
        <v>0.21</v>
      </c>
      <c r="AI71" s="18"/>
      <c r="AJ71" s="18"/>
      <c r="AL71" s="423">
        <f t="shared" si="3"/>
        <v>0</v>
      </c>
      <c r="AN71" s="599"/>
      <c r="AO71" s="599"/>
      <c r="AP71" s="599"/>
      <c r="AZ71" s="599"/>
    </row>
    <row r="72" spans="2:54" ht="15" thickBot="1" x14ac:dyDescent="0.35">
      <c r="B72" s="749" t="s">
        <v>463</v>
      </c>
      <c r="C72" s="740">
        <v>0</v>
      </c>
      <c r="D72" s="741">
        <f t="shared" si="87"/>
        <v>0.21</v>
      </c>
      <c r="E72" s="740">
        <f t="shared" si="88"/>
        <v>0</v>
      </c>
      <c r="F72" s="741">
        <v>0.21</v>
      </c>
      <c r="G72" s="740">
        <v>0</v>
      </c>
      <c r="H72" s="741">
        <f t="shared" si="89"/>
        <v>0.21</v>
      </c>
      <c r="I72" s="740">
        <v>0</v>
      </c>
      <c r="J72" s="741">
        <f t="shared" si="89"/>
        <v>0.21</v>
      </c>
      <c r="K72" s="740">
        <v>0</v>
      </c>
      <c r="L72" s="741">
        <f t="shared" si="89"/>
        <v>0.21</v>
      </c>
      <c r="M72" s="629"/>
      <c r="N72" s="740"/>
      <c r="O72" s="741">
        <f t="shared" si="90"/>
        <v>0.21</v>
      </c>
      <c r="P72" s="740">
        <f t="shared" si="91"/>
        <v>0</v>
      </c>
      <c r="Q72" s="741">
        <f t="shared" si="91"/>
        <v>0.21</v>
      </c>
      <c r="R72" s="740">
        <v>0</v>
      </c>
      <c r="S72" s="741">
        <f t="shared" si="92"/>
        <v>0.21</v>
      </c>
      <c r="T72" s="740">
        <v>0</v>
      </c>
      <c r="U72" s="741">
        <f t="shared" si="93"/>
        <v>0.21</v>
      </c>
      <c r="V72" s="740">
        <v>0</v>
      </c>
      <c r="W72" s="741">
        <f t="shared" si="94"/>
        <v>0.21</v>
      </c>
      <c r="X72" s="647"/>
      <c r="Y72" s="740"/>
      <c r="Z72" s="741">
        <f t="shared" si="95"/>
        <v>0.21</v>
      </c>
      <c r="AA72" s="740">
        <f t="shared" si="96"/>
        <v>0</v>
      </c>
      <c r="AB72" s="741">
        <f t="shared" si="96"/>
        <v>0.21</v>
      </c>
      <c r="AC72" s="740">
        <v>0</v>
      </c>
      <c r="AD72" s="741">
        <f t="shared" si="97"/>
        <v>0.21</v>
      </c>
      <c r="AE72" s="740">
        <v>0</v>
      </c>
      <c r="AF72" s="741">
        <f t="shared" si="98"/>
        <v>0.21</v>
      </c>
      <c r="AG72" s="740">
        <v>0</v>
      </c>
      <c r="AH72" s="741">
        <f t="shared" si="99"/>
        <v>0.21</v>
      </c>
      <c r="AI72" s="18"/>
      <c r="AJ72" s="18"/>
      <c r="AL72" s="423">
        <f t="shared" si="3"/>
        <v>0</v>
      </c>
      <c r="AN72" s="599">
        <f>IFERROR(K72*$AO$4/$AR$4,0)</f>
        <v>0</v>
      </c>
      <c r="AO72" s="599">
        <f>IFERROR(K72*$AP$4/$AR$4,0)</f>
        <v>0</v>
      </c>
      <c r="AP72" s="599">
        <f>IFERROR(K72*$AQ$4/$AR$4,0)</f>
        <v>0</v>
      </c>
      <c r="AZ72" s="597">
        <f>SUM(AZ53:AZ55)+AZ12+AZ16</f>
        <v>0</v>
      </c>
      <c r="BA72" s="599">
        <f>IFERROR(H72*$BA$4/$BC$4,0)</f>
        <v>0</v>
      </c>
      <c r="BB72" s="599">
        <f t="shared" si="2"/>
        <v>0</v>
      </c>
    </row>
    <row r="73" spans="2:54" x14ac:dyDescent="0.3">
      <c r="B73" s="749" t="s">
        <v>464</v>
      </c>
      <c r="C73" s="740">
        <v>0</v>
      </c>
      <c r="D73" s="741">
        <f t="shared" si="87"/>
        <v>0.21</v>
      </c>
      <c r="E73" s="740">
        <f t="shared" si="88"/>
        <v>0</v>
      </c>
      <c r="F73" s="741">
        <v>0.21</v>
      </c>
      <c r="G73" s="740">
        <v>0</v>
      </c>
      <c r="H73" s="741">
        <f t="shared" si="89"/>
        <v>0.21</v>
      </c>
      <c r="I73" s="740">
        <v>0</v>
      </c>
      <c r="J73" s="741">
        <f t="shared" si="89"/>
        <v>0.21</v>
      </c>
      <c r="K73" s="740">
        <v>0</v>
      </c>
      <c r="L73" s="741">
        <f t="shared" si="89"/>
        <v>0.21</v>
      </c>
      <c r="M73" s="629"/>
      <c r="N73" s="740"/>
      <c r="O73" s="741">
        <f t="shared" si="90"/>
        <v>0.21</v>
      </c>
      <c r="P73" s="740">
        <f t="shared" si="91"/>
        <v>0</v>
      </c>
      <c r="Q73" s="741">
        <f t="shared" si="91"/>
        <v>0.21</v>
      </c>
      <c r="R73" s="740">
        <v>0</v>
      </c>
      <c r="S73" s="741">
        <f t="shared" si="92"/>
        <v>0.21</v>
      </c>
      <c r="T73" s="740">
        <v>0</v>
      </c>
      <c r="U73" s="741">
        <f t="shared" si="93"/>
        <v>0.21</v>
      </c>
      <c r="V73" s="740">
        <v>0</v>
      </c>
      <c r="W73" s="741">
        <f t="shared" si="94"/>
        <v>0.21</v>
      </c>
      <c r="X73" s="647"/>
      <c r="Y73" s="740"/>
      <c r="Z73" s="741">
        <f t="shared" si="95"/>
        <v>0.21</v>
      </c>
      <c r="AA73" s="740">
        <f t="shared" si="96"/>
        <v>0</v>
      </c>
      <c r="AB73" s="741">
        <f t="shared" si="96"/>
        <v>0.21</v>
      </c>
      <c r="AC73" s="740">
        <v>0</v>
      </c>
      <c r="AD73" s="741">
        <f t="shared" si="97"/>
        <v>0.21</v>
      </c>
      <c r="AE73" s="740">
        <v>0</v>
      </c>
      <c r="AF73" s="741">
        <f t="shared" si="98"/>
        <v>0.21</v>
      </c>
      <c r="AG73" s="740">
        <v>0</v>
      </c>
      <c r="AH73" s="741">
        <f t="shared" si="99"/>
        <v>0.21</v>
      </c>
      <c r="AI73" s="18"/>
      <c r="AJ73" s="18"/>
      <c r="AL73" s="423">
        <f t="shared" si="3"/>
        <v>0</v>
      </c>
      <c r="AN73" s="599">
        <f>IFERROR(K73*$AO$4/$AR$4,0)</f>
        <v>0</v>
      </c>
      <c r="AO73" s="599">
        <f>IFERROR(K73*$AP$4/$AR$4,0)</f>
        <v>0</v>
      </c>
      <c r="AP73" s="599">
        <f>IFERROR(K73*$AQ$4/$AR$4,0)</f>
        <v>0</v>
      </c>
      <c r="AZ73" s="599"/>
    </row>
    <row r="74" spans="2:54" x14ac:dyDescent="0.3">
      <c r="B74" s="748" t="s">
        <v>465</v>
      </c>
      <c r="C74" s="740">
        <v>0</v>
      </c>
      <c r="D74" s="741">
        <f t="shared" si="87"/>
        <v>0.21</v>
      </c>
      <c r="E74" s="740">
        <f t="shared" si="88"/>
        <v>0</v>
      </c>
      <c r="F74" s="741">
        <v>0.21</v>
      </c>
      <c r="G74" s="740">
        <v>0</v>
      </c>
      <c r="H74" s="741">
        <f t="shared" si="89"/>
        <v>0.21</v>
      </c>
      <c r="I74" s="740">
        <v>0</v>
      </c>
      <c r="J74" s="741">
        <f t="shared" si="89"/>
        <v>0.21</v>
      </c>
      <c r="K74" s="740">
        <v>0</v>
      </c>
      <c r="L74" s="741">
        <f t="shared" si="89"/>
        <v>0.21</v>
      </c>
      <c r="M74" s="629"/>
      <c r="N74" s="740"/>
      <c r="O74" s="741">
        <f t="shared" si="90"/>
        <v>0.21</v>
      </c>
      <c r="P74" s="740">
        <f t="shared" si="91"/>
        <v>0</v>
      </c>
      <c r="Q74" s="741">
        <f t="shared" si="91"/>
        <v>0.21</v>
      </c>
      <c r="R74" s="740">
        <v>0</v>
      </c>
      <c r="S74" s="741">
        <f t="shared" si="92"/>
        <v>0.21</v>
      </c>
      <c r="T74" s="740">
        <v>0</v>
      </c>
      <c r="U74" s="741">
        <f t="shared" si="93"/>
        <v>0.21</v>
      </c>
      <c r="V74" s="740">
        <v>0</v>
      </c>
      <c r="W74" s="741">
        <f t="shared" si="94"/>
        <v>0.21</v>
      </c>
      <c r="X74" s="647"/>
      <c r="Y74" s="740"/>
      <c r="Z74" s="741">
        <f t="shared" si="95"/>
        <v>0.21</v>
      </c>
      <c r="AA74" s="740">
        <f t="shared" si="96"/>
        <v>0</v>
      </c>
      <c r="AB74" s="741">
        <f t="shared" si="96"/>
        <v>0.21</v>
      </c>
      <c r="AC74" s="740">
        <v>0</v>
      </c>
      <c r="AD74" s="741">
        <f t="shared" si="97"/>
        <v>0.21</v>
      </c>
      <c r="AE74" s="740">
        <v>0</v>
      </c>
      <c r="AF74" s="741">
        <f t="shared" si="98"/>
        <v>0.21</v>
      </c>
      <c r="AG74" s="740">
        <v>0</v>
      </c>
      <c r="AH74" s="741">
        <f t="shared" si="99"/>
        <v>0.21</v>
      </c>
      <c r="AI74" s="18"/>
      <c r="AJ74" s="18"/>
      <c r="AL74" s="423">
        <f t="shared" si="3"/>
        <v>0</v>
      </c>
      <c r="AN74" s="599">
        <f>IFERROR(K74*$AO$4/$AR$4,0)</f>
        <v>0</v>
      </c>
      <c r="AO74" s="599">
        <f>IFERROR(K74*$AP$4/$AR$4,0)</f>
        <v>0</v>
      </c>
      <c r="AP74" s="599">
        <f>IFERROR(K74*$AQ$4/$AR$4,0)</f>
        <v>0</v>
      </c>
      <c r="AZ74" s="599"/>
    </row>
    <row r="75" spans="2:54" x14ac:dyDescent="0.3">
      <c r="B75" s="748" t="s">
        <v>466</v>
      </c>
      <c r="C75" s="740">
        <v>0</v>
      </c>
      <c r="D75" s="741">
        <f t="shared" si="87"/>
        <v>0.21</v>
      </c>
      <c r="E75" s="740">
        <f t="shared" si="88"/>
        <v>0</v>
      </c>
      <c r="F75" s="741">
        <v>0.21</v>
      </c>
      <c r="G75" s="740">
        <v>0</v>
      </c>
      <c r="H75" s="741">
        <f t="shared" si="89"/>
        <v>0.21</v>
      </c>
      <c r="I75" s="740">
        <v>0</v>
      </c>
      <c r="J75" s="741">
        <f t="shared" si="89"/>
        <v>0.21</v>
      </c>
      <c r="K75" s="740">
        <v>0</v>
      </c>
      <c r="L75" s="741">
        <f t="shared" si="89"/>
        <v>0.21</v>
      </c>
      <c r="M75" s="629"/>
      <c r="N75" s="740"/>
      <c r="O75" s="741">
        <f t="shared" si="90"/>
        <v>0.21</v>
      </c>
      <c r="P75" s="740">
        <f t="shared" si="91"/>
        <v>0</v>
      </c>
      <c r="Q75" s="741">
        <f t="shared" si="91"/>
        <v>0.21</v>
      </c>
      <c r="R75" s="740">
        <v>0</v>
      </c>
      <c r="S75" s="741">
        <f t="shared" si="92"/>
        <v>0.21</v>
      </c>
      <c r="T75" s="740">
        <v>0</v>
      </c>
      <c r="U75" s="741">
        <f t="shared" si="93"/>
        <v>0.21</v>
      </c>
      <c r="V75" s="740">
        <v>0</v>
      </c>
      <c r="W75" s="741">
        <f t="shared" si="94"/>
        <v>0.21</v>
      </c>
      <c r="X75" s="647"/>
      <c r="Y75" s="740"/>
      <c r="Z75" s="741">
        <f t="shared" si="95"/>
        <v>0.21</v>
      </c>
      <c r="AA75" s="740">
        <f t="shared" si="96"/>
        <v>0</v>
      </c>
      <c r="AB75" s="741">
        <f t="shared" si="96"/>
        <v>0.21</v>
      </c>
      <c r="AC75" s="740">
        <v>0</v>
      </c>
      <c r="AD75" s="741">
        <f t="shared" si="97"/>
        <v>0.21</v>
      </c>
      <c r="AE75" s="740">
        <v>0</v>
      </c>
      <c r="AF75" s="741">
        <f t="shared" si="98"/>
        <v>0.21</v>
      </c>
      <c r="AG75" s="740">
        <v>0</v>
      </c>
      <c r="AH75" s="741">
        <f t="shared" si="99"/>
        <v>0.21</v>
      </c>
      <c r="AI75" s="18"/>
      <c r="AJ75" s="18"/>
      <c r="AL75" s="423">
        <f t="shared" si="3"/>
        <v>0</v>
      </c>
      <c r="AN75" s="599">
        <f>IFERROR(K75*$AO$4/$AR$4,0)</f>
        <v>0</v>
      </c>
      <c r="AO75" s="599">
        <f>IFERROR(K75*$AP$4/$AR$4,0)</f>
        <v>0</v>
      </c>
      <c r="AP75" s="599">
        <f>IFERROR(K75*$AQ$4/$AR$4,0)</f>
        <v>0</v>
      </c>
      <c r="AZ75" s="599">
        <f>IFERROR(H75*$AZ$4/$BC$4,0)</f>
        <v>0</v>
      </c>
      <c r="BA75" s="599">
        <f>IFERROR(H75*$BA$4/$BC$4,0)</f>
        <v>0</v>
      </c>
      <c r="BB75" s="599">
        <f t="shared" ref="BB75:BB78" si="100">IFERROR(H75*$BB$4/$BC$4,0)</f>
        <v>0</v>
      </c>
    </row>
    <row r="76" spans="2:54" x14ac:dyDescent="0.3">
      <c r="B76" s="748" t="s">
        <v>467</v>
      </c>
      <c r="C76" s="740">
        <v>0</v>
      </c>
      <c r="D76" s="741">
        <f t="shared" si="87"/>
        <v>0.21</v>
      </c>
      <c r="E76" s="740">
        <f t="shared" si="88"/>
        <v>0</v>
      </c>
      <c r="F76" s="741">
        <v>0.21</v>
      </c>
      <c r="G76" s="740">
        <v>0</v>
      </c>
      <c r="H76" s="741">
        <f t="shared" si="89"/>
        <v>0.21</v>
      </c>
      <c r="I76" s="740">
        <v>0</v>
      </c>
      <c r="J76" s="741">
        <f t="shared" si="89"/>
        <v>0.21</v>
      </c>
      <c r="K76" s="740">
        <v>0</v>
      </c>
      <c r="L76" s="741">
        <f t="shared" si="89"/>
        <v>0.21</v>
      </c>
      <c r="M76" s="629"/>
      <c r="N76" s="740"/>
      <c r="O76" s="741">
        <f t="shared" si="90"/>
        <v>0.21</v>
      </c>
      <c r="P76" s="740">
        <f t="shared" si="91"/>
        <v>0</v>
      </c>
      <c r="Q76" s="741">
        <f t="shared" si="91"/>
        <v>0.21</v>
      </c>
      <c r="R76" s="740">
        <v>0</v>
      </c>
      <c r="S76" s="741">
        <f t="shared" si="92"/>
        <v>0.21</v>
      </c>
      <c r="T76" s="740">
        <v>0</v>
      </c>
      <c r="U76" s="741">
        <f t="shared" si="93"/>
        <v>0.21</v>
      </c>
      <c r="V76" s="740">
        <v>0</v>
      </c>
      <c r="W76" s="741">
        <f t="shared" si="94"/>
        <v>0.21</v>
      </c>
      <c r="X76" s="647"/>
      <c r="Y76" s="740"/>
      <c r="Z76" s="741">
        <f t="shared" si="95"/>
        <v>0.21</v>
      </c>
      <c r="AA76" s="740">
        <f t="shared" si="96"/>
        <v>0</v>
      </c>
      <c r="AB76" s="741">
        <f t="shared" si="96"/>
        <v>0.21</v>
      </c>
      <c r="AC76" s="740">
        <v>0</v>
      </c>
      <c r="AD76" s="741">
        <f t="shared" si="97"/>
        <v>0.21</v>
      </c>
      <c r="AE76" s="740">
        <v>0</v>
      </c>
      <c r="AF76" s="741">
        <f t="shared" si="98"/>
        <v>0.21</v>
      </c>
      <c r="AG76" s="740">
        <v>0</v>
      </c>
      <c r="AH76" s="741">
        <f t="shared" si="99"/>
        <v>0.21</v>
      </c>
      <c r="AI76" s="18"/>
      <c r="AJ76" s="18"/>
      <c r="AL76" s="423">
        <f t="shared" si="3"/>
        <v>0</v>
      </c>
      <c r="AN76" s="599">
        <f>IFERROR(K76*$AO$4/$AR$4,0)</f>
        <v>0</v>
      </c>
      <c r="AO76" s="599">
        <f>IFERROR(K76*$AP$4/$AR$4,0)</f>
        <v>0</v>
      </c>
      <c r="AP76" s="599">
        <f>IFERROR(K76*$AQ$4/$AR$4,0)</f>
        <v>0</v>
      </c>
      <c r="AZ76" s="599">
        <f t="shared" ref="AZ76:AZ78" si="101">IFERROR(H76*$AZ$4/$BC$4,0)</f>
        <v>0</v>
      </c>
      <c r="BA76" s="599">
        <f t="shared" ref="BA76:BA78" si="102">IFERROR(H76*$BA$4/$BC$4,0)</f>
        <v>0</v>
      </c>
      <c r="BB76" s="599">
        <f t="shared" si="100"/>
        <v>0</v>
      </c>
    </row>
    <row r="77" spans="2:54" x14ac:dyDescent="0.3">
      <c r="B77" s="744" t="s">
        <v>468</v>
      </c>
      <c r="C77" s="740">
        <v>0</v>
      </c>
      <c r="D77" s="741">
        <f t="shared" si="87"/>
        <v>0.21</v>
      </c>
      <c r="E77" s="740">
        <f t="shared" si="88"/>
        <v>0</v>
      </c>
      <c r="F77" s="741">
        <v>0.21</v>
      </c>
      <c r="G77" s="740">
        <v>0</v>
      </c>
      <c r="H77" s="741">
        <f t="shared" si="89"/>
        <v>0.21</v>
      </c>
      <c r="I77" s="740">
        <v>0</v>
      </c>
      <c r="J77" s="741">
        <f t="shared" si="89"/>
        <v>0.21</v>
      </c>
      <c r="K77" s="740">
        <v>0</v>
      </c>
      <c r="L77" s="741">
        <f t="shared" si="89"/>
        <v>0.21</v>
      </c>
      <c r="M77" s="629"/>
      <c r="N77" s="740"/>
      <c r="O77" s="741">
        <f t="shared" si="90"/>
        <v>0.21</v>
      </c>
      <c r="P77" s="740">
        <f t="shared" si="91"/>
        <v>0</v>
      </c>
      <c r="Q77" s="741">
        <f t="shared" si="91"/>
        <v>0.21</v>
      </c>
      <c r="R77" s="740">
        <v>0</v>
      </c>
      <c r="S77" s="741">
        <f t="shared" si="92"/>
        <v>0.21</v>
      </c>
      <c r="T77" s="740">
        <v>0</v>
      </c>
      <c r="U77" s="741">
        <f t="shared" si="93"/>
        <v>0.21</v>
      </c>
      <c r="V77" s="740">
        <v>0</v>
      </c>
      <c r="W77" s="741">
        <f t="shared" si="94"/>
        <v>0.21</v>
      </c>
      <c r="X77" s="647"/>
      <c r="Y77" s="740"/>
      <c r="Z77" s="741">
        <f t="shared" si="95"/>
        <v>0.21</v>
      </c>
      <c r="AA77" s="740">
        <f t="shared" si="96"/>
        <v>0</v>
      </c>
      <c r="AB77" s="741">
        <f t="shared" si="96"/>
        <v>0.21</v>
      </c>
      <c r="AC77" s="740">
        <v>0</v>
      </c>
      <c r="AD77" s="741">
        <f t="shared" si="97"/>
        <v>0.21</v>
      </c>
      <c r="AE77" s="740">
        <v>0</v>
      </c>
      <c r="AF77" s="741">
        <f t="shared" si="98"/>
        <v>0.21</v>
      </c>
      <c r="AG77" s="740">
        <v>0</v>
      </c>
      <c r="AH77" s="741">
        <f t="shared" si="99"/>
        <v>0.21</v>
      </c>
      <c r="AI77" s="18"/>
      <c r="AJ77" s="18"/>
      <c r="AL77" s="423">
        <f t="shared" si="3"/>
        <v>0</v>
      </c>
      <c r="AN77" s="599"/>
      <c r="AO77" s="599"/>
      <c r="AP77" s="599"/>
      <c r="AZ77" s="599">
        <f t="shared" si="101"/>
        <v>0</v>
      </c>
      <c r="BA77" s="599">
        <f t="shared" si="102"/>
        <v>0</v>
      </c>
      <c r="BB77" s="599">
        <f t="shared" si="100"/>
        <v>0</v>
      </c>
    </row>
    <row r="78" spans="2:54" x14ac:dyDescent="0.3">
      <c r="B78" s="744" t="s">
        <v>469</v>
      </c>
      <c r="C78" s="740">
        <v>0</v>
      </c>
      <c r="D78" s="741">
        <f t="shared" si="87"/>
        <v>0.21</v>
      </c>
      <c r="E78" s="740">
        <f t="shared" si="88"/>
        <v>0</v>
      </c>
      <c r="F78" s="741">
        <v>0.21</v>
      </c>
      <c r="G78" s="740">
        <v>0</v>
      </c>
      <c r="H78" s="741">
        <f t="shared" si="89"/>
        <v>0.21</v>
      </c>
      <c r="I78" s="740">
        <v>0</v>
      </c>
      <c r="J78" s="741">
        <f t="shared" si="89"/>
        <v>0.21</v>
      </c>
      <c r="K78" s="740">
        <v>0</v>
      </c>
      <c r="L78" s="741">
        <f t="shared" si="89"/>
        <v>0.21</v>
      </c>
      <c r="M78" s="629"/>
      <c r="N78" s="740"/>
      <c r="O78" s="741">
        <f t="shared" si="90"/>
        <v>0.21</v>
      </c>
      <c r="P78" s="740">
        <f t="shared" si="91"/>
        <v>0</v>
      </c>
      <c r="Q78" s="741">
        <f t="shared" si="91"/>
        <v>0.21</v>
      </c>
      <c r="R78" s="740">
        <v>0</v>
      </c>
      <c r="S78" s="741">
        <f t="shared" si="92"/>
        <v>0.21</v>
      </c>
      <c r="T78" s="740">
        <v>0</v>
      </c>
      <c r="U78" s="741">
        <f t="shared" si="93"/>
        <v>0.21</v>
      </c>
      <c r="V78" s="740">
        <v>0</v>
      </c>
      <c r="W78" s="741">
        <f t="shared" si="94"/>
        <v>0.21</v>
      </c>
      <c r="X78" s="647"/>
      <c r="Y78" s="740"/>
      <c r="Z78" s="741">
        <f t="shared" si="95"/>
        <v>0.21</v>
      </c>
      <c r="AA78" s="740">
        <f t="shared" si="96"/>
        <v>0</v>
      </c>
      <c r="AB78" s="741">
        <f t="shared" si="96"/>
        <v>0.21</v>
      </c>
      <c r="AC78" s="740">
        <v>0</v>
      </c>
      <c r="AD78" s="741">
        <f t="shared" si="97"/>
        <v>0.21</v>
      </c>
      <c r="AE78" s="740">
        <v>0</v>
      </c>
      <c r="AF78" s="741">
        <f t="shared" si="98"/>
        <v>0.21</v>
      </c>
      <c r="AG78" s="740">
        <v>0</v>
      </c>
      <c r="AH78" s="741">
        <f t="shared" si="99"/>
        <v>0.21</v>
      </c>
      <c r="AI78" s="18"/>
      <c r="AJ78" s="18"/>
      <c r="AL78" s="423">
        <f t="shared" si="3"/>
        <v>0</v>
      </c>
      <c r="AN78" s="599">
        <f>IFERROR(K78*$AO$4/$AR$4,0)</f>
        <v>0</v>
      </c>
      <c r="AO78" s="599">
        <f>IFERROR(K78*$AP$4/$AR$4,0)</f>
        <v>0</v>
      </c>
      <c r="AP78" s="599">
        <f>IFERROR(K78*$AQ$4/$AR$4,0)</f>
        <v>0</v>
      </c>
      <c r="AZ78" s="599">
        <f t="shared" si="101"/>
        <v>0</v>
      </c>
      <c r="BA78" s="599">
        <f t="shared" si="102"/>
        <v>0</v>
      </c>
      <c r="BB78" s="599">
        <f t="shared" si="100"/>
        <v>0</v>
      </c>
    </row>
    <row r="79" spans="2:54" x14ac:dyDescent="0.3">
      <c r="B79" s="737" t="s">
        <v>431</v>
      </c>
      <c r="C79" s="740">
        <f>C63-SUM(C68:C78)</f>
        <v>0</v>
      </c>
      <c r="D79" s="741">
        <f t="shared" si="87"/>
        <v>0.21</v>
      </c>
      <c r="E79" s="740">
        <f>E63-SUM(E68:E78)</f>
        <v>0</v>
      </c>
      <c r="F79" s="741">
        <v>0.21</v>
      </c>
      <c r="G79" s="740">
        <f>G63-SUM(G68:G78)</f>
        <v>0</v>
      </c>
      <c r="H79" s="741">
        <f>F79</f>
        <v>0.21</v>
      </c>
      <c r="I79" s="740">
        <f>I63-SUM(I68:I78)</f>
        <v>0</v>
      </c>
      <c r="J79" s="741">
        <f>H79</f>
        <v>0.21</v>
      </c>
      <c r="K79" s="740">
        <f>K63-SUM(K68:K78)</f>
        <v>0</v>
      </c>
      <c r="L79" s="741">
        <f>J79</f>
        <v>0.21</v>
      </c>
      <c r="M79" s="629"/>
      <c r="N79" s="740">
        <f>N63-SUM(N68:N78)</f>
        <v>0</v>
      </c>
      <c r="O79" s="741">
        <f t="shared" si="90"/>
        <v>0.21</v>
      </c>
      <c r="P79" s="740">
        <f>P63-SUM(P68:P78)</f>
        <v>0</v>
      </c>
      <c r="Q79" s="741">
        <f>O79</f>
        <v>0.21</v>
      </c>
      <c r="R79" s="740">
        <f>R63-SUM(R68:R78)</f>
        <v>0</v>
      </c>
      <c r="S79" s="741">
        <f>Q79</f>
        <v>0.21</v>
      </c>
      <c r="T79" s="740">
        <f>T63-SUM(T68:T78)</f>
        <v>0</v>
      </c>
      <c r="U79" s="741">
        <f>S79</f>
        <v>0.21</v>
      </c>
      <c r="V79" s="740">
        <f>V63-SUM(V68:V78)</f>
        <v>0</v>
      </c>
      <c r="W79" s="741">
        <f t="shared" si="94"/>
        <v>0.21</v>
      </c>
      <c r="X79" s="647"/>
      <c r="Y79" s="740">
        <f>Y63-SUM(Y68:Y78)</f>
        <v>0</v>
      </c>
      <c r="Z79" s="741">
        <f t="shared" si="95"/>
        <v>0.21</v>
      </c>
      <c r="AA79" s="740">
        <f>AA63-SUM(AA68:AA78)</f>
        <v>0</v>
      </c>
      <c r="AB79" s="741">
        <f>Z79</f>
        <v>0.21</v>
      </c>
      <c r="AC79" s="740">
        <f>AC63-SUM(AC68:AC78)</f>
        <v>0</v>
      </c>
      <c r="AD79" s="741">
        <f>AB79</f>
        <v>0.21</v>
      </c>
      <c r="AE79" s="740">
        <f>AE63-SUM(AE68:AE78)</f>
        <v>0</v>
      </c>
      <c r="AF79" s="741">
        <f>AD79</f>
        <v>0.21</v>
      </c>
      <c r="AG79" s="740">
        <f>AG63-SUM(AG68:AG78)</f>
        <v>0</v>
      </c>
      <c r="AH79" s="741">
        <f>AF79</f>
        <v>0.21</v>
      </c>
      <c r="AI79" s="18"/>
      <c r="AJ79" s="18"/>
      <c r="AL79" s="423">
        <f t="shared" si="3"/>
        <v>0</v>
      </c>
      <c r="AN79" s="599">
        <f>IFERROR(K79*$AO$4/$AR$4,0)</f>
        <v>0</v>
      </c>
      <c r="AO79" s="599">
        <f>IFERROR(K79*$AP$4/$AR$4,0)</f>
        <v>0</v>
      </c>
      <c r="AP79" s="599">
        <f>IFERROR(K79*$AQ$4/$AR$4,0)</f>
        <v>0</v>
      </c>
      <c r="AZ79" s="599"/>
    </row>
    <row r="80" spans="2:54"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N80" s="599">
        <f>IFERROR(K80*$AO$4/$AR$4,0)</f>
        <v>0</v>
      </c>
      <c r="AO80" s="599">
        <f>IFERROR(K80*$AP$4/$AR$4,0)</f>
        <v>0</v>
      </c>
      <c r="AP80" s="599">
        <f>IFERROR(K80*$AQ$4/$AR$4,0)</f>
        <v>0</v>
      </c>
      <c r="AZ80" s="89">
        <f>$H$80</f>
        <v>0</v>
      </c>
      <c r="BA80" s="89">
        <f t="shared" ref="BA80:BB80" si="103">$H$80</f>
        <v>0</v>
      </c>
      <c r="BB80" s="89">
        <f t="shared" si="103"/>
        <v>0</v>
      </c>
    </row>
    <row r="81" spans="2:54" ht="15" thickBot="1" x14ac:dyDescent="0.35">
      <c r="B81" s="307" t="s">
        <v>471</v>
      </c>
      <c r="C81" s="1079">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J81" s="18" t="s">
        <v>470</v>
      </c>
      <c r="AL81" s="819">
        <f t="shared" si="3"/>
        <v>0</v>
      </c>
      <c r="AN81" s="599"/>
      <c r="AZ81" s="599"/>
    </row>
    <row r="82" spans="2:54" x14ac:dyDescent="0.3">
      <c r="B82" s="54"/>
      <c r="C82" s="978"/>
      <c r="D82" s="978"/>
      <c r="E82" s="978"/>
      <c r="F82" s="978"/>
      <c r="G82" s="978"/>
      <c r="H82" s="978"/>
      <c r="I82" s="978"/>
      <c r="J82" s="978"/>
      <c r="K82" s="51"/>
      <c r="L82" s="18"/>
      <c r="M82" s="18"/>
      <c r="N82" s="978"/>
      <c r="O82" s="978"/>
      <c r="P82" s="978"/>
      <c r="Q82" s="978"/>
      <c r="R82" s="978"/>
      <c r="S82" s="978"/>
      <c r="T82" s="978"/>
      <c r="U82" s="978"/>
      <c r="V82" s="51"/>
      <c r="W82" s="18"/>
      <c r="X82" s="18"/>
      <c r="Y82" s="978"/>
      <c r="Z82" s="978"/>
      <c r="AA82" s="978"/>
      <c r="AB82" s="978"/>
      <c r="AC82" s="978"/>
      <c r="AD82" s="978"/>
      <c r="AE82" s="978"/>
      <c r="AF82" s="978"/>
      <c r="AG82" s="51"/>
      <c r="AH82" s="18"/>
      <c r="AI82" s="18"/>
      <c r="AJ82" s="18"/>
      <c r="AL82" s="423"/>
      <c r="AN82" s="423"/>
      <c r="AZ82" s="423"/>
    </row>
    <row r="83" spans="2:54" ht="15" thickBot="1" x14ac:dyDescent="0.35">
      <c r="B83" s="977" t="s">
        <v>472</v>
      </c>
      <c r="C83" s="978">
        <f ca="1">C48*$F$10+C55*D55+C49*D49+C51*D51+C63+C63*D64+C61+C16+C54*D54+C56*D56+C57*D57+C58*D58+C59*D59+C60*D60</f>
        <v>0</v>
      </c>
      <c r="D83" s="978"/>
      <c r="E83" s="978">
        <f ca="1">E48*$F$10+E55*F55+E49*F49+E51*F51+E63+E63*F64+E61+E16+E54*F54+E56*F56+E57*F57+E58*F58+E59*F59+E60*F60</f>
        <v>0</v>
      </c>
      <c r="F83" s="978"/>
      <c r="G83" s="978">
        <f>G48*$F$10+G55*H55+G49*H49+G51*H51+G63+G63*H64+G61+G16+G54*H54+G56*H56+G57*H57+G58*H58+G59*H59+G60*H60</f>
        <v>0</v>
      </c>
      <c r="H83" s="978"/>
      <c r="I83" s="978">
        <f>I48*F$10+I55*J55+I49*J49+I51*J51+I63+I63*J64+I61+I16+I54*J54+I56*J56+I57*J57+I58*J58+I59*J59+I60*J60</f>
        <v>0</v>
      </c>
      <c r="J83" s="978"/>
      <c r="K83" s="978">
        <f>K48*$F$10+K55*L55+K49*L49+K51*L51+K63+K63*L64+K61+K16+K54*L54+K56*L56+K57*L57+K58*L58+K59*L59+K60*L60</f>
        <v>0</v>
      </c>
      <c r="L83" s="18"/>
      <c r="M83" s="18"/>
      <c r="N83" s="978">
        <f ca="1">N48*$Q$10+N55*O55+N49*O49+N51*O51+N63+N63*O64+N61+N16+N54*O54+N56*O56+N57*O57+N58*O58+N59*O59+N60*O60</f>
        <v>0</v>
      </c>
      <c r="O83" s="978"/>
      <c r="P83" s="978">
        <f ca="1">P48*$Q$10+P55*Q55+P49*Q49+P51*Q51+P63+P63*Q64+P61+P16+P54*Q54+P56*Q56+P57*Q57+P58*Q58+P59*Q59+P60*Q60</f>
        <v>0</v>
      </c>
      <c r="Q83" s="978"/>
      <c r="R83" s="978">
        <f>R48*$Q$10+R55*S55+R49*S49+R51*S51+R63+R63*S64+R61+R16+R54*S54+R56*S56+R57*S57+R58*S58+R59*S59+R60*S60</f>
        <v>0</v>
      </c>
      <c r="S83" s="978"/>
      <c r="T83" s="978">
        <f>T48*Q$10+T55*U55+T49*U49+T51*U51+T63+T63*U64+T61+T16+T54*U54+T56*U56+T57*U57+T58*U58+T59*U59+T60*U60</f>
        <v>0</v>
      </c>
      <c r="U83" s="978"/>
      <c r="V83" s="978">
        <f>V48*$Q$10+V55*W55+V49*W49+V51*W51+V63+V63*W64+V61+V16+V54*W54+V56*W56+V57*W57+V58*W58+V59*W59+V60*W60</f>
        <v>0</v>
      </c>
      <c r="W83" s="18"/>
      <c r="X83" s="18"/>
      <c r="Y83" s="978">
        <f ca="1">Y48*$AB$10+Y55*Z55+Y49*Z49+Y51*Z51+Y63+Y63*Z64+Y61+Y16+Y54*Z54+Y56*Z56+Y57*Z57+Y58*Z58+Y59*Z59+Y60*Z60</f>
        <v>0</v>
      </c>
      <c r="Z83" s="978"/>
      <c r="AA83" s="978">
        <f ca="1">AA48*$AB$10+AA55*AB55+AA49*AB49+AA51*AB51+AA63+AA63*AB64+AA61+AA16+AA54*AB54+AA56*AB56+AA57*AB57+AA58*AB58+AA59*AB59+AA60*AB60</f>
        <v>0</v>
      </c>
      <c r="AB83" s="978"/>
      <c r="AC83" s="978">
        <f>AC48*$AB$10+AC55*AD55+AC49*AD49+AC51*AD51+AC63+AC63*AD64+AC61+AC16+AC54*AD54+AC56*AD56+AC57*AD57+AC58*AD58+AC59*AD59+AC60*AD60</f>
        <v>0</v>
      </c>
      <c r="AD83" s="978"/>
      <c r="AE83" s="978">
        <f>AE48*AB$10+AE55*AF55+AE49*AF49+AE51*AF51+AE63+AE63*AF64+AE61+AE16+AE54*AF54+AE56*AF56+AE57*AF57+AE58*AF58+AE59*AF59+AE60*AF60</f>
        <v>0</v>
      </c>
      <c r="AF83" s="978"/>
      <c r="AG83" s="978">
        <f>AG48*$AB$10+AG55*AH55+AG49*AH49+AG51*AH51+AG63+AG63*AH64+AG61+AG16+AG54*AH54+AG56*AH56+AG57*AH57+AG58*AH58+AG59*AH59+AG60*AH60</f>
        <v>0</v>
      </c>
      <c r="AH83" s="18"/>
      <c r="AI83" s="18"/>
      <c r="AJ83" s="18"/>
      <c r="AL83" s="819"/>
      <c r="AN83" s="51"/>
      <c r="AO83" s="423"/>
      <c r="AP83" s="423"/>
    </row>
    <row r="84" spans="2:54" ht="15" thickBot="1" x14ac:dyDescent="0.35">
      <c r="AI84" s="18"/>
      <c r="AJ84" s="18"/>
      <c r="AN84" s="597">
        <f>SUM(AN62:AN64)+AN16+AN20</f>
        <v>0</v>
      </c>
      <c r="AO84" s="599">
        <f>IFERROR(K84*$AP$4/$AR$4,0)</f>
        <v>0</v>
      </c>
      <c r="AP84" s="599">
        <f>IFERROR(K84*$AQ$4/$AR$4,0)</f>
        <v>0</v>
      </c>
      <c r="AZ84" s="610">
        <f>$H$84</f>
        <v>0</v>
      </c>
      <c r="BA84" s="610">
        <f>$H$84</f>
        <v>0</v>
      </c>
      <c r="BB84" s="610">
        <f>$H$84</f>
        <v>0</v>
      </c>
    </row>
    <row r="85" spans="2:54" x14ac:dyDescent="0.3">
      <c r="B85" s="307" t="s">
        <v>61</v>
      </c>
      <c r="C85" s="102" t="s">
        <v>406</v>
      </c>
      <c r="D85" s="103"/>
      <c r="E85" s="102" t="s">
        <v>408</v>
      </c>
      <c r="F85" s="103"/>
      <c r="G85" s="104" t="s">
        <v>409</v>
      </c>
      <c r="H85" s="103"/>
      <c r="I85" s="104" t="s">
        <v>410</v>
      </c>
      <c r="J85" s="103"/>
      <c r="K85" s="104" t="s">
        <v>411</v>
      </c>
      <c r="L85" s="105"/>
      <c r="M85" s="480"/>
      <c r="N85" s="102" t="s">
        <v>473</v>
      </c>
      <c r="O85" s="103"/>
      <c r="P85" s="102" t="s">
        <v>408</v>
      </c>
      <c r="Q85" s="103"/>
      <c r="R85" s="104" t="s">
        <v>409</v>
      </c>
      <c r="S85" s="103"/>
      <c r="T85" s="104" t="s">
        <v>410</v>
      </c>
      <c r="U85" s="103"/>
      <c r="V85" s="104" t="s">
        <v>411</v>
      </c>
      <c r="W85" s="105"/>
      <c r="X85" s="480"/>
      <c r="Y85" s="102" t="s">
        <v>473</v>
      </c>
      <c r="Z85" s="103"/>
      <c r="AA85" s="102" t="s">
        <v>408</v>
      </c>
      <c r="AB85" s="103"/>
      <c r="AC85" s="104" t="s">
        <v>409</v>
      </c>
      <c r="AD85" s="103"/>
      <c r="AE85" s="104" t="s">
        <v>410</v>
      </c>
      <c r="AF85" s="103"/>
      <c r="AG85" s="104" t="s">
        <v>411</v>
      </c>
      <c r="AH85" s="105"/>
      <c r="AJ85" t="s">
        <v>474</v>
      </c>
      <c r="AN85" s="599"/>
      <c r="AZ85" s="599"/>
    </row>
    <row r="86" spans="2:54" x14ac:dyDescent="0.3">
      <c r="B86" s="22" t="s">
        <v>475</v>
      </c>
      <c r="C86" s="439">
        <f>'Overzicht BTA'!D17</f>
        <v>0</v>
      </c>
      <c r="D86" s="323" t="s">
        <v>476</v>
      </c>
      <c r="E86" s="439">
        <f>'Overzicht BTA'!D61</f>
        <v>0</v>
      </c>
      <c r="F86" s="323" t="s">
        <v>476</v>
      </c>
      <c r="G86" s="439">
        <f>'Overzicht BTA'!D61</f>
        <v>0</v>
      </c>
      <c r="H86" s="323" t="s">
        <v>476</v>
      </c>
      <c r="I86" s="439">
        <f>C86</f>
        <v>0</v>
      </c>
      <c r="J86" s="323" t="s">
        <v>476</v>
      </c>
      <c r="K86" s="439">
        <f>C86</f>
        <v>0</v>
      </c>
      <c r="L86" s="323" t="s">
        <v>476</v>
      </c>
      <c r="M86" s="321"/>
      <c r="N86" s="439">
        <f>'Overzicht BTA'!O17</f>
        <v>0</v>
      </c>
      <c r="O86" s="323" t="s">
        <v>476</v>
      </c>
      <c r="P86" s="439">
        <f>'Overzicht BTA'!J61</f>
        <v>0</v>
      </c>
      <c r="Q86" s="323" t="s">
        <v>476</v>
      </c>
      <c r="R86" s="439">
        <f>N86</f>
        <v>0</v>
      </c>
      <c r="S86" s="323" t="s">
        <v>476</v>
      </c>
      <c r="T86" s="439">
        <f>N86</f>
        <v>0</v>
      </c>
      <c r="U86" s="323" t="s">
        <v>476</v>
      </c>
      <c r="V86" s="439">
        <f>N86</f>
        <v>0</v>
      </c>
      <c r="W86" s="323" t="s">
        <v>476</v>
      </c>
      <c r="X86" s="649"/>
      <c r="Y86" s="439">
        <f>'Overzicht BTA'!Z17</f>
        <v>0</v>
      </c>
      <c r="Z86" s="323" t="s">
        <v>476</v>
      </c>
      <c r="AA86" s="439">
        <f>'Overzicht BTA'!P61</f>
        <v>0</v>
      </c>
      <c r="AB86" s="323" t="s">
        <v>476</v>
      </c>
      <c r="AC86" s="439">
        <f>Y86</f>
        <v>0</v>
      </c>
      <c r="AD86" s="323" t="s">
        <v>476</v>
      </c>
      <c r="AE86" s="439">
        <f>Y86</f>
        <v>0</v>
      </c>
      <c r="AF86" s="323" t="s">
        <v>476</v>
      </c>
      <c r="AG86" s="439">
        <f>Y86</f>
        <v>0</v>
      </c>
      <c r="AH86" s="323" t="s">
        <v>476</v>
      </c>
      <c r="AN86" s="599"/>
      <c r="AZ86" s="599"/>
    </row>
    <row r="87" spans="2:54" x14ac:dyDescent="0.3">
      <c r="B87" s="916" t="s">
        <v>477</v>
      </c>
      <c r="C87" s="439">
        <f>'Overzicht BTA'!D18</f>
        <v>0</v>
      </c>
      <c r="D87" s="323" t="s">
        <v>476</v>
      </c>
      <c r="E87" s="439">
        <f>'Overzicht BTA'!D62</f>
        <v>0</v>
      </c>
      <c r="F87" s="323" t="s">
        <v>476</v>
      </c>
      <c r="G87" s="439">
        <f>'Overzicht BTA'!D62</f>
        <v>0</v>
      </c>
      <c r="H87" s="323" t="s">
        <v>476</v>
      </c>
      <c r="I87" s="439">
        <f>C87</f>
        <v>0</v>
      </c>
      <c r="J87" s="323" t="s">
        <v>476</v>
      </c>
      <c r="K87" s="439">
        <f>C87</f>
        <v>0</v>
      </c>
      <c r="L87" s="323" t="s">
        <v>476</v>
      </c>
      <c r="M87" s="321"/>
      <c r="N87" s="439">
        <f>'Overzicht BTA'!O18</f>
        <v>0</v>
      </c>
      <c r="O87" s="323" t="s">
        <v>476</v>
      </c>
      <c r="P87" s="439">
        <f>'Overzicht BTA'!J62</f>
        <v>0</v>
      </c>
      <c r="Q87" s="323" t="s">
        <v>476</v>
      </c>
      <c r="R87" s="439">
        <f>N87</f>
        <v>0</v>
      </c>
      <c r="S87" s="323" t="s">
        <v>476</v>
      </c>
      <c r="T87" s="439">
        <f>N87</f>
        <v>0</v>
      </c>
      <c r="U87" s="323" t="s">
        <v>476</v>
      </c>
      <c r="V87" s="439">
        <f>N87</f>
        <v>0</v>
      </c>
      <c r="W87" s="323" t="s">
        <v>476</v>
      </c>
      <c r="X87" s="649"/>
      <c r="Y87" s="439">
        <f>'Overzicht BTA'!Z18</f>
        <v>0</v>
      </c>
      <c r="Z87" s="323" t="s">
        <v>476</v>
      </c>
      <c r="AA87" s="439">
        <f>'Overzicht BTA'!P62</f>
        <v>0</v>
      </c>
      <c r="AB87" s="323" t="s">
        <v>476</v>
      </c>
      <c r="AC87" s="439">
        <v>0</v>
      </c>
      <c r="AD87" s="323"/>
      <c r="AE87" s="439">
        <v>0</v>
      </c>
      <c r="AF87" s="323"/>
      <c r="AG87" s="439">
        <v>0</v>
      </c>
      <c r="AH87" s="323"/>
      <c r="AN87" s="599">
        <f>IFERROR(K87*$AO$4/$AR$4,0)</f>
        <v>0</v>
      </c>
      <c r="AO87" s="599">
        <f>IFERROR(K87*$AP$4/$AR$4,0)</f>
        <v>0</v>
      </c>
      <c r="AP87" s="599">
        <f>IFERROR(K87*$AQ$4/$AR$4,0)</f>
        <v>0</v>
      </c>
      <c r="AZ87" s="318">
        <f>IFERROR(AZ44/AZ75,0)</f>
        <v>0</v>
      </c>
      <c r="BA87" s="318">
        <f>IFERROR(BA44/BA75,0)</f>
        <v>0</v>
      </c>
      <c r="BB87" s="318">
        <f>IFERROR(BB44/BB75,0)</f>
        <v>0</v>
      </c>
    </row>
    <row r="88" spans="2:54" x14ac:dyDescent="0.3">
      <c r="B88" s="983" t="s">
        <v>478</v>
      </c>
      <c r="C88" s="439">
        <f>'Overzicht BTA'!D19</f>
        <v>0</v>
      </c>
      <c r="D88" s="323" t="s">
        <v>476</v>
      </c>
      <c r="E88" s="439">
        <f>'Overzicht BTA'!D63</f>
        <v>0</v>
      </c>
      <c r="F88" s="323" t="s">
        <v>476</v>
      </c>
      <c r="G88" s="439">
        <f>'Overzicht BTA'!D63</f>
        <v>0</v>
      </c>
      <c r="H88" s="323" t="s">
        <v>476</v>
      </c>
      <c r="I88" s="439">
        <f>C88</f>
        <v>0</v>
      </c>
      <c r="J88" s="323" t="s">
        <v>476</v>
      </c>
      <c r="K88" s="439">
        <f>C88</f>
        <v>0</v>
      </c>
      <c r="L88" s="323" t="s">
        <v>476</v>
      </c>
      <c r="M88" s="321"/>
      <c r="N88" s="439">
        <f>'Overzicht BTA'!O19</f>
        <v>0</v>
      </c>
      <c r="O88" s="323" t="s">
        <v>476</v>
      </c>
      <c r="P88" s="439">
        <f>'Overzicht BTA'!J63</f>
        <v>0</v>
      </c>
      <c r="Q88" s="323" t="s">
        <v>476</v>
      </c>
      <c r="R88" s="439">
        <f>N88</f>
        <v>0</v>
      </c>
      <c r="S88" s="323" t="s">
        <v>476</v>
      </c>
      <c r="T88" s="439">
        <f>N88</f>
        <v>0</v>
      </c>
      <c r="U88" s="323" t="s">
        <v>476</v>
      </c>
      <c r="V88" s="439">
        <f>N88</f>
        <v>0</v>
      </c>
      <c r="W88" s="323" t="s">
        <v>476</v>
      </c>
      <c r="X88" s="649"/>
      <c r="Y88" s="439">
        <f>'Overzicht BTA'!Z19</f>
        <v>0</v>
      </c>
      <c r="Z88" s="323" t="s">
        <v>476</v>
      </c>
      <c r="AA88" s="439">
        <f>'Overzicht BTA'!P63</f>
        <v>0</v>
      </c>
      <c r="AB88" s="323" t="s">
        <v>476</v>
      </c>
      <c r="AC88" s="439"/>
      <c r="AD88" s="323"/>
      <c r="AE88" s="439"/>
      <c r="AF88" s="323"/>
      <c r="AG88" s="439"/>
      <c r="AH88" s="323"/>
      <c r="AN88" s="599"/>
      <c r="AO88" s="599"/>
      <c r="AP88" s="599"/>
      <c r="AZ88" s="318"/>
      <c r="BA88" s="318"/>
      <c r="BB88" s="318"/>
    </row>
    <row r="89" spans="2:54" x14ac:dyDescent="0.3">
      <c r="B89" s="917" t="s">
        <v>130</v>
      </c>
      <c r="C89" s="439">
        <f>'Overzicht BTA'!D20</f>
        <v>0</v>
      </c>
      <c r="D89" s="323" t="s">
        <v>476</v>
      </c>
      <c r="E89" s="439">
        <f>'Overzicht BTA'!D64</f>
        <v>0</v>
      </c>
      <c r="F89" s="323" t="s">
        <v>476</v>
      </c>
      <c r="G89" s="439">
        <f>'Overzicht BTA'!D64</f>
        <v>0</v>
      </c>
      <c r="H89" s="323" t="s">
        <v>476</v>
      </c>
      <c r="I89" s="439">
        <f>C89</f>
        <v>0</v>
      </c>
      <c r="J89" s="323" t="s">
        <v>476</v>
      </c>
      <c r="K89" s="439">
        <f>C89</f>
        <v>0</v>
      </c>
      <c r="L89" s="323" t="s">
        <v>476</v>
      </c>
      <c r="M89" s="321"/>
      <c r="N89" s="439">
        <f>'Overzicht BTA'!O20</f>
        <v>0</v>
      </c>
      <c r="O89" s="323" t="s">
        <v>476</v>
      </c>
      <c r="P89" s="439">
        <f>'Overzicht BTA'!J64</f>
        <v>0</v>
      </c>
      <c r="Q89" s="323" t="s">
        <v>476</v>
      </c>
      <c r="R89" s="439">
        <f>N89</f>
        <v>0</v>
      </c>
      <c r="S89" s="323" t="s">
        <v>476</v>
      </c>
      <c r="T89" s="439">
        <f>N89</f>
        <v>0</v>
      </c>
      <c r="U89" s="323" t="s">
        <v>476</v>
      </c>
      <c r="V89" s="439">
        <f>N89</f>
        <v>0</v>
      </c>
      <c r="W89" s="323" t="s">
        <v>476</v>
      </c>
      <c r="X89" s="649"/>
      <c r="Y89" s="439">
        <f>'Overzicht BTA'!Z20</f>
        <v>0</v>
      </c>
      <c r="Z89" s="323" t="s">
        <v>476</v>
      </c>
      <c r="AA89" s="439">
        <f>'Overzicht BTA'!P64</f>
        <v>0</v>
      </c>
      <c r="AB89" s="323" t="s">
        <v>476</v>
      </c>
      <c r="AC89" s="439">
        <v>0</v>
      </c>
      <c r="AD89" s="323"/>
      <c r="AE89" s="439">
        <v>0</v>
      </c>
      <c r="AF89" s="323"/>
      <c r="AG89" s="439">
        <v>0</v>
      </c>
      <c r="AH89" s="323"/>
      <c r="AN89" s="599">
        <f>IFERROR(K89*$AO$4/$AR$4,0)</f>
        <v>0</v>
      </c>
      <c r="AO89" s="599">
        <f>IFERROR(K89*$AP$4/$AR$4,0)</f>
        <v>0</v>
      </c>
      <c r="AP89" s="599">
        <f>IFERROR(K89*$AQ$4/$AR$4,0)</f>
        <v>0</v>
      </c>
      <c r="AZ89" s="318">
        <f>IFERROR(AZ46/AZ75,0)</f>
        <v>0</v>
      </c>
      <c r="BA89" s="318">
        <f>IFERROR(BA46/BA75,0)</f>
        <v>0</v>
      </c>
      <c r="BB89" s="318">
        <f>IFERROR(BB46/BB75,0)</f>
        <v>0</v>
      </c>
    </row>
    <row r="90" spans="2:54" x14ac:dyDescent="0.3">
      <c r="B90" s="22" t="s">
        <v>479</v>
      </c>
      <c r="C90" s="439">
        <v>0</v>
      </c>
      <c r="D90" s="323" t="s">
        <v>476</v>
      </c>
      <c r="E90" s="439">
        <f>C90</f>
        <v>0</v>
      </c>
      <c r="F90" s="323" t="s">
        <v>476</v>
      </c>
      <c r="G90" s="439">
        <f>E90</f>
        <v>0</v>
      </c>
      <c r="H90" s="323" t="s">
        <v>476</v>
      </c>
      <c r="I90" s="439">
        <f>G90</f>
        <v>0</v>
      </c>
      <c r="J90" s="323" t="s">
        <v>476</v>
      </c>
      <c r="K90" s="439">
        <f>I90</f>
        <v>0</v>
      </c>
      <c r="L90" s="323" t="s">
        <v>476</v>
      </c>
      <c r="M90" s="321"/>
      <c r="N90" s="439">
        <v>0</v>
      </c>
      <c r="O90" s="323" t="s">
        <v>476</v>
      </c>
      <c r="P90" s="439">
        <f>N90</f>
        <v>0</v>
      </c>
      <c r="Q90" s="323" t="s">
        <v>476</v>
      </c>
      <c r="R90" s="439">
        <f>P90</f>
        <v>0</v>
      </c>
      <c r="S90" s="323" t="s">
        <v>476</v>
      </c>
      <c r="T90" s="439">
        <f>R90</f>
        <v>0</v>
      </c>
      <c r="U90" s="323" t="s">
        <v>476</v>
      </c>
      <c r="V90" s="439">
        <f>T90</f>
        <v>0</v>
      </c>
      <c r="W90" s="323" t="s">
        <v>476</v>
      </c>
      <c r="X90" s="649"/>
      <c r="Y90" s="439">
        <v>0</v>
      </c>
      <c r="Z90" s="323" t="s">
        <v>476</v>
      </c>
      <c r="AA90" s="439">
        <f>Y90</f>
        <v>0</v>
      </c>
      <c r="AB90" s="323" t="s">
        <v>476</v>
      </c>
      <c r="AC90" s="439">
        <f>AA90</f>
        <v>0</v>
      </c>
      <c r="AD90" s="323" t="s">
        <v>476</v>
      </c>
      <c r="AE90" s="439">
        <f>AC90</f>
        <v>0</v>
      </c>
      <c r="AF90" s="323" t="s">
        <v>476</v>
      </c>
      <c r="AG90" s="439">
        <f>AE90</f>
        <v>0</v>
      </c>
      <c r="AH90" s="323" t="s">
        <v>476</v>
      </c>
      <c r="AN90" s="599">
        <f>IFERROR(K90*$AO$4/$AR$4,0)</f>
        <v>0</v>
      </c>
      <c r="AO90" s="599">
        <f>IFERROR(K90*$AP$4/$AR$4,0)</f>
        <v>0</v>
      </c>
      <c r="AP90" s="599">
        <f>IFERROR(K90*$AQ$4/$AR$4,0)</f>
        <v>0</v>
      </c>
      <c r="AZ90" s="318">
        <f>IFERROR(AZ45/AZ75,0)</f>
        <v>0</v>
      </c>
      <c r="BA90" s="318">
        <f>IFERROR(BA45/BA75,0)</f>
        <v>0</v>
      </c>
      <c r="BB90" s="318">
        <f>IFERROR(BB45/BB75,0)</f>
        <v>0</v>
      </c>
    </row>
    <row r="91" spans="2:54"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N91" s="599">
        <f>IFERROR(K91*$AO$4/$AR$4,0)</f>
        <v>0</v>
      </c>
      <c r="AO91" s="599">
        <f>IFERROR(K91*$AP$4/$AR$4,0)</f>
        <v>0</v>
      </c>
      <c r="AP91" s="599">
        <f>IFERROR(K91*$AQ$4/$AR$4,0)</f>
        <v>0</v>
      </c>
      <c r="AZ91" s="599"/>
    </row>
    <row r="92" spans="2:54" x14ac:dyDescent="0.3">
      <c r="B92" s="22" t="s">
        <v>88</v>
      </c>
      <c r="C92" s="1086">
        <f>'Overzicht BTA'!$C$36</f>
        <v>2026</v>
      </c>
      <c r="D92" s="321"/>
      <c r="E92" s="1086">
        <f>'Overzicht BTA'!$C$37</f>
        <v>2026</v>
      </c>
      <c r="F92" s="321"/>
      <c r="G92" s="1086">
        <v>2025</v>
      </c>
      <c r="H92" s="321"/>
      <c r="I92" s="1086">
        <v>2025</v>
      </c>
      <c r="J92" s="321"/>
      <c r="K92" s="1086">
        <v>2025</v>
      </c>
      <c r="L92" s="321"/>
      <c r="M92" s="321"/>
      <c r="N92" s="1086">
        <f>'Overzicht BTA'!$C$36</f>
        <v>2026</v>
      </c>
      <c r="O92" s="321"/>
      <c r="P92" s="1086">
        <f>'Overzicht BTA'!$C$37</f>
        <v>2026</v>
      </c>
      <c r="Q92" s="321"/>
      <c r="R92" s="1086">
        <v>2025</v>
      </c>
      <c r="S92" s="321"/>
      <c r="T92" s="1086">
        <v>2025</v>
      </c>
      <c r="U92" s="321"/>
      <c r="V92" s="1086">
        <v>2025</v>
      </c>
      <c r="W92" s="321"/>
      <c r="X92" s="321"/>
      <c r="Y92" s="1086">
        <f>'Overzicht BTA'!$C$36</f>
        <v>2026</v>
      </c>
      <c r="Z92" s="321"/>
      <c r="AA92" s="1086">
        <f>'Overzicht BTA'!$C$37</f>
        <v>2026</v>
      </c>
      <c r="AB92" s="321"/>
      <c r="AC92" s="1086">
        <v>2025</v>
      </c>
      <c r="AD92" s="321"/>
      <c r="AE92" s="1086">
        <v>2025</v>
      </c>
      <c r="AF92" s="321"/>
      <c r="AG92" s="1086">
        <v>2025</v>
      </c>
      <c r="AH92" s="321"/>
      <c r="AJ92" t="s">
        <v>480</v>
      </c>
      <c r="AN92" s="599"/>
      <c r="AZ92" s="309">
        <f>$H$92</f>
        <v>0</v>
      </c>
      <c r="BA92" s="309">
        <f>$H$92</f>
        <v>0</v>
      </c>
      <c r="BB92" s="309">
        <f>$H$92</f>
        <v>0</v>
      </c>
    </row>
    <row r="93" spans="2:54"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c r="AN93" s="89">
        <f>$K$93</f>
        <v>0</v>
      </c>
      <c r="AO93" s="89">
        <f>$K$93</f>
        <v>0</v>
      </c>
      <c r="AP93" s="89">
        <f>$K$93</f>
        <v>0</v>
      </c>
      <c r="AZ93" s="433">
        <f>IFERROR(+AZ87/AZ92,0)</f>
        <v>0</v>
      </c>
      <c r="BA93" s="433">
        <f>IFERROR(+BA87/BA92,0)</f>
        <v>0</v>
      </c>
      <c r="BB93" s="433">
        <f>IFERROR(+BB87/BB92,0)</f>
        <v>0</v>
      </c>
    </row>
    <row r="94" spans="2:54"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599"/>
      <c r="AZ94" s="309" t="e">
        <f>$H$94</f>
        <v>#N/A</v>
      </c>
      <c r="BA94" s="309" t="e">
        <f>$H$94</f>
        <v>#N/A</v>
      </c>
      <c r="BB94" s="309" t="e">
        <f>$H$94</f>
        <v>#N/A</v>
      </c>
    </row>
    <row r="95" spans="2:54" x14ac:dyDescent="0.3">
      <c r="AN95" s="610">
        <f>$K$95</f>
        <v>0</v>
      </c>
      <c r="AO95" s="610">
        <f>$K$95</f>
        <v>0</v>
      </c>
      <c r="AP95" s="610">
        <f>$K$95</f>
        <v>0</v>
      </c>
      <c r="AZ95" s="433">
        <f>IFERROR(AZ89/AZ94,0)</f>
        <v>0</v>
      </c>
      <c r="BA95" s="433">
        <f>IFERROR(BA89/BA94,0)</f>
        <v>0</v>
      </c>
      <c r="BB95" s="433">
        <f>IFERROR(BB89/BB94,0)</f>
        <v>0</v>
      </c>
    </row>
    <row r="96" spans="2:54"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473</v>
      </c>
      <c r="Q96" s="103"/>
      <c r="R96" s="104" t="s">
        <v>409</v>
      </c>
      <c r="S96" s="103"/>
      <c r="T96" s="104" t="s">
        <v>410</v>
      </c>
      <c r="U96" s="103"/>
      <c r="V96" s="104" t="s">
        <v>411</v>
      </c>
      <c r="W96" s="105"/>
      <c r="X96" s="480"/>
      <c r="Y96" s="102" t="s">
        <v>473</v>
      </c>
      <c r="Z96" s="103"/>
      <c r="AA96" s="102" t="s">
        <v>473</v>
      </c>
      <c r="AB96" s="103"/>
      <c r="AC96" s="104" t="s">
        <v>409</v>
      </c>
      <c r="AD96" s="103"/>
      <c r="AE96" s="104" t="s">
        <v>410</v>
      </c>
      <c r="AF96" s="103"/>
      <c r="AG96" s="104" t="s">
        <v>411</v>
      </c>
      <c r="AH96" s="105"/>
      <c r="AN96" s="599"/>
      <c r="AZ96" s="309">
        <f>$H$96</f>
        <v>0</v>
      </c>
      <c r="BA96" s="309">
        <f>$H$96</f>
        <v>0</v>
      </c>
      <c r="BB96" s="309">
        <f>$H$96</f>
        <v>0</v>
      </c>
    </row>
    <row r="97" spans="2:54"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599"/>
      <c r="AZ97" s="433">
        <f>IFERROR(AZ90/AZ96,0)</f>
        <v>0</v>
      </c>
      <c r="BA97" s="433">
        <f>IFERROR(BA90/BA96,0)</f>
        <v>0</v>
      </c>
      <c r="BB97" s="433">
        <f>IFERROR(BB90/BB96,0)</f>
        <v>0</v>
      </c>
    </row>
    <row r="98" spans="2:54"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318">
        <f>IFERROR(AN48/AN87,0)</f>
        <v>0</v>
      </c>
      <c r="AO98" s="318">
        <f>IFERROR(AO48/AO87,0)</f>
        <v>0</v>
      </c>
      <c r="AP98" s="318">
        <f>IFERROR(AP48/AP87,0)</f>
        <v>0</v>
      </c>
      <c r="AZ98" s="599"/>
      <c r="BA98" s="599"/>
      <c r="BB98" s="599"/>
    </row>
    <row r="99" spans="2:54"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318">
        <f>IFERROR(AN50/AN87,0)</f>
        <v>0</v>
      </c>
      <c r="AO99" s="318">
        <f>IFERROR(AO50/AO87,0)</f>
        <v>0</v>
      </c>
      <c r="AP99" s="318">
        <f>IFERROR(AP50/AP87,0)</f>
        <v>0</v>
      </c>
      <c r="AZ99" s="309">
        <f>IFERROR(AZ47/AZ78,0)</f>
        <v>0</v>
      </c>
      <c r="BA99" s="309">
        <f>IFERROR(BA47/BA78,0)</f>
        <v>0</v>
      </c>
      <c r="BB99" s="309">
        <f>IFERROR(BB47/BB78,0)</f>
        <v>0</v>
      </c>
    </row>
    <row r="100" spans="2:54"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318">
        <f>IFERROR(AN49/AN87,0)</f>
        <v>0</v>
      </c>
      <c r="AO100" s="318">
        <f>IFERROR(AO49/AO87,0)</f>
        <v>0</v>
      </c>
      <c r="AP100" s="318">
        <f>IFERROR(AP49/AP87,0)</f>
        <v>0</v>
      </c>
    </row>
    <row r="101" spans="2:54" x14ac:dyDescent="0.3">
      <c r="B101" s="310" t="s">
        <v>359</v>
      </c>
      <c r="C101" s="309">
        <f>C121*10/6*'Overzicht BTA'!$D$36</f>
        <v>0</v>
      </c>
      <c r="D101" s="315" t="s">
        <v>278</v>
      </c>
      <c r="E101" s="309">
        <f>C121*10/6*'Overzicht BTA'!$D$37</f>
        <v>0</v>
      </c>
      <c r="F101" s="315" t="s">
        <v>278</v>
      </c>
      <c r="G101" s="309">
        <f>E101</f>
        <v>0</v>
      </c>
      <c r="H101" s="315" t="s">
        <v>278</v>
      </c>
      <c r="I101" s="309">
        <f>E101</f>
        <v>0</v>
      </c>
      <c r="J101" s="315" t="s">
        <v>278</v>
      </c>
      <c r="K101" s="309">
        <f>C121*10/6*'Overzicht BTA'!$D$38</f>
        <v>0</v>
      </c>
      <c r="L101" s="315" t="s">
        <v>278</v>
      </c>
      <c r="M101" s="633"/>
      <c r="N101" s="309">
        <f>N121*10/6*'Overzicht BTA'!$D$36</f>
        <v>0</v>
      </c>
      <c r="O101" s="315" t="s">
        <v>278</v>
      </c>
      <c r="P101" s="309">
        <f>N121*10/6*'Overzicht BTA'!$D$37</f>
        <v>0</v>
      </c>
      <c r="Q101" s="315" t="s">
        <v>278</v>
      </c>
      <c r="R101" s="309">
        <f>P101</f>
        <v>0</v>
      </c>
      <c r="S101" s="315" t="s">
        <v>278</v>
      </c>
      <c r="T101" s="309">
        <f>P101</f>
        <v>0</v>
      </c>
      <c r="U101" s="315" t="s">
        <v>278</v>
      </c>
      <c r="V101" s="309">
        <f>N121*10/6*'Overzicht BTA'!$D$38</f>
        <v>0</v>
      </c>
      <c r="W101" s="315" t="s">
        <v>278</v>
      </c>
      <c r="X101" s="652"/>
      <c r="Y101" s="309">
        <f>Y121*10/6*'Overzicht BTA'!$D$36</f>
        <v>0</v>
      </c>
      <c r="Z101" s="315" t="s">
        <v>278</v>
      </c>
      <c r="AA101" s="309">
        <f>Y121*10/6*'Overzicht BTA'!$D$37</f>
        <v>0</v>
      </c>
      <c r="AB101" s="315" t="s">
        <v>278</v>
      </c>
      <c r="AC101" s="309">
        <f>AA101</f>
        <v>0</v>
      </c>
      <c r="AD101" s="315" t="s">
        <v>278</v>
      </c>
      <c r="AE101" s="309">
        <f>AA101</f>
        <v>0</v>
      </c>
      <c r="AF101" s="315" t="s">
        <v>278</v>
      </c>
      <c r="AG101" s="309">
        <f>Y121*10/6*'Overzicht BTA'!$D$38</f>
        <v>0</v>
      </c>
      <c r="AH101" s="315" t="s">
        <v>278</v>
      </c>
      <c r="AN101" s="599"/>
    </row>
    <row r="102" spans="2:54"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309">
        <f>$K$102</f>
        <v>0</v>
      </c>
      <c r="AO102" s="309">
        <f>$K$102</f>
        <v>0</v>
      </c>
      <c r="AP102" s="309">
        <f>$K$102</f>
        <v>0</v>
      </c>
    </row>
    <row r="103" spans="2:54" x14ac:dyDescent="0.3">
      <c r="B103" s="310" t="s">
        <v>361</v>
      </c>
      <c r="C103" s="309">
        <f>C101+C105</f>
        <v>199.65166666666667</v>
      </c>
      <c r="D103" s="315" t="s">
        <v>278</v>
      </c>
      <c r="E103" s="309">
        <f>E101+E105</f>
        <v>199.65166666666667</v>
      </c>
      <c r="F103" s="315" t="s">
        <v>278</v>
      </c>
      <c r="G103" s="309">
        <f>G101+G105</f>
        <v>199.65166666666667</v>
      </c>
      <c r="H103" s="315" t="s">
        <v>278</v>
      </c>
      <c r="I103" s="309">
        <f>I101+I105</f>
        <v>199.65166666666667</v>
      </c>
      <c r="J103" s="315" t="s">
        <v>278</v>
      </c>
      <c r="K103" s="309">
        <f>K101+K105</f>
        <v>199.65166666666667</v>
      </c>
      <c r="L103" s="315" t="s">
        <v>278</v>
      </c>
      <c r="M103" s="633"/>
      <c r="N103" s="309">
        <f>N101+N105</f>
        <v>199.65166666666667</v>
      </c>
      <c r="O103" s="315" t="s">
        <v>278</v>
      </c>
      <c r="P103" s="309">
        <f>P101+P105</f>
        <v>199.65166666666667</v>
      </c>
      <c r="Q103" s="315" t="s">
        <v>278</v>
      </c>
      <c r="R103" s="309">
        <f>R101+R105</f>
        <v>199.65166666666667</v>
      </c>
      <c r="S103" s="315" t="s">
        <v>278</v>
      </c>
      <c r="T103" s="309">
        <f>T101+T105</f>
        <v>199.65166666666667</v>
      </c>
      <c r="U103" s="315" t="s">
        <v>278</v>
      </c>
      <c r="V103" s="309">
        <f>V101+V105</f>
        <v>199.65166666666667</v>
      </c>
      <c r="W103" s="315" t="s">
        <v>278</v>
      </c>
      <c r="X103" s="652"/>
      <c r="Y103" s="309">
        <f>Y101+Y105</f>
        <v>199.65166666666667</v>
      </c>
      <c r="Z103" s="315" t="s">
        <v>278</v>
      </c>
      <c r="AA103" s="309">
        <f>AA101+AA105</f>
        <v>199.65166666666667</v>
      </c>
      <c r="AB103" s="315" t="s">
        <v>278</v>
      </c>
      <c r="AC103" s="309">
        <f>AC101+AC105</f>
        <v>199.65166666666667</v>
      </c>
      <c r="AD103" s="315" t="s">
        <v>278</v>
      </c>
      <c r="AE103" s="309">
        <f>AE101+AE105</f>
        <v>199.65166666666667</v>
      </c>
      <c r="AF103" s="315" t="s">
        <v>278</v>
      </c>
      <c r="AG103" s="309">
        <f>AG101+AG105</f>
        <v>199.65166666666667</v>
      </c>
      <c r="AH103" s="315" t="s">
        <v>278</v>
      </c>
      <c r="AN103" s="433">
        <f>IFERROR(+AN98/AN102,0)</f>
        <v>0</v>
      </c>
      <c r="AO103" s="433">
        <f>IFERROR(+AO98/AO102,0)</f>
        <v>0</v>
      </c>
      <c r="AP103" s="433">
        <f>IFERROR(+AP98/AP102,0)</f>
        <v>0</v>
      </c>
    </row>
    <row r="104" spans="2:54"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309">
        <f>$K$104</f>
        <v>0</v>
      </c>
      <c r="AO104" s="309">
        <f>$K$104</f>
        <v>0</v>
      </c>
      <c r="AP104" s="309">
        <f>$K$104</f>
        <v>0</v>
      </c>
    </row>
    <row r="105" spans="2:54" x14ac:dyDescent="0.3">
      <c r="B105" s="310" t="s">
        <v>362</v>
      </c>
      <c r="C105" s="309">
        <f>C122*10/6*'Overzicht BTA'!$D$36</f>
        <v>199.65166666666667</v>
      </c>
      <c r="D105" s="315" t="s">
        <v>278</v>
      </c>
      <c r="E105" s="309">
        <f>C122*10/6*'Overzicht BTA'!$D$37</f>
        <v>199.65166666666667</v>
      </c>
      <c r="F105" s="315" t="s">
        <v>278</v>
      </c>
      <c r="G105" s="309">
        <f>E105</f>
        <v>199.65166666666667</v>
      </c>
      <c r="H105" s="315" t="s">
        <v>278</v>
      </c>
      <c r="I105" s="309">
        <f>E105</f>
        <v>199.65166666666667</v>
      </c>
      <c r="J105" s="315" t="s">
        <v>278</v>
      </c>
      <c r="K105" s="309">
        <f>C122*10/6*'Overzicht BTA'!$D$38</f>
        <v>199.65166666666667</v>
      </c>
      <c r="L105" s="315" t="s">
        <v>278</v>
      </c>
      <c r="M105" s="633"/>
      <c r="N105" s="309">
        <f>N122*10/6*'Overzicht BTA'!$D$36</f>
        <v>199.65166666666667</v>
      </c>
      <c r="O105" s="315" t="s">
        <v>278</v>
      </c>
      <c r="P105" s="309">
        <f>N122*10/6*'Overzicht BTA'!$D$37</f>
        <v>199.65166666666667</v>
      </c>
      <c r="Q105" s="315" t="s">
        <v>278</v>
      </c>
      <c r="R105" s="309">
        <f>P105</f>
        <v>199.65166666666667</v>
      </c>
      <c r="S105" s="315" t="s">
        <v>278</v>
      </c>
      <c r="T105" s="309">
        <f>P105</f>
        <v>199.65166666666667</v>
      </c>
      <c r="U105" s="315" t="s">
        <v>278</v>
      </c>
      <c r="V105" s="309">
        <f>N122*10/6*'Overzicht BTA'!$D$38</f>
        <v>199.65166666666667</v>
      </c>
      <c r="W105" s="315" t="s">
        <v>278</v>
      </c>
      <c r="X105" s="652"/>
      <c r="Y105" s="309">
        <f>Y122*10/6*'Overzicht BTA'!$D$36</f>
        <v>199.65166666666667</v>
      </c>
      <c r="Z105" s="315" t="s">
        <v>278</v>
      </c>
      <c r="AA105" s="309">
        <f>Y122*10/6*'Overzicht BTA'!$D$37</f>
        <v>199.65166666666667</v>
      </c>
      <c r="AB105" s="315" t="s">
        <v>278</v>
      </c>
      <c r="AC105" s="309">
        <f>AA105</f>
        <v>199.65166666666667</v>
      </c>
      <c r="AD105" s="315" t="s">
        <v>278</v>
      </c>
      <c r="AE105" s="309">
        <f>AA105</f>
        <v>199.65166666666667</v>
      </c>
      <c r="AF105" s="315" t="s">
        <v>278</v>
      </c>
      <c r="AG105" s="309">
        <f>Y122*10/6*'Overzicht BTA'!$D$38</f>
        <v>199.65166666666667</v>
      </c>
      <c r="AH105" s="315" t="s">
        <v>278</v>
      </c>
      <c r="AN105" s="433">
        <f>IFERROR(AN99/AN104,0)</f>
        <v>0</v>
      </c>
      <c r="AO105" s="433">
        <f>IFERROR(AO99/AO104,0)</f>
        <v>0</v>
      </c>
      <c r="AP105" s="433">
        <f>IFERROR(AP99/AP104,0)</f>
        <v>0</v>
      </c>
    </row>
    <row r="106" spans="2:54"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309">
        <f>$K$106</f>
        <v>0</v>
      </c>
      <c r="AO106" s="309">
        <f>$K$106</f>
        <v>0</v>
      </c>
      <c r="AP106" s="309">
        <f>$K$106</f>
        <v>0</v>
      </c>
    </row>
    <row r="107" spans="2:54"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433">
        <f>IFERROR(AN100/AN106,0)</f>
        <v>0</v>
      </c>
      <c r="AO107" s="433">
        <f>IFERROR(AO100/AO106,0)</f>
        <v>0</v>
      </c>
      <c r="AP107" s="433">
        <f>IFERROR(AP100/AP106,0)</f>
        <v>0</v>
      </c>
    </row>
    <row r="108" spans="2:54" x14ac:dyDescent="0.3">
      <c r="B108" s="310" t="s">
        <v>483</v>
      </c>
      <c r="C108" s="1036" t="e">
        <f>C51/C90</f>
        <v>#DIV/0!</v>
      </c>
      <c r="D108" s="308"/>
      <c r="E108" s="1036" t="e">
        <f>E51/E90</f>
        <v>#DIV/0!</v>
      </c>
      <c r="F108" s="308"/>
      <c r="G108" s="1036" t="e">
        <f>G51/G90</f>
        <v>#DIV/0!</v>
      </c>
      <c r="H108" s="308"/>
      <c r="I108" s="1036" t="e">
        <f>I51/I90</f>
        <v>#DIV/0!</v>
      </c>
      <c r="J108" s="308"/>
      <c r="K108" s="1036" t="e">
        <f>K51/K90</f>
        <v>#DIV/0!</v>
      </c>
      <c r="L108" s="308"/>
      <c r="M108" s="311"/>
      <c r="N108" s="1036" t="e">
        <f>N51/N90</f>
        <v>#DIV/0!</v>
      </c>
      <c r="O108" s="308"/>
      <c r="P108" s="1036" t="e">
        <f>P51/P90</f>
        <v>#DIV/0!</v>
      </c>
      <c r="Q108" s="308"/>
      <c r="R108" s="1036" t="e">
        <f>R51/R90</f>
        <v>#DIV/0!</v>
      </c>
      <c r="S108" s="308"/>
      <c r="T108" s="1036" t="e">
        <f>T51/T90</f>
        <v>#DIV/0!</v>
      </c>
      <c r="U108" s="308"/>
      <c r="V108" s="1036" t="e">
        <f>V51/V90</f>
        <v>#DIV/0!</v>
      </c>
      <c r="W108" s="308"/>
      <c r="X108" s="654"/>
      <c r="Y108" s="1036" t="e">
        <f>Y51/Y90</f>
        <v>#DIV/0!</v>
      </c>
      <c r="Z108" s="308"/>
      <c r="AA108" s="1036" t="e">
        <f>AA51/AA90</f>
        <v>#DIV/0!</v>
      </c>
      <c r="AB108" s="308"/>
      <c r="AC108" s="1036" t="e">
        <f>AC51/AC90</f>
        <v>#DIV/0!</v>
      </c>
      <c r="AD108" s="308"/>
      <c r="AE108" s="1036" t="e">
        <f>AE51/AE90</f>
        <v>#DIV/0!</v>
      </c>
      <c r="AF108" s="308"/>
      <c r="AG108" s="1036" t="e">
        <f>AG51/AG90</f>
        <v>#DIV/0!</v>
      </c>
      <c r="AH108" s="308"/>
      <c r="AN108" s="599"/>
      <c r="AO108" s="599"/>
      <c r="AP108" s="599"/>
    </row>
    <row r="109" spans="2:54"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309">
        <f>IFERROR(AN51/AN91,0)</f>
        <v>0</v>
      </c>
      <c r="AO109" s="309">
        <f>IFERROR(AO51/AO91,0)</f>
        <v>0</v>
      </c>
      <c r="AP109" s="309">
        <f>IFERROR(AP51/AP91,0)</f>
        <v>0</v>
      </c>
    </row>
    <row r="110" spans="2:54"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54"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104">AG111+V111+K111</f>
        <v>0</v>
      </c>
      <c r="AM111" s="820" t="str">
        <f>IF(ISNUMBER(ROUND(AL111/(C24+N24+Y24),2)),ROUND(AL111/(C24+N24+Y24),2),"/")</f>
        <v>/</v>
      </c>
    </row>
    <row r="112" spans="2:54"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104"/>
        <v>0</v>
      </c>
      <c r="AM112" s="820" t="str">
        <f>IF(ISNUMBER(ROUND(AL112/(Y31+C31+N31),2)),ROUND(AL112/(Y31+C31+N31),2),"/")</f>
        <v>/</v>
      </c>
    </row>
    <row r="113" spans="2:39"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104"/>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104"/>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104"/>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104"/>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104"/>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104"/>
        <v>0</v>
      </c>
      <c r="AM118" s="820" t="str">
        <f>IF(ISNUMBER(ROUND(AL118/(C54+N54+Y54),2)),ROUND(AL118/(C54+N54+Y54),2),"/")</f>
        <v>/</v>
      </c>
    </row>
    <row r="119" spans="2:39" x14ac:dyDescent="0.3">
      <c r="L119" s="18"/>
      <c r="M119" s="18"/>
      <c r="AI119" s="18"/>
      <c r="AJ119" s="18"/>
    </row>
    <row r="120" spans="2:39" x14ac:dyDescent="0.3">
      <c r="B120" s="299" t="s">
        <v>489</v>
      </c>
      <c r="L120" s="18"/>
      <c r="M120" s="18"/>
    </row>
    <row r="121" spans="2:39" x14ac:dyDescent="0.3">
      <c r="B121" s="249" t="s">
        <v>490</v>
      </c>
      <c r="C121" s="298">
        <f>VLOOKUP('Bouwkost UITB'!C8,'Capaciteiten &amp; forfaits'!$B$3:$H$71,6,FALSE)*0.75</f>
        <v>0</v>
      </c>
      <c r="L121" s="18"/>
      <c r="N121" s="298">
        <f>VLOOKUP('Bouwkost UITB'!N8,'Capaciteiten &amp; forfaits'!$B$3:$H$71,6,FALSE)*0.75</f>
        <v>0</v>
      </c>
      <c r="Y121" s="298">
        <f>VLOOKUP('Bouwkost UITB'!Y8,'Capaciteiten &amp; forfaits'!$B$3:$H$71,6,FALSE)*0.75</f>
        <v>0</v>
      </c>
    </row>
    <row r="122" spans="2:39" x14ac:dyDescent="0.3">
      <c r="B122" s="249" t="s">
        <v>491</v>
      </c>
      <c r="C122" s="297">
        <v>50</v>
      </c>
      <c r="E122" s="296"/>
      <c r="N122" s="297">
        <v>50</v>
      </c>
      <c r="Y122" s="297">
        <v>50</v>
      </c>
    </row>
    <row r="126" spans="2:39" x14ac:dyDescent="0.3">
      <c r="D126" s="294"/>
      <c r="E126" s="294"/>
      <c r="F126" s="294"/>
      <c r="G126" s="294"/>
    </row>
    <row r="127" spans="2:39" x14ac:dyDescent="0.3">
      <c r="D127" s="294"/>
      <c r="E127" s="294"/>
      <c r="F127" s="294"/>
      <c r="G127" s="294"/>
    </row>
    <row r="128" spans="2:39" x14ac:dyDescent="0.3">
      <c r="D128" s="294"/>
      <c r="E128" s="295"/>
      <c r="F128" s="294"/>
      <c r="G128" s="294"/>
    </row>
    <row r="129" spans="4:7" x14ac:dyDescent="0.3">
      <c r="D129" s="294"/>
      <c r="E129" s="295"/>
      <c r="F129" s="294"/>
      <c r="G129" s="294"/>
    </row>
    <row r="130" spans="4:7" x14ac:dyDescent="0.3">
      <c r="D130" s="294"/>
      <c r="E130" s="295"/>
      <c r="F130" s="294"/>
      <c r="G130" s="294"/>
    </row>
    <row r="131" spans="4:7" x14ac:dyDescent="0.3">
      <c r="E131" s="294"/>
      <c r="F131" s="294"/>
      <c r="G131" s="294"/>
    </row>
    <row r="132" spans="4:7" x14ac:dyDescent="0.3">
      <c r="E132" s="294"/>
      <c r="F132" s="294"/>
      <c r="G132" s="294"/>
    </row>
    <row r="133" spans="4:7" x14ac:dyDescent="0.3">
      <c r="E133" s="294"/>
    </row>
    <row r="134" spans="4:7" x14ac:dyDescent="0.3">
      <c r="E134" s="294"/>
    </row>
    <row r="135" spans="4:7" x14ac:dyDescent="0.3">
      <c r="E135" s="294"/>
    </row>
  </sheetData>
  <mergeCells count="19">
    <mergeCell ref="N12:P12"/>
    <mergeCell ref="Y12:AA12"/>
    <mergeCell ref="G3:L3"/>
    <mergeCell ref="C13:E13"/>
    <mergeCell ref="N13:P13"/>
    <mergeCell ref="Y13:AA13"/>
    <mergeCell ref="C10:E10"/>
    <mergeCell ref="N10:P10"/>
    <mergeCell ref="Y10:AA10"/>
    <mergeCell ref="C11:E11"/>
    <mergeCell ref="N11:P11"/>
    <mergeCell ref="Y11:AA11"/>
    <mergeCell ref="C12:E12"/>
    <mergeCell ref="AJ5:AT5"/>
    <mergeCell ref="C1:E1"/>
    <mergeCell ref="C4:E4"/>
    <mergeCell ref="C8:L8"/>
    <mergeCell ref="N8:W8"/>
    <mergeCell ref="Y8:AH8"/>
  </mergeCells>
  <conditionalFormatting sqref="Y16">
    <cfRule type="expression" dxfId="326" priority="133">
      <formula>Y22&lt;0</formula>
    </cfRule>
  </conditionalFormatting>
  <conditionalFormatting sqref="C39">
    <cfRule type="expression" dxfId="325" priority="166">
      <formula>C45&lt;0</formula>
    </cfRule>
  </conditionalFormatting>
  <conditionalFormatting sqref="N24">
    <cfRule type="expression" dxfId="324" priority="163">
      <formula>N30&lt;0</formula>
    </cfRule>
  </conditionalFormatting>
  <conditionalFormatting sqref="Y31">
    <cfRule type="expression" dxfId="323" priority="136">
      <formula>Y37&lt;0</formula>
    </cfRule>
  </conditionalFormatting>
  <conditionalFormatting sqref="N39">
    <cfRule type="expression" dxfId="322" priority="157">
      <formula>N45&lt;0</formula>
    </cfRule>
  </conditionalFormatting>
  <conditionalFormatting sqref="Y39">
    <cfRule type="expression" dxfId="321" priority="135">
      <formula>Y45&lt;0</formula>
    </cfRule>
  </conditionalFormatting>
  <conditionalFormatting sqref="C24">
    <cfRule type="expression" dxfId="320" priority="173">
      <formula>C30&lt;0</formula>
    </cfRule>
  </conditionalFormatting>
  <conditionalFormatting sqref="C31">
    <cfRule type="expression" dxfId="319" priority="167">
      <formula>C37&lt;0</formula>
    </cfRule>
  </conditionalFormatting>
  <conditionalFormatting sqref="C49">
    <cfRule type="expression" dxfId="318" priority="165">
      <formula>C59&lt;0</formula>
    </cfRule>
  </conditionalFormatting>
  <conditionalFormatting sqref="C16">
    <cfRule type="expression" dxfId="317" priority="164">
      <formula>C22&lt;0</formula>
    </cfRule>
  </conditionalFormatting>
  <conditionalFormatting sqref="N31">
    <cfRule type="expression" dxfId="316" priority="158">
      <formula>N37&lt;0</formula>
    </cfRule>
  </conditionalFormatting>
  <conditionalFormatting sqref="N49">
    <cfRule type="expression" dxfId="315" priority="156">
      <formula>N59&lt;0</formula>
    </cfRule>
  </conditionalFormatting>
  <conditionalFormatting sqref="N16">
    <cfRule type="expression" dxfId="314" priority="155">
      <formula>N22&lt;0</formula>
    </cfRule>
  </conditionalFormatting>
  <conditionalFormatting sqref="K24">
    <cfRule type="expression" dxfId="313" priority="114">
      <formula>K30&lt;0</formula>
    </cfRule>
  </conditionalFormatting>
  <conditionalFormatting sqref="E16">
    <cfRule type="expression" dxfId="312" priority="111">
      <formula>E22&lt;0</formula>
    </cfRule>
  </conditionalFormatting>
  <conditionalFormatting sqref="Y24">
    <cfRule type="expression" dxfId="311" priority="142">
      <formula>Y30&lt;0</formula>
    </cfRule>
  </conditionalFormatting>
  <conditionalFormatting sqref="Y49">
    <cfRule type="expression" dxfId="310" priority="134">
      <formula>Y59&lt;0</formula>
    </cfRule>
  </conditionalFormatting>
  <conditionalFormatting sqref="P39">
    <cfRule type="expression" dxfId="309" priority="94">
      <formula>P45&lt;0</formula>
    </cfRule>
  </conditionalFormatting>
  <conditionalFormatting sqref="P16">
    <cfRule type="expression" dxfId="308" priority="98">
      <formula>P22&lt;0</formula>
    </cfRule>
  </conditionalFormatting>
  <conditionalFormatting sqref="P31">
    <cfRule type="expression" dxfId="307" priority="95">
      <formula>P37&lt;0</formula>
    </cfRule>
  </conditionalFormatting>
  <conditionalFormatting sqref="E51">
    <cfRule type="expression" dxfId="306" priority="105">
      <formula>E58&lt;0</formula>
    </cfRule>
  </conditionalFormatting>
  <conditionalFormatting sqref="G49">
    <cfRule type="expression" dxfId="305" priority="102">
      <formula>G55&lt;0</formula>
    </cfRule>
  </conditionalFormatting>
  <conditionalFormatting sqref="E49">
    <cfRule type="expression" dxfId="304" priority="106">
      <formula>E55&lt;0</formula>
    </cfRule>
  </conditionalFormatting>
  <conditionalFormatting sqref="E56">
    <cfRule type="expression" dxfId="303" priority="103">
      <formula>E63&lt;0</formula>
    </cfRule>
  </conditionalFormatting>
  <conditionalFormatting sqref="K63">
    <cfRule type="expression" dxfId="302" priority="110">
      <formula>K79&lt;0</formula>
    </cfRule>
  </conditionalFormatting>
  <conditionalFormatting sqref="K31">
    <cfRule type="expression" dxfId="301" priority="113">
      <formula>K38&lt;0</formula>
    </cfRule>
  </conditionalFormatting>
  <conditionalFormatting sqref="K39">
    <cfRule type="expression" dxfId="300" priority="112">
      <formula>K47&lt;0</formula>
    </cfRule>
  </conditionalFormatting>
  <conditionalFormatting sqref="E24">
    <cfRule type="expression" dxfId="299" priority="109">
      <formula>E30&lt;0</formula>
    </cfRule>
  </conditionalFormatting>
  <conditionalFormatting sqref="E31">
    <cfRule type="expression" dxfId="298" priority="108">
      <formula>E37&lt;0</formula>
    </cfRule>
  </conditionalFormatting>
  <conditionalFormatting sqref="E39">
    <cfRule type="expression" dxfId="297" priority="107">
      <formula>E45&lt;0</formula>
    </cfRule>
  </conditionalFormatting>
  <conditionalFormatting sqref="E54">
    <cfRule type="expression" dxfId="296" priority="104">
      <formula>E61&lt;0</formula>
    </cfRule>
  </conditionalFormatting>
  <conditionalFormatting sqref="V24">
    <cfRule type="expression" dxfId="295" priority="101">
      <formula>V30&lt;0</formula>
    </cfRule>
  </conditionalFormatting>
  <conditionalFormatting sqref="V63">
    <cfRule type="expression" dxfId="294" priority="97">
      <formula>V79&lt;0</formula>
    </cfRule>
  </conditionalFormatting>
  <conditionalFormatting sqref="V31">
    <cfRule type="expression" dxfId="293" priority="100">
      <formula>V38&lt;0</formula>
    </cfRule>
  </conditionalFormatting>
  <conditionalFormatting sqref="V39">
    <cfRule type="expression" dxfId="292" priority="99">
      <formula>V47&lt;0</formula>
    </cfRule>
  </conditionalFormatting>
  <conditionalFormatting sqref="P24">
    <cfRule type="expression" dxfId="291" priority="96">
      <formula>P30&lt;0</formula>
    </cfRule>
  </conditionalFormatting>
  <conditionalFormatting sqref="P49">
    <cfRule type="expression" dxfId="290" priority="93">
      <formula>P55&lt;0</formula>
    </cfRule>
  </conditionalFormatting>
  <conditionalFormatting sqref="P51">
    <cfRule type="expression" dxfId="289" priority="92">
      <formula>P58&lt;0</formula>
    </cfRule>
  </conditionalFormatting>
  <conditionalFormatting sqref="P54">
    <cfRule type="expression" dxfId="288" priority="91">
      <formula>P61&lt;0</formula>
    </cfRule>
  </conditionalFormatting>
  <conditionalFormatting sqref="P56">
    <cfRule type="expression" dxfId="287" priority="90">
      <formula>P63&lt;0</formula>
    </cfRule>
  </conditionalFormatting>
  <conditionalFormatting sqref="R49">
    <cfRule type="expression" dxfId="286" priority="89">
      <formula>R55&lt;0</formula>
    </cfRule>
  </conditionalFormatting>
  <conditionalFormatting sqref="AG24">
    <cfRule type="expression" dxfId="285" priority="88">
      <formula>AG30&lt;0</formula>
    </cfRule>
  </conditionalFormatting>
  <conditionalFormatting sqref="AG63">
    <cfRule type="expression" dxfId="284" priority="84">
      <formula>AG79&lt;0</formula>
    </cfRule>
  </conditionalFormatting>
  <conditionalFormatting sqref="AG31">
    <cfRule type="expression" dxfId="283" priority="87">
      <formula>AG38&lt;0</formula>
    </cfRule>
  </conditionalFormatting>
  <conditionalFormatting sqref="AG39">
    <cfRule type="expression" dxfId="282" priority="86">
      <formula>AG47&lt;0</formula>
    </cfRule>
  </conditionalFormatting>
  <conditionalFormatting sqref="AA16">
    <cfRule type="expression" dxfId="281" priority="85">
      <formula>AA22&lt;0</formula>
    </cfRule>
  </conditionalFormatting>
  <conditionalFormatting sqref="AA24">
    <cfRule type="expression" dxfId="280" priority="83">
      <formula>AA30&lt;0</formula>
    </cfRule>
  </conditionalFormatting>
  <conditionalFormatting sqref="AA31">
    <cfRule type="expression" dxfId="279" priority="82">
      <formula>AA37&lt;0</formula>
    </cfRule>
  </conditionalFormatting>
  <conditionalFormatting sqref="AA39">
    <cfRule type="expression" dxfId="278" priority="81">
      <formula>AA45&lt;0</formula>
    </cfRule>
  </conditionalFormatting>
  <conditionalFormatting sqref="AA49">
    <cfRule type="expression" dxfId="277" priority="80">
      <formula>AA55&lt;0</formula>
    </cfRule>
  </conditionalFormatting>
  <conditionalFormatting sqref="AA51">
    <cfRule type="expression" dxfId="276" priority="79">
      <formula>AA58&lt;0</formula>
    </cfRule>
  </conditionalFormatting>
  <conditionalFormatting sqref="AA54">
    <cfRule type="expression" dxfId="275" priority="78">
      <formula>AA61&lt;0</formula>
    </cfRule>
  </conditionalFormatting>
  <conditionalFormatting sqref="AA56">
    <cfRule type="expression" dxfId="274" priority="77">
      <formula>AA63&lt;0</formula>
    </cfRule>
  </conditionalFormatting>
  <conditionalFormatting sqref="AC49">
    <cfRule type="expression" dxfId="273" priority="76">
      <formula>AC55&lt;0</formula>
    </cfRule>
  </conditionalFormatting>
  <conditionalFormatting sqref="E57">
    <cfRule type="expression" dxfId="272" priority="75">
      <formula>E64&lt;0</formula>
    </cfRule>
  </conditionalFormatting>
  <conditionalFormatting sqref="P57">
    <cfRule type="expression" dxfId="271" priority="74">
      <formula>P64&lt;0</formula>
    </cfRule>
  </conditionalFormatting>
  <conditionalFormatting sqref="AA57">
    <cfRule type="expression" dxfId="270" priority="73">
      <formula>AA64&lt;0</formula>
    </cfRule>
  </conditionalFormatting>
  <conditionalFormatting sqref="C93 E93 G93 I93 K93">
    <cfRule type="expression" dxfId="269" priority="5">
      <formula>AND(C84&gt;0,C93=0)</formula>
    </cfRule>
  </conditionalFormatting>
  <conditionalFormatting sqref="C92 E92 G92 I92 K92">
    <cfRule type="expression" dxfId="268" priority="6">
      <formula>AND(C81&gt;0,C92=0)</formula>
    </cfRule>
  </conditionalFormatting>
  <conditionalFormatting sqref="N93 P93 R93 T93 V93">
    <cfRule type="expression" dxfId="267" priority="3">
      <formula>AND(N84&gt;0,N93=0)</formula>
    </cfRule>
  </conditionalFormatting>
  <conditionalFormatting sqref="N92 P92 R92 T92 V92">
    <cfRule type="expression" dxfId="266" priority="4">
      <formula>AND(N81&gt;0,N92=0)</formula>
    </cfRule>
  </conditionalFormatting>
  <conditionalFormatting sqref="Y93 AA93 AC93 AE93 AG93">
    <cfRule type="expression" dxfId="265" priority="1">
      <formula>AND(Y84&gt;0,Y93=0)</formula>
    </cfRule>
  </conditionalFormatting>
  <conditionalFormatting sqref="Y92 AA92 AC92 AE92 AG92">
    <cfRule type="expression" dxfId="264"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A98B9F4-18A2-4BB4-8524-F1A261BC9ED8}">
          <x14:formula1>
            <xm:f>Bouwindex_ABEX!$Q$3:$Q$34</xm:f>
          </x14:formula1>
          <xm:sqref>N92 P92 R92 T92 V92 C92 E92 G92 I92 K92 Y92 AA92 AC92 AE92 AG92</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700DC-0E11-4248-8642-24126E2B04AE}">
  <sheetPr codeName="Blad35">
    <pageSetUpPr fitToPage="1"/>
  </sheetPr>
  <dimension ref="A1:AAL136"/>
  <sheetViews>
    <sheetView topLeftCell="A59" zoomScale="112" zoomScaleNormal="112" workbookViewId="0">
      <selection activeCell="I84" sqref="I84"/>
    </sheetView>
  </sheetViews>
  <sheetFormatPr defaultRowHeight="14.4" outlineLevelRow="1" x14ac:dyDescent="0.3"/>
  <cols>
    <col min="1" max="1" width="2.33203125" customWidth="1"/>
    <col min="2" max="2" width="39.44140625" customWidth="1"/>
    <col min="3" max="3" width="15.44140625" customWidth="1"/>
    <col min="4" max="4" width="6.44140625" customWidth="1"/>
    <col min="5" max="5" width="25.109375" customWidth="1"/>
    <col min="6" max="6" width="5.88671875" customWidth="1"/>
    <col min="7" max="7" width="18.5546875" customWidth="1"/>
    <col min="8" max="8" width="5.88671875" customWidth="1"/>
    <col min="9" max="9" width="11.44140625" customWidth="1"/>
    <col min="10" max="10" width="5.88671875" customWidth="1"/>
    <col min="11" max="11" width="15.33203125" customWidth="1"/>
    <col min="12" max="12" width="5.88671875" customWidth="1"/>
    <col min="13" max="13" width="2.88671875" customWidth="1"/>
    <col min="14" max="14" width="15.6640625" customWidth="1"/>
    <col min="15" max="15" width="6.44140625" customWidth="1"/>
    <col min="16" max="16" width="20.33203125" customWidth="1"/>
    <col min="17" max="17" width="5.88671875" customWidth="1"/>
    <col min="18" max="18" width="18.5546875" customWidth="1"/>
    <col min="19" max="19" width="5.88671875" customWidth="1"/>
    <col min="20" max="20" width="11.44140625" customWidth="1"/>
    <col min="21" max="21" width="5.88671875" customWidth="1"/>
    <col min="22" max="22" width="15.33203125" customWidth="1"/>
    <col min="23" max="23" width="6.33203125" customWidth="1"/>
    <col min="24" max="24" width="2.6640625" customWidth="1"/>
    <col min="25" max="25" width="15.6640625" customWidth="1"/>
    <col min="26" max="26" width="5.88671875" customWidth="1"/>
    <col min="27" max="27" width="20.33203125" customWidth="1"/>
    <col min="28" max="28" width="5.88671875" customWidth="1"/>
    <col min="29" max="29" width="18.5546875" customWidth="1"/>
    <col min="30" max="30" width="5.88671875" customWidth="1"/>
    <col min="31" max="31" width="11.44140625" customWidth="1"/>
    <col min="32" max="32" width="5.88671875" customWidth="1"/>
    <col min="33" max="33" width="15.33203125" customWidth="1"/>
    <col min="34" max="34" width="6.33203125" customWidth="1"/>
    <col min="35" max="35" width="8.88671875" customWidth="1"/>
    <col min="36" max="36" width="67" bestFit="1" customWidth="1"/>
    <col min="38" max="39" width="8.88671875" hidden="1" customWidth="1"/>
    <col min="40" max="42" width="25.33203125" hidden="1" customWidth="1"/>
    <col min="43" max="44" width="8.88671875" hidden="1" customWidth="1"/>
    <col min="55" max="55" width="9.109375" customWidth="1"/>
  </cols>
  <sheetData>
    <row r="1" spans="1:65" ht="18.600000000000001" hidden="1" thickBot="1" x14ac:dyDescent="0.4">
      <c r="B1" s="692" t="s">
        <v>3</v>
      </c>
      <c r="C1" s="1259">
        <f>'Overzicht project'!I4</f>
        <v>0</v>
      </c>
      <c r="D1" s="1260"/>
      <c r="E1" s="1260"/>
      <c r="F1" s="669"/>
      <c r="G1" s="661"/>
      <c r="H1" s="606"/>
      <c r="I1" s="606"/>
      <c r="J1" s="606"/>
      <c r="K1" s="662"/>
    </row>
    <row r="2" spans="1:65" ht="15" customHeight="1" thickBot="1" x14ac:dyDescent="0.4">
      <c r="B2" s="694" t="s">
        <v>396</v>
      </c>
      <c r="E2" s="673"/>
      <c r="M2" s="340"/>
      <c r="AO2" s="780" t="s">
        <v>25</v>
      </c>
      <c r="AP2" s="780" t="s">
        <v>25</v>
      </c>
      <c r="AQ2" s="780" t="s">
        <v>25</v>
      </c>
      <c r="AR2" s="780" t="s">
        <v>167</v>
      </c>
    </row>
    <row r="3" spans="1:65" ht="15.6" customHeight="1" x14ac:dyDescent="0.35">
      <c r="B3" s="697" t="str">
        <f>IF(OR(ISNUMBER(MATCH(Bron!A8,'Overzicht project'!C48:C51,0)),ISNUMBER(MATCH(Bron!A8,'Overzicht project'!C55:C58,0)),ISNUMBER(MATCH(Bron!A8,'Overzicht project'!C62:C65,0))),Bron!B8,Bron!B9)</f>
        <v>Nieuwbouw 6-12-21%</v>
      </c>
      <c r="C3" s="735" t="str">
        <f>Bron!B8</f>
        <v>Nieuwbouw 21%</v>
      </c>
      <c r="D3" s="675"/>
      <c r="E3" s="676"/>
      <c r="M3" s="340"/>
      <c r="AI3" s="786"/>
      <c r="AJ3" s="785" t="s">
        <v>492</v>
      </c>
      <c r="AK3" s="781"/>
      <c r="AL3" s="781"/>
      <c r="AM3" s="781"/>
      <c r="AN3" s="781"/>
      <c r="AO3" s="781"/>
      <c r="AP3" s="782"/>
      <c r="AQ3" s="783"/>
      <c r="AR3" s="791"/>
      <c r="AS3" s="792"/>
      <c r="AT3" s="784"/>
    </row>
    <row r="4" spans="1:65" ht="34.200000000000003" customHeight="1" thickBot="1" x14ac:dyDescent="0.4">
      <c r="B4" s="698" t="s">
        <v>493</v>
      </c>
      <c r="C4" s="736" t="str">
        <f>Bron!B9</f>
        <v>Nieuwbouw 6-12-21%</v>
      </c>
      <c r="D4" s="675"/>
      <c r="E4" s="676"/>
      <c r="AI4" s="786"/>
      <c r="AJ4" s="1265" t="s">
        <v>1462</v>
      </c>
      <c r="AK4" s="1266"/>
      <c r="AL4" s="1266"/>
      <c r="AM4" s="1266"/>
      <c r="AN4" s="1266"/>
      <c r="AO4" s="1266"/>
      <c r="AP4" s="1266"/>
      <c r="AQ4" s="1266"/>
      <c r="AR4" s="1266"/>
      <c r="AS4" s="1266"/>
      <c r="AT4" s="1267"/>
    </row>
    <row r="5" spans="1:65" ht="18" hidden="1" customHeight="1" x14ac:dyDescent="0.35">
      <c r="B5" s="696" t="s">
        <v>399</v>
      </c>
      <c r="C5" s="1261">
        <f>'Overzicht project'!B34</f>
        <v>0</v>
      </c>
      <c r="D5" s="1262"/>
      <c r="E5" s="1262"/>
      <c r="F5" s="669"/>
      <c r="AI5" s="786"/>
      <c r="AJ5" s="789"/>
      <c r="AK5" s="787"/>
      <c r="AL5" s="787"/>
      <c r="AM5" s="787"/>
      <c r="AN5" s="787"/>
      <c r="AO5" s="787"/>
      <c r="AP5" s="787"/>
      <c r="AQ5" s="787"/>
      <c r="AR5" s="787"/>
      <c r="AS5" s="787"/>
      <c r="AT5" s="788"/>
    </row>
    <row r="6" spans="1:65" ht="18" hidden="1" customHeight="1" x14ac:dyDescent="0.35">
      <c r="B6" s="719"/>
      <c r="C6" s="720"/>
      <c r="D6" s="720"/>
      <c r="E6" s="718"/>
      <c r="F6" s="669"/>
      <c r="AI6" s="786"/>
      <c r="AJ6" s="789"/>
      <c r="AK6" s="787"/>
      <c r="AL6" s="787"/>
      <c r="AM6" s="787"/>
      <c r="AN6" s="787"/>
      <c r="AO6" s="787"/>
      <c r="AP6" s="787"/>
      <c r="AQ6" s="787"/>
      <c r="AR6" s="787"/>
      <c r="AS6" s="787"/>
      <c r="AT6" s="788"/>
    </row>
    <row r="7" spans="1:65" s="106" customFormat="1" ht="18" hidden="1" customHeight="1" x14ac:dyDescent="0.35">
      <c r="A7" s="734" t="b">
        <v>0</v>
      </c>
      <c r="E7" s="778"/>
      <c r="AI7" s="790"/>
      <c r="AJ7" s="1268" t="s">
        <v>494</v>
      </c>
      <c r="AK7" s="1269"/>
      <c r="AL7" s="1269"/>
      <c r="AM7" s="1269"/>
      <c r="AN7" s="1269"/>
      <c r="AO7" s="1269"/>
      <c r="AP7" s="1269"/>
      <c r="AQ7" s="1269"/>
      <c r="AR7" s="1269"/>
      <c r="AS7" s="1269"/>
      <c r="AT7" s="1270"/>
    </row>
    <row r="8" spans="1:65" ht="6.6" hidden="1" customHeight="1" x14ac:dyDescent="0.3">
      <c r="B8" s="1264"/>
      <c r="C8" s="1264"/>
      <c r="D8" s="1264"/>
      <c r="E8" s="1264"/>
      <c r="F8" s="1264"/>
      <c r="G8" s="1264"/>
      <c r="H8" s="1264"/>
      <c r="I8" s="1264"/>
      <c r="J8" s="1264"/>
      <c r="K8" s="1264"/>
      <c r="L8" s="1264"/>
      <c r="AI8" s="786"/>
      <c r="AJ8" s="1268"/>
      <c r="AK8" s="1269"/>
      <c r="AL8" s="1269"/>
      <c r="AM8" s="1269"/>
      <c r="AN8" s="1269"/>
      <c r="AO8" s="1269"/>
      <c r="AP8" s="1269"/>
      <c r="AQ8" s="1269"/>
      <c r="AR8" s="1269"/>
      <c r="AS8" s="1269"/>
      <c r="AT8" s="1270"/>
    </row>
    <row r="9" spans="1:65" ht="6.6" customHeight="1" thickBot="1" x14ac:dyDescent="0.35">
      <c r="B9" s="18"/>
      <c r="C9" s="591"/>
      <c r="AI9" s="786"/>
      <c r="AJ9" s="1271"/>
      <c r="AK9" s="1272"/>
      <c r="AL9" s="1272"/>
      <c r="AM9" s="1272"/>
      <c r="AN9" s="1272"/>
      <c r="AO9" s="1272"/>
      <c r="AP9" s="1272"/>
      <c r="AQ9" s="1272"/>
      <c r="AR9" s="1272"/>
      <c r="AS9" s="1272"/>
      <c r="AT9" s="1273"/>
    </row>
    <row r="10" spans="1:65" ht="19.2" customHeight="1" x14ac:dyDescent="0.3">
      <c r="B10" s="18"/>
      <c r="C10" s="1257" t="str">
        <f>'Overzicht project'!$C$40</f>
        <v>Kies de zorgvorm</v>
      </c>
      <c r="D10" s="1257"/>
      <c r="E10" s="1257"/>
      <c r="F10" s="1257"/>
      <c r="G10" s="1257"/>
      <c r="H10" s="1257"/>
      <c r="I10" s="1257"/>
      <c r="J10" s="1257"/>
      <c r="K10" s="1257"/>
      <c r="L10" s="1257"/>
      <c r="N10" s="1257" t="str">
        <f>'Overzicht project'!$C$41</f>
        <v>Kies de zorgvorm</v>
      </c>
      <c r="O10" s="1257"/>
      <c r="P10" s="1257"/>
      <c r="Q10" s="1257"/>
      <c r="R10" s="1257"/>
      <c r="S10" s="1257"/>
      <c r="T10" s="1257"/>
      <c r="U10" s="1257"/>
      <c r="V10" s="1257"/>
      <c r="W10" s="1257"/>
      <c r="X10" s="643"/>
      <c r="Y10" s="1257" t="str">
        <f>'Overzicht project'!$C$42</f>
        <v>Kies de zorgvorm</v>
      </c>
      <c r="Z10" s="1257"/>
      <c r="AA10" s="1257"/>
      <c r="AB10" s="1257"/>
      <c r="AC10" s="1257"/>
      <c r="AD10" s="1257"/>
      <c r="AE10" s="1257"/>
      <c r="AF10" s="1257"/>
      <c r="AG10" s="1257"/>
      <c r="AH10" s="1257"/>
      <c r="AJ10" s="779"/>
      <c r="AK10" s="779"/>
      <c r="AL10" s="779"/>
      <c r="AM10" s="779"/>
      <c r="AN10" s="779"/>
      <c r="AO10" s="779"/>
      <c r="AP10" s="779"/>
      <c r="AQ10" s="779"/>
      <c r="AR10" s="779"/>
      <c r="AS10" s="779"/>
      <c r="AT10" s="779"/>
      <c r="AU10" s="779"/>
      <c r="AV10" s="779"/>
      <c r="AW10" s="779"/>
      <c r="AX10" s="779"/>
      <c r="AY10" s="779"/>
      <c r="AZ10" s="779"/>
      <c r="BA10" s="779"/>
      <c r="BB10" s="779"/>
      <c r="BC10" s="779"/>
      <c r="BD10" s="779"/>
      <c r="BE10" s="779"/>
      <c r="BF10" s="779"/>
      <c r="BG10" s="779"/>
      <c r="BH10" s="779"/>
      <c r="BI10" s="779"/>
      <c r="BJ10" s="779"/>
      <c r="BK10" s="779"/>
      <c r="BL10" s="779"/>
      <c r="BM10" s="779"/>
    </row>
    <row r="11" spans="1:65" ht="8.4" customHeight="1" x14ac:dyDescent="0.3">
      <c r="B11" s="18"/>
      <c r="C11" s="643"/>
      <c r="D11" s="643"/>
      <c r="E11" s="643"/>
      <c r="F11" s="643"/>
      <c r="G11" s="643"/>
      <c r="H11" s="643"/>
      <c r="I11" s="643"/>
      <c r="J11" s="643"/>
      <c r="K11" s="643"/>
      <c r="L11" s="643"/>
      <c r="N11" s="643"/>
      <c r="O11" s="643"/>
      <c r="P11" s="643"/>
      <c r="Q11" s="659"/>
      <c r="R11" s="643"/>
      <c r="S11" s="643"/>
      <c r="T11" s="643"/>
      <c r="U11" s="643"/>
      <c r="V11" s="643"/>
      <c r="W11" s="643"/>
      <c r="X11" s="643"/>
      <c r="Y11" s="643"/>
      <c r="Z11" s="643"/>
      <c r="AA11" s="643"/>
      <c r="AB11" s="659"/>
      <c r="AC11" s="643"/>
      <c r="AD11" s="643"/>
      <c r="AE11" s="643"/>
      <c r="AF11" s="643"/>
      <c r="AG11" s="643"/>
      <c r="AH11" s="643"/>
      <c r="AJ11" s="779"/>
    </row>
    <row r="12" spans="1:65" ht="14.4" customHeight="1" x14ac:dyDescent="0.3">
      <c r="C12" s="1253" t="s">
        <v>401</v>
      </c>
      <c r="D12" s="1254"/>
      <c r="E12" s="1255"/>
      <c r="F12" s="473">
        <f>VLOOKUP('Bouwkost NB'!B3,'Overzicht BTA'!B57:C63,2,FALSE)</f>
        <v>0</v>
      </c>
      <c r="G12" s="658"/>
      <c r="H12" s="658"/>
      <c r="N12" s="1256" t="s">
        <v>401</v>
      </c>
      <c r="O12" s="1256"/>
      <c r="P12" s="1256"/>
      <c r="Q12" s="473">
        <v>0.21</v>
      </c>
      <c r="Y12" s="1256" t="s">
        <v>401</v>
      </c>
      <c r="Z12" s="1256"/>
      <c r="AA12" s="1256"/>
      <c r="AB12" s="473">
        <v>0.21</v>
      </c>
      <c r="AJ12" s="779"/>
    </row>
    <row r="13" spans="1:65" ht="14.4" customHeight="1" x14ac:dyDescent="0.3">
      <c r="C13" s="1253" t="s">
        <v>402</v>
      </c>
      <c r="D13" s="1254"/>
      <c r="E13" s="1255"/>
      <c r="F13" s="473">
        <v>0.21</v>
      </c>
      <c r="G13" s="658"/>
      <c r="H13" s="658"/>
      <c r="N13" s="1256" t="s">
        <v>402</v>
      </c>
      <c r="O13" s="1256"/>
      <c r="P13" s="1256"/>
      <c r="Q13" s="473">
        <v>0.21</v>
      </c>
      <c r="Y13" s="1256" t="s">
        <v>402</v>
      </c>
      <c r="Z13" s="1256"/>
      <c r="AA13" s="1256"/>
      <c r="AB13" s="473">
        <v>0.21</v>
      </c>
      <c r="AJ13" s="976">
        <f>VLOOKUP('Bouwkost NB'!B3,'Overzicht BTA'!B57:C63,2,FALSE)</f>
        <v>0</v>
      </c>
    </row>
    <row r="14" spans="1:65" ht="14.4" customHeight="1" x14ac:dyDescent="0.3">
      <c r="C14" s="1253" t="s">
        <v>403</v>
      </c>
      <c r="D14" s="1254"/>
      <c r="E14" s="1255"/>
      <c r="F14" s="473">
        <v>0.21</v>
      </c>
      <c r="G14" s="658"/>
      <c r="H14" s="658"/>
      <c r="N14" s="1256" t="s">
        <v>403</v>
      </c>
      <c r="O14" s="1256"/>
      <c r="P14" s="1256"/>
      <c r="Q14" s="473">
        <v>0.21</v>
      </c>
      <c r="Y14" s="1256" t="s">
        <v>403</v>
      </c>
      <c r="Z14" s="1256"/>
      <c r="AA14" s="1256"/>
      <c r="AB14" s="473">
        <v>0.21</v>
      </c>
      <c r="AJ14" s="779"/>
    </row>
    <row r="15" spans="1:65" ht="14.4" customHeight="1" x14ac:dyDescent="0.3">
      <c r="C15" s="1253" t="s">
        <v>404</v>
      </c>
      <c r="D15" s="1254"/>
      <c r="E15" s="1255"/>
      <c r="F15" s="473">
        <v>0.06</v>
      </c>
      <c r="N15" s="1256" t="s">
        <v>404</v>
      </c>
      <c r="O15" s="1256"/>
      <c r="P15" s="1256"/>
      <c r="Q15" s="473">
        <v>0.06</v>
      </c>
      <c r="Y15" s="1256" t="s">
        <v>404</v>
      </c>
      <c r="Z15" s="1256"/>
      <c r="AA15" s="1256"/>
      <c r="AB15" s="473">
        <v>0.06</v>
      </c>
      <c r="AJ15" s="779"/>
    </row>
    <row r="16" spans="1:65" ht="14.4" customHeight="1" x14ac:dyDescent="0.3">
      <c r="B16" s="307" t="s">
        <v>405</v>
      </c>
      <c r="C16" s="102" t="s">
        <v>406</v>
      </c>
      <c r="D16" s="338" t="s">
        <v>407</v>
      </c>
      <c r="E16" s="102" t="s">
        <v>408</v>
      </c>
      <c r="F16" s="338" t="s">
        <v>407</v>
      </c>
      <c r="G16" s="104" t="s">
        <v>409</v>
      </c>
      <c r="H16" s="338" t="s">
        <v>407</v>
      </c>
      <c r="I16" s="104" t="s">
        <v>410</v>
      </c>
      <c r="J16" s="338" t="s">
        <v>407</v>
      </c>
      <c r="K16" s="104" t="s">
        <v>411</v>
      </c>
      <c r="L16" s="338" t="s">
        <v>407</v>
      </c>
      <c r="M16" s="630"/>
      <c r="N16" s="102" t="s">
        <v>406</v>
      </c>
      <c r="O16" s="338" t="s">
        <v>407</v>
      </c>
      <c r="P16" s="102" t="s">
        <v>408</v>
      </c>
      <c r="Q16" s="338" t="s">
        <v>407</v>
      </c>
      <c r="R16" s="104" t="s">
        <v>409</v>
      </c>
      <c r="S16" s="338" t="s">
        <v>407</v>
      </c>
      <c r="T16" s="104" t="s">
        <v>410</v>
      </c>
      <c r="U16" s="338" t="s">
        <v>407</v>
      </c>
      <c r="V16" s="104" t="s">
        <v>411</v>
      </c>
      <c r="W16" s="338" t="s">
        <v>407</v>
      </c>
      <c r="X16" s="630"/>
      <c r="Y16" s="102" t="s">
        <v>406</v>
      </c>
      <c r="Z16" s="338" t="s">
        <v>407</v>
      </c>
      <c r="AA16" s="102" t="s">
        <v>408</v>
      </c>
      <c r="AB16" s="338" t="s">
        <v>407</v>
      </c>
      <c r="AC16" s="104" t="s">
        <v>409</v>
      </c>
      <c r="AD16" s="338" t="s">
        <v>407</v>
      </c>
      <c r="AE16" s="104" t="s">
        <v>410</v>
      </c>
      <c r="AF16" s="338" t="s">
        <v>407</v>
      </c>
      <c r="AG16" s="104" t="s">
        <v>411</v>
      </c>
      <c r="AH16" s="338" t="s">
        <v>407</v>
      </c>
      <c r="AJ16" s="779"/>
      <c r="AN16" s="609" t="s">
        <v>412</v>
      </c>
      <c r="AO16" s="609" t="s">
        <v>413</v>
      </c>
      <c r="AP16" s="609" t="s">
        <v>414</v>
      </c>
    </row>
    <row r="17" spans="1:117" x14ac:dyDescent="0.3">
      <c r="B17" s="336" t="s">
        <v>415</v>
      </c>
      <c r="C17" s="663">
        <v>0</v>
      </c>
      <c r="D17" s="336"/>
      <c r="E17" s="663">
        <f>C17</f>
        <v>0</v>
      </c>
      <c r="F17" s="336"/>
      <c r="G17" s="664">
        <f>C17</f>
        <v>0</v>
      </c>
      <c r="H17" s="336"/>
      <c r="I17" s="664">
        <f>C17</f>
        <v>0</v>
      </c>
      <c r="J17" s="336"/>
      <c r="K17" s="663">
        <f>C17</f>
        <v>0</v>
      </c>
      <c r="L17" s="336"/>
      <c r="M17" s="23"/>
      <c r="N17" s="663">
        <v>0</v>
      </c>
      <c r="O17" s="336"/>
      <c r="P17" s="663">
        <f>N17</f>
        <v>0</v>
      </c>
      <c r="Q17" s="336"/>
      <c r="R17" s="664">
        <f>N17</f>
        <v>0</v>
      </c>
      <c r="S17" s="336"/>
      <c r="T17" s="664">
        <f>N17</f>
        <v>0</v>
      </c>
      <c r="U17" s="336"/>
      <c r="V17" s="663">
        <f>N17</f>
        <v>0</v>
      </c>
      <c r="W17" s="336"/>
      <c r="X17" s="644"/>
      <c r="Y17" s="663">
        <f>'analyse bij belofte'!AG12</f>
        <v>0</v>
      </c>
      <c r="Z17" s="336"/>
      <c r="AA17" s="663">
        <f>Y17</f>
        <v>0</v>
      </c>
      <c r="AB17" s="336"/>
      <c r="AC17" s="664">
        <f>Y17</f>
        <v>0</v>
      </c>
      <c r="AD17" s="336"/>
      <c r="AE17" s="664">
        <f>Y17</f>
        <v>0</v>
      </c>
      <c r="AF17" s="336"/>
      <c r="AG17" s="663">
        <f>Y17</f>
        <v>0</v>
      </c>
      <c r="AH17" s="336"/>
      <c r="AJ17" t="s">
        <v>416</v>
      </c>
      <c r="AL17" s="423">
        <f>AG17+V17+K17</f>
        <v>0</v>
      </c>
      <c r="AN17" s="599">
        <f>AKzondVERB!B13</f>
        <v>0</v>
      </c>
      <c r="AO17" s="599">
        <f>AKzondVERB!H13</f>
        <v>0</v>
      </c>
      <c r="AP17" s="599">
        <f>AKzondVERB!N13</f>
        <v>0</v>
      </c>
    </row>
    <row r="18" spans="1:117" outlineLevel="1" x14ac:dyDescent="0.3">
      <c r="B18" s="721" t="s">
        <v>417</v>
      </c>
      <c r="C18" s="722">
        <v>0</v>
      </c>
      <c r="D18" s="723"/>
      <c r="E18" s="722">
        <f>C18</f>
        <v>0</v>
      </c>
      <c r="F18" s="723"/>
      <c r="G18" s="722">
        <v>0</v>
      </c>
      <c r="H18" s="723"/>
      <c r="I18" s="722">
        <v>0</v>
      </c>
      <c r="J18" s="723"/>
      <c r="K18" s="722">
        <v>0</v>
      </c>
      <c r="L18" s="723"/>
      <c r="N18" s="722">
        <v>0</v>
      </c>
      <c r="O18" s="723"/>
      <c r="P18" s="722">
        <f>N18</f>
        <v>0</v>
      </c>
      <c r="Q18" s="723"/>
      <c r="R18" s="722">
        <v>0</v>
      </c>
      <c r="S18" s="723"/>
      <c r="T18" s="722">
        <v>0</v>
      </c>
      <c r="U18" s="723"/>
      <c r="V18" s="722">
        <v>0</v>
      </c>
      <c r="W18" s="723"/>
      <c r="Y18" s="722">
        <v>0</v>
      </c>
      <c r="Z18" s="723"/>
      <c r="AA18" s="722">
        <f>Y18</f>
        <v>0</v>
      </c>
      <c r="AB18" s="723"/>
      <c r="AC18" s="722">
        <v>0</v>
      </c>
      <c r="AD18" s="723"/>
      <c r="AE18" s="722">
        <v>0</v>
      </c>
      <c r="AF18" s="723"/>
      <c r="AG18" s="722">
        <v>0</v>
      </c>
      <c r="AH18" s="723"/>
      <c r="AL18" s="423">
        <f t="shared" ref="AL18:AL80" si="0">AG18+V18+K18</f>
        <v>0</v>
      </c>
      <c r="AN18" s="599">
        <f t="shared" ref="AN18:AN52" si="1">IFERROR(K18*$AP$5/$AS$5,0)</f>
        <v>0</v>
      </c>
      <c r="AO18" s="599">
        <f t="shared" ref="AO18:AO52" si="2">IFERROR(K18*$AQ$5/$AS$5,0)</f>
        <v>0</v>
      </c>
      <c r="AP18" s="599">
        <f t="shared" ref="AP18:AP52" si="3">IFERROR(K18*$AR$5/$AS$5,0)</f>
        <v>0</v>
      </c>
    </row>
    <row r="19" spans="1:117" outlineLevel="1" x14ac:dyDescent="0.3">
      <c r="B19" s="721" t="s">
        <v>418</v>
      </c>
      <c r="C19" s="722">
        <v>0</v>
      </c>
      <c r="D19" s="723"/>
      <c r="E19" s="722">
        <f>C19</f>
        <v>0</v>
      </c>
      <c r="F19" s="723"/>
      <c r="G19" s="722">
        <v>0</v>
      </c>
      <c r="H19" s="723"/>
      <c r="I19" s="722">
        <v>0</v>
      </c>
      <c r="J19" s="723"/>
      <c r="K19" s="722">
        <v>0</v>
      </c>
      <c r="L19" s="723"/>
      <c r="N19" s="722">
        <v>0</v>
      </c>
      <c r="O19" s="723"/>
      <c r="P19" s="722">
        <f t="shared" ref="P19:P20" si="4">N19</f>
        <v>0</v>
      </c>
      <c r="Q19" s="723"/>
      <c r="R19" s="722">
        <v>0</v>
      </c>
      <c r="S19" s="723"/>
      <c r="T19" s="722">
        <v>0</v>
      </c>
      <c r="U19" s="723"/>
      <c r="V19" s="722">
        <v>0</v>
      </c>
      <c r="W19" s="723"/>
      <c r="Y19" s="722">
        <v>0</v>
      </c>
      <c r="Z19" s="723"/>
      <c r="AA19" s="722">
        <f t="shared" ref="AA19:AA20" si="5">Y19</f>
        <v>0</v>
      </c>
      <c r="AB19" s="723"/>
      <c r="AC19" s="722">
        <v>0</v>
      </c>
      <c r="AD19" s="723"/>
      <c r="AE19" s="722">
        <v>0</v>
      </c>
      <c r="AF19" s="723"/>
      <c r="AG19" s="722">
        <v>0</v>
      </c>
      <c r="AH19" s="723"/>
      <c r="AL19" s="423">
        <f t="shared" si="0"/>
        <v>0</v>
      </c>
      <c r="AN19" s="599">
        <f t="shared" si="1"/>
        <v>0</v>
      </c>
      <c r="AO19" s="599">
        <f t="shared" si="2"/>
        <v>0</v>
      </c>
      <c r="AP19" s="599">
        <f t="shared" si="3"/>
        <v>0</v>
      </c>
    </row>
    <row r="20" spans="1:117" outlineLevel="1" x14ac:dyDescent="0.3">
      <c r="B20" s="721" t="s">
        <v>419</v>
      </c>
      <c r="C20" s="722">
        <v>0</v>
      </c>
      <c r="D20" s="723"/>
      <c r="E20" s="722">
        <f>C20</f>
        <v>0</v>
      </c>
      <c r="F20" s="723"/>
      <c r="G20" s="722">
        <v>0</v>
      </c>
      <c r="H20" s="723"/>
      <c r="I20" s="722">
        <v>0</v>
      </c>
      <c r="J20" s="723"/>
      <c r="K20" s="722">
        <v>0</v>
      </c>
      <c r="L20" s="723"/>
      <c r="N20" s="722">
        <v>0</v>
      </c>
      <c r="O20" s="723"/>
      <c r="P20" s="722">
        <f t="shared" si="4"/>
        <v>0</v>
      </c>
      <c r="Q20" s="723"/>
      <c r="R20" s="722">
        <v>0</v>
      </c>
      <c r="S20" s="723"/>
      <c r="T20" s="722">
        <v>0</v>
      </c>
      <c r="U20" s="723"/>
      <c r="V20" s="722">
        <v>0</v>
      </c>
      <c r="W20" s="723"/>
      <c r="Y20" s="722">
        <v>0</v>
      </c>
      <c r="Z20" s="723"/>
      <c r="AA20" s="722">
        <f t="shared" si="5"/>
        <v>0</v>
      </c>
      <c r="AB20" s="723"/>
      <c r="AC20" s="722">
        <v>0</v>
      </c>
      <c r="AD20" s="723"/>
      <c r="AE20" s="722">
        <v>0</v>
      </c>
      <c r="AF20" s="723"/>
      <c r="AG20" s="722">
        <v>0</v>
      </c>
      <c r="AH20" s="723"/>
      <c r="AL20" s="423">
        <f t="shared" si="0"/>
        <v>0</v>
      </c>
      <c r="AN20" s="599">
        <f t="shared" si="1"/>
        <v>0</v>
      </c>
      <c r="AO20" s="599">
        <f t="shared" si="2"/>
        <v>0</v>
      </c>
      <c r="AP20" s="599">
        <f t="shared" si="3"/>
        <v>0</v>
      </c>
    </row>
    <row r="21" spans="1:117" x14ac:dyDescent="0.3">
      <c r="B21" s="336" t="s">
        <v>420</v>
      </c>
      <c r="C21" s="663">
        <v>0</v>
      </c>
      <c r="D21" s="332"/>
      <c r="E21" s="663"/>
      <c r="F21" s="332"/>
      <c r="G21" s="664"/>
      <c r="H21" s="332"/>
      <c r="I21" s="664"/>
      <c r="J21" s="332"/>
      <c r="K21" s="663"/>
      <c r="L21" s="332"/>
      <c r="M21" s="51"/>
      <c r="N21" s="663"/>
      <c r="O21" s="332"/>
      <c r="P21" s="663"/>
      <c r="Q21" s="332"/>
      <c r="R21" s="664"/>
      <c r="S21" s="332"/>
      <c r="T21" s="664"/>
      <c r="U21" s="332"/>
      <c r="V21" s="663"/>
      <c r="W21" s="332"/>
      <c r="X21" s="645"/>
      <c r="Y21" s="663"/>
      <c r="Z21" s="332"/>
      <c r="AA21" s="663"/>
      <c r="AB21" s="332"/>
      <c r="AC21" s="664"/>
      <c r="AD21" s="332"/>
      <c r="AE21" s="664"/>
      <c r="AF21" s="332"/>
      <c r="AG21" s="663"/>
      <c r="AH21" s="332"/>
      <c r="AL21" s="423">
        <f t="shared" si="0"/>
        <v>0</v>
      </c>
      <c r="AN21" s="599">
        <f t="shared" si="1"/>
        <v>0</v>
      </c>
      <c r="AO21" s="599">
        <f t="shared" si="2"/>
        <v>0</v>
      </c>
      <c r="AP21" s="599">
        <f t="shared" si="3"/>
        <v>0</v>
      </c>
    </row>
    <row r="22" spans="1:117" outlineLevel="1" x14ac:dyDescent="0.3">
      <c r="B22" s="721" t="s">
        <v>421</v>
      </c>
      <c r="C22" s="722">
        <v>0</v>
      </c>
      <c r="D22" s="723"/>
      <c r="E22" s="722">
        <v>0</v>
      </c>
      <c r="F22" s="723"/>
      <c r="G22" s="722">
        <v>0</v>
      </c>
      <c r="H22" s="723"/>
      <c r="I22" s="722">
        <v>0</v>
      </c>
      <c r="J22" s="723"/>
      <c r="K22" s="722">
        <v>0</v>
      </c>
      <c r="L22" s="723"/>
      <c r="N22" s="722">
        <v>0</v>
      </c>
      <c r="O22" s="723"/>
      <c r="P22" s="722">
        <v>0</v>
      </c>
      <c r="Q22" s="723"/>
      <c r="R22" s="722">
        <v>0</v>
      </c>
      <c r="S22" s="723"/>
      <c r="T22" s="722">
        <v>0</v>
      </c>
      <c r="U22" s="723"/>
      <c r="V22" s="722">
        <v>0</v>
      </c>
      <c r="W22" s="723"/>
      <c r="Y22" s="722">
        <v>0</v>
      </c>
      <c r="Z22" s="723"/>
      <c r="AA22" s="722">
        <v>0</v>
      </c>
      <c r="AB22" s="723"/>
      <c r="AC22" s="722">
        <v>0</v>
      </c>
      <c r="AD22" s="723"/>
      <c r="AE22" s="722">
        <v>0</v>
      </c>
      <c r="AF22" s="723"/>
      <c r="AG22" s="722">
        <v>0</v>
      </c>
      <c r="AH22" s="723"/>
      <c r="AL22" s="423">
        <f t="shared" si="0"/>
        <v>0</v>
      </c>
      <c r="AN22" s="599">
        <f t="shared" si="1"/>
        <v>0</v>
      </c>
      <c r="AO22" s="599">
        <f t="shared" si="2"/>
        <v>0</v>
      </c>
      <c r="AP22" s="599">
        <f t="shared" si="3"/>
        <v>0</v>
      </c>
    </row>
    <row r="23" spans="1:117" outlineLevel="1" x14ac:dyDescent="0.3">
      <c r="B23" s="721" t="s">
        <v>422</v>
      </c>
      <c r="C23" s="722">
        <v>0</v>
      </c>
      <c r="D23" s="723"/>
      <c r="E23" s="722">
        <v>0</v>
      </c>
      <c r="F23" s="723"/>
      <c r="G23" s="722">
        <v>0</v>
      </c>
      <c r="H23" s="723"/>
      <c r="I23" s="722">
        <v>0</v>
      </c>
      <c r="J23" s="723"/>
      <c r="K23" s="722">
        <v>0</v>
      </c>
      <c r="L23" s="723"/>
      <c r="N23" s="722">
        <v>0</v>
      </c>
      <c r="O23" s="723"/>
      <c r="P23" s="722">
        <v>0</v>
      </c>
      <c r="Q23" s="723"/>
      <c r="R23" s="722">
        <v>0</v>
      </c>
      <c r="S23" s="723"/>
      <c r="T23" s="722">
        <v>0</v>
      </c>
      <c r="U23" s="723"/>
      <c r="V23" s="722">
        <v>0</v>
      </c>
      <c r="W23" s="723"/>
      <c r="Y23" s="722">
        <v>0</v>
      </c>
      <c r="Z23" s="723"/>
      <c r="AA23" s="722">
        <v>0</v>
      </c>
      <c r="AB23" s="723"/>
      <c r="AC23" s="722">
        <v>0</v>
      </c>
      <c r="AD23" s="723"/>
      <c r="AE23" s="722">
        <v>0</v>
      </c>
      <c r="AF23" s="723"/>
      <c r="AG23" s="722">
        <v>0</v>
      </c>
      <c r="AH23" s="723"/>
      <c r="AL23" s="423">
        <f t="shared" si="0"/>
        <v>0</v>
      </c>
      <c r="AN23" s="599">
        <f t="shared" si="1"/>
        <v>0</v>
      </c>
      <c r="AO23" s="599">
        <f t="shared" si="2"/>
        <v>0</v>
      </c>
      <c r="AP23" s="599">
        <f t="shared" si="3"/>
        <v>0</v>
      </c>
    </row>
    <row r="24" spans="1:117" ht="15" customHeight="1" outlineLevel="1" x14ac:dyDescent="0.3">
      <c r="B24" s="721" t="s">
        <v>423</v>
      </c>
      <c r="C24" s="722">
        <v>0</v>
      </c>
      <c r="D24" s="723"/>
      <c r="E24" s="722">
        <v>0</v>
      </c>
      <c r="F24" s="723"/>
      <c r="G24" s="722">
        <v>0</v>
      </c>
      <c r="H24" s="723"/>
      <c r="I24" s="722">
        <v>0</v>
      </c>
      <c r="J24" s="723"/>
      <c r="K24" s="722">
        <v>0</v>
      </c>
      <c r="L24" s="723"/>
      <c r="N24" s="722">
        <v>0</v>
      </c>
      <c r="O24" s="723"/>
      <c r="P24" s="722">
        <v>0</v>
      </c>
      <c r="Q24" s="723"/>
      <c r="R24" s="722">
        <v>0</v>
      </c>
      <c r="S24" s="723"/>
      <c r="T24" s="722">
        <v>0</v>
      </c>
      <c r="U24" s="723"/>
      <c r="V24" s="722">
        <v>0</v>
      </c>
      <c r="W24" s="723"/>
      <c r="Y24" s="722">
        <v>0</v>
      </c>
      <c r="Z24" s="723"/>
      <c r="AA24" s="722">
        <v>0</v>
      </c>
      <c r="AB24" s="723"/>
      <c r="AC24" s="722">
        <v>0</v>
      </c>
      <c r="AD24" s="723"/>
      <c r="AE24" s="722">
        <v>0</v>
      </c>
      <c r="AF24" s="723"/>
      <c r="AG24" s="722">
        <v>0</v>
      </c>
      <c r="AH24" s="723"/>
      <c r="AL24" s="423">
        <f t="shared" si="0"/>
        <v>0</v>
      </c>
      <c r="AN24" s="599">
        <f t="shared" si="1"/>
        <v>0</v>
      </c>
      <c r="AO24" s="599">
        <f t="shared" si="2"/>
        <v>0</v>
      </c>
      <c r="AP24" s="599">
        <f t="shared" si="3"/>
        <v>0</v>
      </c>
    </row>
    <row r="25" spans="1:117" x14ac:dyDescent="0.3">
      <c r="B25" s="336" t="s">
        <v>123</v>
      </c>
      <c r="C25" s="663">
        <v>0</v>
      </c>
      <c r="D25" s="335"/>
      <c r="E25" s="663">
        <f>C25</f>
        <v>0</v>
      </c>
      <c r="F25" s="335"/>
      <c r="G25" s="664"/>
      <c r="H25" s="335"/>
      <c r="I25" s="664"/>
      <c r="J25" s="335"/>
      <c r="K25" s="663"/>
      <c r="L25" s="335"/>
      <c r="M25" s="39"/>
      <c r="N25" s="663">
        <v>0</v>
      </c>
      <c r="O25" s="335"/>
      <c r="P25" s="663">
        <f>N25</f>
        <v>0</v>
      </c>
      <c r="Q25" s="335"/>
      <c r="R25" s="664"/>
      <c r="S25" s="335"/>
      <c r="T25" s="664"/>
      <c r="U25" s="335"/>
      <c r="V25" s="663"/>
      <c r="W25" s="335"/>
      <c r="X25" s="646"/>
      <c r="Y25" s="663">
        <v>0</v>
      </c>
      <c r="Z25" s="335"/>
      <c r="AA25" s="663">
        <f>Y25</f>
        <v>0</v>
      </c>
      <c r="AB25" s="335"/>
      <c r="AC25" s="664"/>
      <c r="AD25" s="335"/>
      <c r="AE25" s="664"/>
      <c r="AF25" s="335"/>
      <c r="AG25" s="663"/>
      <c r="AH25" s="335"/>
      <c r="AJ25" s="337" t="s">
        <v>424</v>
      </c>
      <c r="AL25" s="423">
        <f t="shared" si="0"/>
        <v>0</v>
      </c>
      <c r="AN25" s="599">
        <f t="shared" si="1"/>
        <v>0</v>
      </c>
      <c r="AO25" s="599">
        <f t="shared" si="2"/>
        <v>0</v>
      </c>
      <c r="AP25" s="599">
        <f t="shared" si="3"/>
        <v>0</v>
      </c>
    </row>
    <row r="26" spans="1:117" s="168" customFormat="1" outlineLevel="1" x14ac:dyDescent="0.3">
      <c r="A26"/>
      <c r="B26" s="721" t="s">
        <v>425</v>
      </c>
      <c r="C26" s="724">
        <v>0</v>
      </c>
      <c r="D26" s="725">
        <f>F12</f>
        <v>0</v>
      </c>
      <c r="E26" s="724">
        <v>0</v>
      </c>
      <c r="F26" s="725">
        <f>F$12</f>
        <v>0</v>
      </c>
      <c r="G26" s="724">
        <v>0</v>
      </c>
      <c r="H26" s="725">
        <f>F26</f>
        <v>0</v>
      </c>
      <c r="I26" s="724">
        <v>0</v>
      </c>
      <c r="J26" s="725">
        <f>H26</f>
        <v>0</v>
      </c>
      <c r="K26" s="724">
        <v>0</v>
      </c>
      <c r="L26" s="725">
        <f>J26</f>
        <v>0</v>
      </c>
      <c r="M26" s="629"/>
      <c r="N26" s="724">
        <v>0</v>
      </c>
      <c r="O26" s="725">
        <f>$Q$12</f>
        <v>0.21</v>
      </c>
      <c r="P26" s="724">
        <v>0</v>
      </c>
      <c r="Q26" s="725">
        <f>O26</f>
        <v>0.21</v>
      </c>
      <c r="R26" s="724">
        <v>0</v>
      </c>
      <c r="S26" s="725">
        <f>Q26</f>
        <v>0.21</v>
      </c>
      <c r="T26" s="724">
        <v>0</v>
      </c>
      <c r="U26" s="725">
        <f>S26</f>
        <v>0.21</v>
      </c>
      <c r="V26" s="724">
        <v>0</v>
      </c>
      <c r="W26" s="725">
        <f>U26</f>
        <v>0.21</v>
      </c>
      <c r="X26" s="647"/>
      <c r="Y26" s="724">
        <v>0</v>
      </c>
      <c r="Z26" s="725">
        <f>$AB$12</f>
        <v>0.21</v>
      </c>
      <c r="AA26" s="724">
        <v>0</v>
      </c>
      <c r="AB26" s="725">
        <f>Z26</f>
        <v>0.21</v>
      </c>
      <c r="AC26" s="724">
        <v>0</v>
      </c>
      <c r="AD26" s="725">
        <f>AB26</f>
        <v>0.21</v>
      </c>
      <c r="AE26" s="724">
        <v>0</v>
      </c>
      <c r="AF26" s="725">
        <f>AD26</f>
        <v>0.21</v>
      </c>
      <c r="AG26" s="724">
        <v>0</v>
      </c>
      <c r="AH26" s="725">
        <f>AF26</f>
        <v>0.21</v>
      </c>
      <c r="AI26"/>
      <c r="AJ26" t="s">
        <v>426</v>
      </c>
      <c r="AK26"/>
      <c r="AL26" s="423">
        <f t="shared" si="0"/>
        <v>0</v>
      </c>
      <c r="AM26"/>
      <c r="AN26" s="599">
        <f t="shared" si="1"/>
        <v>0</v>
      </c>
      <c r="AO26" s="599">
        <f t="shared" si="2"/>
        <v>0</v>
      </c>
      <c r="AP26" s="599">
        <f t="shared" si="3"/>
        <v>0</v>
      </c>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row>
    <row r="27" spans="1:117" s="168" customFormat="1" outlineLevel="1" x14ac:dyDescent="0.3">
      <c r="A27"/>
      <c r="B27" s="721" t="s">
        <v>427</v>
      </c>
      <c r="C27" s="724">
        <v>0</v>
      </c>
      <c r="D27" s="725">
        <f>$F$12</f>
        <v>0</v>
      </c>
      <c r="E27" s="724">
        <v>0</v>
      </c>
      <c r="F27" s="725">
        <f t="shared" ref="F27:F31" si="6">F$12</f>
        <v>0</v>
      </c>
      <c r="G27" s="724">
        <v>0</v>
      </c>
      <c r="H27" s="725">
        <f t="shared" ref="H27:L31" si="7">F27</f>
        <v>0</v>
      </c>
      <c r="I27" s="724">
        <v>0</v>
      </c>
      <c r="J27" s="725">
        <f t="shared" si="7"/>
        <v>0</v>
      </c>
      <c r="K27" s="724">
        <v>0</v>
      </c>
      <c r="L27" s="725">
        <f t="shared" si="7"/>
        <v>0</v>
      </c>
      <c r="M27" s="629"/>
      <c r="N27" s="724">
        <v>0</v>
      </c>
      <c r="O27" s="725">
        <f t="shared" ref="O27:O31" si="8">$Q$12</f>
        <v>0.21</v>
      </c>
      <c r="P27" s="724">
        <v>0</v>
      </c>
      <c r="Q27" s="725">
        <f t="shared" ref="Q27:Q31" si="9">O27</f>
        <v>0.21</v>
      </c>
      <c r="R27" s="724">
        <v>0</v>
      </c>
      <c r="S27" s="725">
        <f t="shared" ref="S27:S31" si="10">Q27</f>
        <v>0.21</v>
      </c>
      <c r="T27" s="724">
        <v>0</v>
      </c>
      <c r="U27" s="725">
        <f t="shared" ref="U27:U31" si="11">S27</f>
        <v>0.21</v>
      </c>
      <c r="V27" s="724">
        <v>0</v>
      </c>
      <c r="W27" s="725">
        <f t="shared" ref="W27:W31" si="12">U27</f>
        <v>0.21</v>
      </c>
      <c r="X27" s="647"/>
      <c r="Y27" s="724">
        <v>0</v>
      </c>
      <c r="Z27" s="725">
        <f t="shared" ref="Z27:Z31" si="13">$AB$12</f>
        <v>0.21</v>
      </c>
      <c r="AA27" s="724">
        <v>0</v>
      </c>
      <c r="AB27" s="725">
        <f t="shared" ref="AB27:AB31" si="14">Z27</f>
        <v>0.21</v>
      </c>
      <c r="AC27" s="724">
        <v>0</v>
      </c>
      <c r="AD27" s="725">
        <f t="shared" ref="AD27:AD31" si="15">AB27</f>
        <v>0.21</v>
      </c>
      <c r="AE27" s="724">
        <v>0</v>
      </c>
      <c r="AF27" s="725">
        <f t="shared" ref="AF27:AF31" si="16">AD27</f>
        <v>0.21</v>
      </c>
      <c r="AG27" s="724">
        <v>0</v>
      </c>
      <c r="AH27" s="725">
        <f t="shared" ref="AH27:AH31" si="17">AF27</f>
        <v>0.21</v>
      </c>
      <c r="AI27"/>
      <c r="AJ27"/>
      <c r="AK27"/>
      <c r="AL27" s="423">
        <f t="shared" si="0"/>
        <v>0</v>
      </c>
      <c r="AM27"/>
      <c r="AN27" s="599">
        <f t="shared" si="1"/>
        <v>0</v>
      </c>
      <c r="AO27" s="599">
        <f t="shared" si="2"/>
        <v>0</v>
      </c>
      <c r="AP27" s="599">
        <f t="shared" si="3"/>
        <v>0</v>
      </c>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row>
    <row r="28" spans="1:117" s="168" customFormat="1" outlineLevel="1" x14ac:dyDescent="0.3">
      <c r="A28"/>
      <c r="B28" s="721" t="s">
        <v>428</v>
      </c>
      <c r="C28" s="724">
        <v>0</v>
      </c>
      <c r="D28" s="725">
        <f>$F$12</f>
        <v>0</v>
      </c>
      <c r="E28" s="724">
        <v>0</v>
      </c>
      <c r="F28" s="725">
        <f t="shared" si="6"/>
        <v>0</v>
      </c>
      <c r="G28" s="724">
        <v>0</v>
      </c>
      <c r="H28" s="725">
        <f t="shared" si="7"/>
        <v>0</v>
      </c>
      <c r="I28" s="724">
        <v>0</v>
      </c>
      <c r="J28" s="725">
        <f t="shared" si="7"/>
        <v>0</v>
      </c>
      <c r="K28" s="724">
        <v>0</v>
      </c>
      <c r="L28" s="725">
        <f t="shared" si="7"/>
        <v>0</v>
      </c>
      <c r="M28" s="629"/>
      <c r="N28" s="724">
        <v>0</v>
      </c>
      <c r="O28" s="725">
        <f t="shared" si="8"/>
        <v>0.21</v>
      </c>
      <c r="P28" s="724">
        <v>0</v>
      </c>
      <c r="Q28" s="725">
        <f t="shared" si="9"/>
        <v>0.21</v>
      </c>
      <c r="R28" s="724">
        <v>0</v>
      </c>
      <c r="S28" s="725">
        <f t="shared" si="10"/>
        <v>0.21</v>
      </c>
      <c r="T28" s="724">
        <v>0</v>
      </c>
      <c r="U28" s="725">
        <f t="shared" si="11"/>
        <v>0.21</v>
      </c>
      <c r="V28" s="724">
        <v>0</v>
      </c>
      <c r="W28" s="725">
        <f t="shared" si="12"/>
        <v>0.21</v>
      </c>
      <c r="X28" s="647"/>
      <c r="Y28" s="724">
        <v>0</v>
      </c>
      <c r="Z28" s="725">
        <f t="shared" si="13"/>
        <v>0.21</v>
      </c>
      <c r="AA28" s="724">
        <v>0</v>
      </c>
      <c r="AB28" s="725">
        <f t="shared" si="14"/>
        <v>0.21</v>
      </c>
      <c r="AC28" s="724">
        <v>0</v>
      </c>
      <c r="AD28" s="725">
        <f t="shared" si="15"/>
        <v>0.21</v>
      </c>
      <c r="AE28" s="724">
        <v>0</v>
      </c>
      <c r="AF28" s="725">
        <f t="shared" si="16"/>
        <v>0.21</v>
      </c>
      <c r="AG28" s="724">
        <v>0</v>
      </c>
      <c r="AH28" s="725">
        <f t="shared" si="17"/>
        <v>0.21</v>
      </c>
      <c r="AI28"/>
      <c r="AJ28"/>
      <c r="AK28"/>
      <c r="AL28" s="423">
        <f t="shared" si="0"/>
        <v>0</v>
      </c>
      <c r="AM28"/>
      <c r="AN28" s="599">
        <f t="shared" si="1"/>
        <v>0</v>
      </c>
      <c r="AO28" s="599">
        <f t="shared" si="2"/>
        <v>0</v>
      </c>
      <c r="AP28" s="599">
        <f t="shared" si="3"/>
        <v>0</v>
      </c>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row>
    <row r="29" spans="1:117" s="168" customFormat="1" outlineLevel="1" x14ac:dyDescent="0.3">
      <c r="A29"/>
      <c r="B29" s="726" t="s">
        <v>495</v>
      </c>
      <c r="C29" s="724">
        <v>0</v>
      </c>
      <c r="D29" s="725">
        <f>$F$12</f>
        <v>0</v>
      </c>
      <c r="E29" s="724">
        <v>0</v>
      </c>
      <c r="F29" s="725">
        <f t="shared" si="6"/>
        <v>0</v>
      </c>
      <c r="G29" s="724">
        <v>0</v>
      </c>
      <c r="H29" s="725">
        <f t="shared" si="7"/>
        <v>0</v>
      </c>
      <c r="I29" s="724">
        <v>0</v>
      </c>
      <c r="J29" s="725">
        <f t="shared" si="7"/>
        <v>0</v>
      </c>
      <c r="K29" s="724">
        <v>0</v>
      </c>
      <c r="L29" s="725">
        <f t="shared" si="7"/>
        <v>0</v>
      </c>
      <c r="M29" s="629"/>
      <c r="N29" s="724">
        <v>0</v>
      </c>
      <c r="O29" s="725">
        <f t="shared" si="8"/>
        <v>0.21</v>
      </c>
      <c r="P29" s="724">
        <v>0</v>
      </c>
      <c r="Q29" s="725">
        <f t="shared" si="9"/>
        <v>0.21</v>
      </c>
      <c r="R29" s="724">
        <v>0</v>
      </c>
      <c r="S29" s="725">
        <f t="shared" si="10"/>
        <v>0.21</v>
      </c>
      <c r="T29" s="724">
        <v>0</v>
      </c>
      <c r="U29" s="725">
        <f t="shared" si="11"/>
        <v>0.21</v>
      </c>
      <c r="V29" s="724">
        <v>0</v>
      </c>
      <c r="W29" s="725">
        <f t="shared" si="12"/>
        <v>0.21</v>
      </c>
      <c r="X29" s="647"/>
      <c r="Y29" s="724">
        <v>0</v>
      </c>
      <c r="Z29" s="725">
        <f t="shared" si="13"/>
        <v>0.21</v>
      </c>
      <c r="AA29" s="724">
        <v>0</v>
      </c>
      <c r="AB29" s="725">
        <f t="shared" si="14"/>
        <v>0.21</v>
      </c>
      <c r="AC29" s="724">
        <v>0</v>
      </c>
      <c r="AD29" s="725">
        <f t="shared" si="15"/>
        <v>0.21</v>
      </c>
      <c r="AE29" s="724">
        <v>0</v>
      </c>
      <c r="AF29" s="725">
        <f t="shared" si="16"/>
        <v>0.21</v>
      </c>
      <c r="AG29" s="724">
        <v>0</v>
      </c>
      <c r="AH29" s="725">
        <f t="shared" si="17"/>
        <v>0.21</v>
      </c>
      <c r="AI29"/>
      <c r="AJ29"/>
      <c r="AK29"/>
      <c r="AL29" s="423">
        <f t="shared" si="0"/>
        <v>0</v>
      </c>
      <c r="AM29"/>
      <c r="AN29" s="599">
        <f t="shared" si="1"/>
        <v>0</v>
      </c>
      <c r="AO29" s="599">
        <f t="shared" si="2"/>
        <v>0</v>
      </c>
      <c r="AP29" s="599">
        <f t="shared" si="3"/>
        <v>0</v>
      </c>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row>
    <row r="30" spans="1:117" s="168" customFormat="1" outlineLevel="1" x14ac:dyDescent="0.3">
      <c r="A30"/>
      <c r="B30" s="721" t="s">
        <v>430</v>
      </c>
      <c r="C30" s="724">
        <v>0</v>
      </c>
      <c r="D30" s="725">
        <f>$F$12</f>
        <v>0</v>
      </c>
      <c r="E30" s="724">
        <v>0</v>
      </c>
      <c r="F30" s="725">
        <f t="shared" si="6"/>
        <v>0</v>
      </c>
      <c r="G30" s="724">
        <v>0</v>
      </c>
      <c r="H30" s="725">
        <f t="shared" si="7"/>
        <v>0</v>
      </c>
      <c r="I30" s="724">
        <v>0</v>
      </c>
      <c r="J30" s="725">
        <f t="shared" si="7"/>
        <v>0</v>
      </c>
      <c r="K30" s="724">
        <v>0</v>
      </c>
      <c r="L30" s="725">
        <f t="shared" si="7"/>
        <v>0</v>
      </c>
      <c r="M30" s="629"/>
      <c r="N30" s="724">
        <v>0</v>
      </c>
      <c r="O30" s="725">
        <f t="shared" si="8"/>
        <v>0.21</v>
      </c>
      <c r="P30" s="724">
        <v>0</v>
      </c>
      <c r="Q30" s="725">
        <f t="shared" si="9"/>
        <v>0.21</v>
      </c>
      <c r="R30" s="724">
        <v>0</v>
      </c>
      <c r="S30" s="725">
        <f t="shared" si="10"/>
        <v>0.21</v>
      </c>
      <c r="T30" s="724">
        <v>0</v>
      </c>
      <c r="U30" s="725">
        <f t="shared" si="11"/>
        <v>0.21</v>
      </c>
      <c r="V30" s="724">
        <v>0</v>
      </c>
      <c r="W30" s="725">
        <f t="shared" si="12"/>
        <v>0.21</v>
      </c>
      <c r="X30" s="647"/>
      <c r="Y30" s="724">
        <v>0</v>
      </c>
      <c r="Z30" s="725">
        <f t="shared" si="13"/>
        <v>0.21</v>
      </c>
      <c r="AA30" s="724">
        <v>0</v>
      </c>
      <c r="AB30" s="725">
        <f t="shared" si="14"/>
        <v>0.21</v>
      </c>
      <c r="AC30" s="724">
        <v>0</v>
      </c>
      <c r="AD30" s="725">
        <f t="shared" si="15"/>
        <v>0.21</v>
      </c>
      <c r="AE30" s="724">
        <v>0</v>
      </c>
      <c r="AF30" s="725">
        <f t="shared" si="16"/>
        <v>0.21</v>
      </c>
      <c r="AG30" s="724">
        <v>0</v>
      </c>
      <c r="AH30" s="725">
        <f t="shared" si="17"/>
        <v>0.21</v>
      </c>
      <c r="AI30"/>
      <c r="AJ30"/>
      <c r="AK30"/>
      <c r="AL30" s="423">
        <f t="shared" si="0"/>
        <v>0</v>
      </c>
      <c r="AM30"/>
      <c r="AN30" s="599">
        <f t="shared" si="1"/>
        <v>0</v>
      </c>
      <c r="AO30" s="599">
        <f t="shared" si="2"/>
        <v>0</v>
      </c>
      <c r="AP30" s="599">
        <f t="shared" si="3"/>
        <v>0</v>
      </c>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row>
    <row r="31" spans="1:117" s="168" customFormat="1" outlineLevel="1" x14ac:dyDescent="0.3">
      <c r="A31"/>
      <c r="B31" s="721" t="s">
        <v>431</v>
      </c>
      <c r="C31" s="724">
        <f>C25-SUM(C26:C30)</f>
        <v>0</v>
      </c>
      <c r="D31" s="725">
        <f>$F$12</f>
        <v>0</v>
      </c>
      <c r="E31" s="724">
        <f>E25-SUM(E26:E30)</f>
        <v>0</v>
      </c>
      <c r="F31" s="725">
        <f t="shared" si="6"/>
        <v>0</v>
      </c>
      <c r="G31" s="724">
        <f>G25-SUM(G26:G30)</f>
        <v>0</v>
      </c>
      <c r="H31" s="725">
        <f t="shared" si="7"/>
        <v>0</v>
      </c>
      <c r="I31" s="724">
        <f>I25-SUM(I26:I30)</f>
        <v>0</v>
      </c>
      <c r="J31" s="725">
        <f t="shared" si="7"/>
        <v>0</v>
      </c>
      <c r="K31" s="724">
        <f>K25-SUM(K26:K30)</f>
        <v>0</v>
      </c>
      <c r="L31" s="725">
        <f t="shared" si="7"/>
        <v>0</v>
      </c>
      <c r="M31" s="629"/>
      <c r="N31" s="724">
        <f>N25-SUM(N26:N30)</f>
        <v>0</v>
      </c>
      <c r="O31" s="725">
        <f t="shared" si="8"/>
        <v>0.21</v>
      </c>
      <c r="P31" s="724">
        <f>P25-SUM(P26:P30)</f>
        <v>0</v>
      </c>
      <c r="Q31" s="725">
        <f t="shared" si="9"/>
        <v>0.21</v>
      </c>
      <c r="R31" s="724">
        <f>R25-SUM(R26:R30)</f>
        <v>0</v>
      </c>
      <c r="S31" s="725">
        <f t="shared" si="10"/>
        <v>0.21</v>
      </c>
      <c r="T31" s="724">
        <f>T25-SUM(T26:T30)</f>
        <v>0</v>
      </c>
      <c r="U31" s="725">
        <f t="shared" si="11"/>
        <v>0.21</v>
      </c>
      <c r="V31" s="724">
        <f>V25-SUM(V26:V30)</f>
        <v>0</v>
      </c>
      <c r="W31" s="725">
        <f t="shared" si="12"/>
        <v>0.21</v>
      </c>
      <c r="X31" s="647"/>
      <c r="Y31" s="724">
        <f>Y25-SUM(Y26:Y30)</f>
        <v>0</v>
      </c>
      <c r="Z31" s="725">
        <f t="shared" si="13"/>
        <v>0.21</v>
      </c>
      <c r="AA31" s="724">
        <f>AA25-SUM(AA26:AA30)</f>
        <v>0</v>
      </c>
      <c r="AB31" s="725">
        <f t="shared" si="14"/>
        <v>0.21</v>
      </c>
      <c r="AC31" s="724">
        <f>AC25-SUM(AC26:AC30)</f>
        <v>0</v>
      </c>
      <c r="AD31" s="725">
        <f t="shared" si="15"/>
        <v>0.21</v>
      </c>
      <c r="AE31" s="724">
        <f>AE25-SUM(AE26:AE30)</f>
        <v>0</v>
      </c>
      <c r="AF31" s="725">
        <f t="shared" si="16"/>
        <v>0.21</v>
      </c>
      <c r="AG31" s="724">
        <f>AG25-SUM(AG26:AG30)</f>
        <v>0</v>
      </c>
      <c r="AH31" s="725">
        <f t="shared" si="17"/>
        <v>0.21</v>
      </c>
      <c r="AI31"/>
      <c r="AJ31" t="s">
        <v>432</v>
      </c>
      <c r="AK31"/>
      <c r="AL31" s="423">
        <f t="shared" si="0"/>
        <v>0</v>
      </c>
      <c r="AM31"/>
      <c r="AN31" s="599">
        <f t="shared" si="1"/>
        <v>0</v>
      </c>
      <c r="AO31" s="599">
        <f t="shared" si="2"/>
        <v>0</v>
      </c>
      <c r="AP31" s="599">
        <f t="shared" si="3"/>
        <v>0</v>
      </c>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row>
    <row r="32" spans="1:117" x14ac:dyDescent="0.3">
      <c r="B32" s="336" t="s">
        <v>124</v>
      </c>
      <c r="C32" s="663">
        <v>0</v>
      </c>
      <c r="D32" s="335"/>
      <c r="E32" s="663">
        <f>C32</f>
        <v>0</v>
      </c>
      <c r="F32" s="335"/>
      <c r="G32" s="664"/>
      <c r="H32" s="335"/>
      <c r="I32" s="664"/>
      <c r="J32" s="335"/>
      <c r="K32" s="663"/>
      <c r="L32" s="335"/>
      <c r="M32" s="629"/>
      <c r="N32" s="663">
        <v>0</v>
      </c>
      <c r="O32" s="335"/>
      <c r="P32" s="663">
        <f>N32</f>
        <v>0</v>
      </c>
      <c r="Q32" s="335"/>
      <c r="R32" s="664"/>
      <c r="S32" s="335"/>
      <c r="T32" s="664"/>
      <c r="U32" s="335"/>
      <c r="V32" s="663"/>
      <c r="W32" s="335"/>
      <c r="X32" s="647"/>
      <c r="Y32" s="663">
        <v>0</v>
      </c>
      <c r="Z32" s="335"/>
      <c r="AA32" s="663">
        <f>Y32</f>
        <v>0</v>
      </c>
      <c r="AB32" s="335"/>
      <c r="AC32" s="664"/>
      <c r="AD32" s="335"/>
      <c r="AE32" s="664"/>
      <c r="AF32" s="335"/>
      <c r="AG32" s="663"/>
      <c r="AH32" s="335"/>
      <c r="AL32" s="423">
        <f t="shared" si="0"/>
        <v>0</v>
      </c>
      <c r="AN32" s="599">
        <f t="shared" si="1"/>
        <v>0</v>
      </c>
      <c r="AO32" s="599">
        <f t="shared" si="2"/>
        <v>0</v>
      </c>
      <c r="AP32" s="599">
        <f t="shared" si="3"/>
        <v>0</v>
      </c>
    </row>
    <row r="33" spans="2:42" outlineLevel="1" x14ac:dyDescent="0.3">
      <c r="B33" s="721" t="s">
        <v>433</v>
      </c>
      <c r="C33" s="724">
        <v>0</v>
      </c>
      <c r="D33" s="725">
        <f t="shared" ref="D33:D39" si="18">$F$12</f>
        <v>0</v>
      </c>
      <c r="E33" s="724">
        <v>0</v>
      </c>
      <c r="F33" s="725">
        <f>F$12</f>
        <v>0</v>
      </c>
      <c r="G33" s="724">
        <v>0</v>
      </c>
      <c r="H33" s="725">
        <f>F33</f>
        <v>0</v>
      </c>
      <c r="I33" s="724">
        <v>0</v>
      </c>
      <c r="J33" s="725">
        <f>H33</f>
        <v>0</v>
      </c>
      <c r="K33" s="724">
        <v>0</v>
      </c>
      <c r="L33" s="725">
        <f>J33</f>
        <v>0</v>
      </c>
      <c r="M33" s="629"/>
      <c r="N33" s="724">
        <v>0</v>
      </c>
      <c r="O33" s="725">
        <f>$Q$12</f>
        <v>0.21</v>
      </c>
      <c r="P33" s="724">
        <v>0</v>
      </c>
      <c r="Q33" s="725">
        <f>O33</f>
        <v>0.21</v>
      </c>
      <c r="R33" s="724">
        <v>0</v>
      </c>
      <c r="S33" s="725">
        <f>Q33</f>
        <v>0.21</v>
      </c>
      <c r="T33" s="724">
        <v>0</v>
      </c>
      <c r="U33" s="725">
        <f>S33</f>
        <v>0.21</v>
      </c>
      <c r="V33" s="724">
        <v>0</v>
      </c>
      <c r="W33" s="725">
        <f>U33</f>
        <v>0.21</v>
      </c>
      <c r="X33" s="647"/>
      <c r="Y33" s="724">
        <v>0</v>
      </c>
      <c r="Z33" s="725">
        <f>$AB$12</f>
        <v>0.21</v>
      </c>
      <c r="AA33" s="724">
        <v>0</v>
      </c>
      <c r="AB33" s="725">
        <f>Z33</f>
        <v>0.21</v>
      </c>
      <c r="AC33" s="724">
        <v>0</v>
      </c>
      <c r="AD33" s="725">
        <f>AB33</f>
        <v>0.21</v>
      </c>
      <c r="AE33" s="724">
        <v>0</v>
      </c>
      <c r="AF33" s="725">
        <f>AD33</f>
        <v>0.21</v>
      </c>
      <c r="AG33" s="724">
        <v>0</v>
      </c>
      <c r="AH33" s="725">
        <f>AF33</f>
        <v>0.21</v>
      </c>
      <c r="AL33" s="423">
        <f t="shared" si="0"/>
        <v>0</v>
      </c>
      <c r="AN33" s="599">
        <f t="shared" si="1"/>
        <v>0</v>
      </c>
      <c r="AO33" s="599">
        <f t="shared" si="2"/>
        <v>0</v>
      </c>
      <c r="AP33" s="599">
        <f t="shared" si="3"/>
        <v>0</v>
      </c>
    </row>
    <row r="34" spans="2:42" outlineLevel="1" x14ac:dyDescent="0.3">
      <c r="B34" s="721" t="s">
        <v>434</v>
      </c>
      <c r="C34" s="724">
        <v>0</v>
      </c>
      <c r="D34" s="725">
        <f t="shared" si="18"/>
        <v>0</v>
      </c>
      <c r="E34" s="724">
        <v>0</v>
      </c>
      <c r="F34" s="725">
        <f t="shared" ref="F34:F39" si="19">F$12</f>
        <v>0</v>
      </c>
      <c r="G34" s="724">
        <v>0</v>
      </c>
      <c r="H34" s="725">
        <f t="shared" ref="H34:L38" si="20">F34</f>
        <v>0</v>
      </c>
      <c r="I34" s="724">
        <v>0</v>
      </c>
      <c r="J34" s="725">
        <f t="shared" si="20"/>
        <v>0</v>
      </c>
      <c r="K34" s="724">
        <v>0</v>
      </c>
      <c r="L34" s="725">
        <f t="shared" si="20"/>
        <v>0</v>
      </c>
      <c r="M34" s="629"/>
      <c r="N34" s="724">
        <v>0</v>
      </c>
      <c r="O34" s="725">
        <f t="shared" ref="O34:O38" si="21">$Q$12</f>
        <v>0.21</v>
      </c>
      <c r="P34" s="724">
        <v>0</v>
      </c>
      <c r="Q34" s="725">
        <f t="shared" ref="Q34:Q38" si="22">O34</f>
        <v>0.21</v>
      </c>
      <c r="R34" s="724">
        <v>0</v>
      </c>
      <c r="S34" s="725">
        <f t="shared" ref="S34:S38" si="23">Q34</f>
        <v>0.21</v>
      </c>
      <c r="T34" s="724">
        <v>0</v>
      </c>
      <c r="U34" s="725">
        <f t="shared" ref="U34:U38" si="24">S34</f>
        <v>0.21</v>
      </c>
      <c r="V34" s="724">
        <v>0</v>
      </c>
      <c r="W34" s="725">
        <f t="shared" ref="W34:W38" si="25">U34</f>
        <v>0.21</v>
      </c>
      <c r="X34" s="647"/>
      <c r="Y34" s="724">
        <v>0</v>
      </c>
      <c r="Z34" s="725">
        <f t="shared" ref="Z34:Z39" si="26">$AB$12</f>
        <v>0.21</v>
      </c>
      <c r="AA34" s="724">
        <v>0</v>
      </c>
      <c r="AB34" s="725">
        <f t="shared" ref="AB34:AB38" si="27">Z34</f>
        <v>0.21</v>
      </c>
      <c r="AC34" s="724">
        <v>0</v>
      </c>
      <c r="AD34" s="725">
        <f t="shared" ref="AD34:AD38" si="28">AB34</f>
        <v>0.21</v>
      </c>
      <c r="AE34" s="724">
        <v>0</v>
      </c>
      <c r="AF34" s="725">
        <f t="shared" ref="AF34:AF38" si="29">AD34</f>
        <v>0.21</v>
      </c>
      <c r="AG34" s="724">
        <v>0</v>
      </c>
      <c r="AH34" s="725">
        <f t="shared" ref="AH34:AH38" si="30">AF34</f>
        <v>0.21</v>
      </c>
      <c r="AL34" s="423">
        <f t="shared" si="0"/>
        <v>0</v>
      </c>
      <c r="AN34" s="599">
        <f t="shared" si="1"/>
        <v>0</v>
      </c>
      <c r="AO34" s="599">
        <f t="shared" si="2"/>
        <v>0</v>
      </c>
      <c r="AP34" s="599">
        <f t="shared" si="3"/>
        <v>0</v>
      </c>
    </row>
    <row r="35" spans="2:42" outlineLevel="1" x14ac:dyDescent="0.3">
      <c r="B35" s="721" t="s">
        <v>435</v>
      </c>
      <c r="C35" s="724">
        <v>0</v>
      </c>
      <c r="D35" s="725">
        <f t="shared" si="18"/>
        <v>0</v>
      </c>
      <c r="E35" s="724">
        <v>0</v>
      </c>
      <c r="F35" s="725">
        <f t="shared" si="19"/>
        <v>0</v>
      </c>
      <c r="G35" s="724">
        <v>0</v>
      </c>
      <c r="H35" s="725">
        <f t="shared" si="20"/>
        <v>0</v>
      </c>
      <c r="I35" s="724">
        <v>0</v>
      </c>
      <c r="J35" s="725">
        <f t="shared" si="20"/>
        <v>0</v>
      </c>
      <c r="K35" s="724">
        <v>0</v>
      </c>
      <c r="L35" s="725">
        <f t="shared" si="20"/>
        <v>0</v>
      </c>
      <c r="M35" s="629"/>
      <c r="N35" s="724">
        <v>0</v>
      </c>
      <c r="O35" s="725">
        <f t="shared" si="21"/>
        <v>0.21</v>
      </c>
      <c r="P35" s="724">
        <v>0</v>
      </c>
      <c r="Q35" s="725">
        <f t="shared" si="22"/>
        <v>0.21</v>
      </c>
      <c r="R35" s="724">
        <v>0</v>
      </c>
      <c r="S35" s="725">
        <f t="shared" si="23"/>
        <v>0.21</v>
      </c>
      <c r="T35" s="724">
        <v>0</v>
      </c>
      <c r="U35" s="725">
        <f t="shared" si="24"/>
        <v>0.21</v>
      </c>
      <c r="V35" s="724">
        <v>0</v>
      </c>
      <c r="W35" s="725">
        <f t="shared" si="25"/>
        <v>0.21</v>
      </c>
      <c r="X35" s="647"/>
      <c r="Y35" s="724">
        <v>0</v>
      </c>
      <c r="Z35" s="725">
        <f t="shared" si="26"/>
        <v>0.21</v>
      </c>
      <c r="AA35" s="724">
        <v>0</v>
      </c>
      <c r="AB35" s="725">
        <f t="shared" si="27"/>
        <v>0.21</v>
      </c>
      <c r="AC35" s="724">
        <v>0</v>
      </c>
      <c r="AD35" s="725">
        <f t="shared" si="28"/>
        <v>0.21</v>
      </c>
      <c r="AE35" s="724">
        <v>0</v>
      </c>
      <c r="AF35" s="725">
        <f t="shared" si="29"/>
        <v>0.21</v>
      </c>
      <c r="AG35" s="724">
        <v>0</v>
      </c>
      <c r="AH35" s="725">
        <f t="shared" si="30"/>
        <v>0.21</v>
      </c>
      <c r="AL35" s="423">
        <f t="shared" si="0"/>
        <v>0</v>
      </c>
      <c r="AN35" s="599">
        <f t="shared" si="1"/>
        <v>0</v>
      </c>
      <c r="AO35" s="599">
        <f t="shared" si="2"/>
        <v>0</v>
      </c>
      <c r="AP35" s="599">
        <f t="shared" si="3"/>
        <v>0</v>
      </c>
    </row>
    <row r="36" spans="2:42" outlineLevel="1" x14ac:dyDescent="0.3">
      <c r="B36" s="726" t="s">
        <v>436</v>
      </c>
      <c r="C36" s="724">
        <v>0</v>
      </c>
      <c r="D36" s="725">
        <f t="shared" si="18"/>
        <v>0</v>
      </c>
      <c r="E36" s="724">
        <v>0</v>
      </c>
      <c r="F36" s="725">
        <f t="shared" si="19"/>
        <v>0</v>
      </c>
      <c r="G36" s="724">
        <v>0</v>
      </c>
      <c r="H36" s="725">
        <f t="shared" si="20"/>
        <v>0</v>
      </c>
      <c r="I36" s="724">
        <v>0</v>
      </c>
      <c r="J36" s="725">
        <f t="shared" si="20"/>
        <v>0</v>
      </c>
      <c r="K36" s="724">
        <v>0</v>
      </c>
      <c r="L36" s="725">
        <f t="shared" si="20"/>
        <v>0</v>
      </c>
      <c r="M36" s="629"/>
      <c r="N36" s="724">
        <v>0</v>
      </c>
      <c r="O36" s="725">
        <f t="shared" si="21"/>
        <v>0.21</v>
      </c>
      <c r="P36" s="724">
        <v>0</v>
      </c>
      <c r="Q36" s="725">
        <f t="shared" si="22"/>
        <v>0.21</v>
      </c>
      <c r="R36" s="724">
        <v>0</v>
      </c>
      <c r="S36" s="725">
        <f t="shared" si="23"/>
        <v>0.21</v>
      </c>
      <c r="T36" s="724">
        <v>0</v>
      </c>
      <c r="U36" s="725">
        <f t="shared" si="24"/>
        <v>0.21</v>
      </c>
      <c r="V36" s="724">
        <v>0</v>
      </c>
      <c r="W36" s="725">
        <f t="shared" si="25"/>
        <v>0.21</v>
      </c>
      <c r="X36" s="647"/>
      <c r="Y36" s="724">
        <v>0</v>
      </c>
      <c r="Z36" s="725">
        <f t="shared" si="26"/>
        <v>0.21</v>
      </c>
      <c r="AA36" s="724">
        <v>0</v>
      </c>
      <c r="AB36" s="725">
        <f t="shared" si="27"/>
        <v>0.21</v>
      </c>
      <c r="AC36" s="724">
        <v>0</v>
      </c>
      <c r="AD36" s="725">
        <f t="shared" si="28"/>
        <v>0.21</v>
      </c>
      <c r="AE36" s="724">
        <v>0</v>
      </c>
      <c r="AF36" s="725">
        <f t="shared" si="29"/>
        <v>0.21</v>
      </c>
      <c r="AG36" s="724">
        <v>0</v>
      </c>
      <c r="AH36" s="725">
        <f t="shared" si="30"/>
        <v>0.21</v>
      </c>
      <c r="AL36" s="423">
        <f t="shared" si="0"/>
        <v>0</v>
      </c>
      <c r="AN36" s="599">
        <f t="shared" si="1"/>
        <v>0</v>
      </c>
      <c r="AO36" s="599">
        <f t="shared" si="2"/>
        <v>0</v>
      </c>
      <c r="AP36" s="599">
        <f t="shared" si="3"/>
        <v>0</v>
      </c>
    </row>
    <row r="37" spans="2:42" outlineLevel="1" x14ac:dyDescent="0.3">
      <c r="B37" s="726" t="s">
        <v>429</v>
      </c>
      <c r="C37" s="724">
        <v>0</v>
      </c>
      <c r="D37" s="725">
        <f t="shared" si="18"/>
        <v>0</v>
      </c>
      <c r="E37" s="724">
        <v>0</v>
      </c>
      <c r="F37" s="725">
        <f t="shared" si="19"/>
        <v>0</v>
      </c>
      <c r="G37" s="724">
        <v>0</v>
      </c>
      <c r="H37" s="725">
        <f t="shared" si="20"/>
        <v>0</v>
      </c>
      <c r="I37" s="724">
        <v>0</v>
      </c>
      <c r="J37" s="725">
        <f t="shared" si="20"/>
        <v>0</v>
      </c>
      <c r="K37" s="724">
        <v>0</v>
      </c>
      <c r="L37" s="725">
        <f t="shared" si="20"/>
        <v>0</v>
      </c>
      <c r="M37" s="629"/>
      <c r="N37" s="724">
        <v>0</v>
      </c>
      <c r="O37" s="725">
        <f t="shared" si="21"/>
        <v>0.21</v>
      </c>
      <c r="P37" s="724">
        <v>0</v>
      </c>
      <c r="Q37" s="725">
        <f t="shared" si="22"/>
        <v>0.21</v>
      </c>
      <c r="R37" s="724">
        <v>0</v>
      </c>
      <c r="S37" s="725">
        <f t="shared" si="23"/>
        <v>0.21</v>
      </c>
      <c r="T37" s="724">
        <v>0</v>
      </c>
      <c r="U37" s="725">
        <f t="shared" si="24"/>
        <v>0.21</v>
      </c>
      <c r="V37" s="724">
        <v>0</v>
      </c>
      <c r="W37" s="725">
        <f t="shared" si="25"/>
        <v>0.21</v>
      </c>
      <c r="X37" s="647"/>
      <c r="Y37" s="724">
        <v>0</v>
      </c>
      <c r="Z37" s="725">
        <f t="shared" si="26"/>
        <v>0.21</v>
      </c>
      <c r="AA37" s="724">
        <v>0</v>
      </c>
      <c r="AB37" s="725">
        <f t="shared" si="27"/>
        <v>0.21</v>
      </c>
      <c r="AC37" s="724">
        <v>0</v>
      </c>
      <c r="AD37" s="725">
        <f t="shared" si="28"/>
        <v>0.21</v>
      </c>
      <c r="AE37" s="724">
        <v>0</v>
      </c>
      <c r="AF37" s="725">
        <f t="shared" si="29"/>
        <v>0.21</v>
      </c>
      <c r="AG37" s="724">
        <v>0</v>
      </c>
      <c r="AH37" s="725">
        <f t="shared" si="30"/>
        <v>0.21</v>
      </c>
      <c r="AL37" s="423">
        <f t="shared" si="0"/>
        <v>0</v>
      </c>
      <c r="AN37" s="599">
        <f t="shared" si="1"/>
        <v>0</v>
      </c>
      <c r="AO37" s="599">
        <f t="shared" si="2"/>
        <v>0</v>
      </c>
      <c r="AP37" s="599">
        <f t="shared" si="3"/>
        <v>0</v>
      </c>
    </row>
    <row r="38" spans="2:42" outlineLevel="1" x14ac:dyDescent="0.3">
      <c r="B38" s="721" t="s">
        <v>430</v>
      </c>
      <c r="C38" s="724">
        <v>0</v>
      </c>
      <c r="D38" s="725">
        <f t="shared" si="18"/>
        <v>0</v>
      </c>
      <c r="E38" s="724">
        <v>0</v>
      </c>
      <c r="F38" s="725">
        <f t="shared" si="19"/>
        <v>0</v>
      </c>
      <c r="G38" s="724">
        <v>0</v>
      </c>
      <c r="H38" s="725">
        <f t="shared" si="20"/>
        <v>0</v>
      </c>
      <c r="I38" s="724">
        <v>0</v>
      </c>
      <c r="J38" s="725">
        <f t="shared" si="20"/>
        <v>0</v>
      </c>
      <c r="K38" s="724">
        <v>0</v>
      </c>
      <c r="L38" s="725">
        <f t="shared" si="20"/>
        <v>0</v>
      </c>
      <c r="M38" s="629"/>
      <c r="N38" s="724">
        <v>0</v>
      </c>
      <c r="O38" s="725">
        <f t="shared" si="21"/>
        <v>0.21</v>
      </c>
      <c r="P38" s="724">
        <v>0</v>
      </c>
      <c r="Q38" s="725">
        <f t="shared" si="22"/>
        <v>0.21</v>
      </c>
      <c r="R38" s="724">
        <v>0</v>
      </c>
      <c r="S38" s="725">
        <f t="shared" si="23"/>
        <v>0.21</v>
      </c>
      <c r="T38" s="724">
        <v>0</v>
      </c>
      <c r="U38" s="725">
        <f t="shared" si="24"/>
        <v>0.21</v>
      </c>
      <c r="V38" s="724">
        <v>0</v>
      </c>
      <c r="W38" s="725">
        <f t="shared" si="25"/>
        <v>0.21</v>
      </c>
      <c r="X38" s="647"/>
      <c r="Y38" s="724">
        <v>0</v>
      </c>
      <c r="Z38" s="725">
        <f t="shared" si="26"/>
        <v>0.21</v>
      </c>
      <c r="AA38" s="724">
        <v>0</v>
      </c>
      <c r="AB38" s="725">
        <f t="shared" si="27"/>
        <v>0.21</v>
      </c>
      <c r="AC38" s="724">
        <v>0</v>
      </c>
      <c r="AD38" s="725">
        <f t="shared" si="28"/>
        <v>0.21</v>
      </c>
      <c r="AE38" s="724">
        <v>0</v>
      </c>
      <c r="AF38" s="725">
        <f t="shared" si="29"/>
        <v>0.21</v>
      </c>
      <c r="AG38" s="724">
        <v>0</v>
      </c>
      <c r="AH38" s="725">
        <f t="shared" si="30"/>
        <v>0.21</v>
      </c>
      <c r="AL38" s="423">
        <f t="shared" si="0"/>
        <v>0</v>
      </c>
      <c r="AN38" s="599">
        <f t="shared" si="1"/>
        <v>0</v>
      </c>
      <c r="AO38" s="599">
        <f t="shared" si="2"/>
        <v>0</v>
      </c>
      <c r="AP38" s="599">
        <f t="shared" si="3"/>
        <v>0</v>
      </c>
    </row>
    <row r="39" spans="2:42" outlineLevel="1" x14ac:dyDescent="0.3">
      <c r="B39" s="727" t="s">
        <v>431</v>
      </c>
      <c r="C39" s="724">
        <f>C32-SUM(C33:C38)</f>
        <v>0</v>
      </c>
      <c r="D39" s="725">
        <f t="shared" si="18"/>
        <v>0</v>
      </c>
      <c r="E39" s="724">
        <f>E32-SUM(E33:E38)</f>
        <v>0</v>
      </c>
      <c r="F39" s="725">
        <f t="shared" si="19"/>
        <v>0</v>
      </c>
      <c r="G39" s="724">
        <f>G32-SUM(G33:G38)</f>
        <v>0</v>
      </c>
      <c r="H39" s="725">
        <f>F39</f>
        <v>0</v>
      </c>
      <c r="I39" s="724">
        <f>I32-SUM(I33:I38)</f>
        <v>0</v>
      </c>
      <c r="J39" s="725">
        <f>H39</f>
        <v>0</v>
      </c>
      <c r="K39" s="724">
        <f>K32-SUM(K33:K38)</f>
        <v>0</v>
      </c>
      <c r="L39" s="725">
        <f>J39</f>
        <v>0</v>
      </c>
      <c r="M39" s="629"/>
      <c r="N39" s="724">
        <f>N32-SUM(N33:N38)</f>
        <v>0</v>
      </c>
      <c r="O39" s="725">
        <f>$Q$12</f>
        <v>0.21</v>
      </c>
      <c r="P39" s="724">
        <f>P32-SUM(P33:P38)</f>
        <v>0</v>
      </c>
      <c r="Q39" s="725">
        <f>O39</f>
        <v>0.21</v>
      </c>
      <c r="R39" s="724">
        <f>R32-SUM(R33:R38)</f>
        <v>0</v>
      </c>
      <c r="S39" s="725">
        <f>Q39</f>
        <v>0.21</v>
      </c>
      <c r="T39" s="724">
        <f>T32-SUM(T33:T38)</f>
        <v>0</v>
      </c>
      <c r="U39" s="725">
        <f>S39</f>
        <v>0.21</v>
      </c>
      <c r="V39" s="724">
        <f>V32-SUM(V33:V38)</f>
        <v>0</v>
      </c>
      <c r="W39" s="725">
        <f>U39</f>
        <v>0.21</v>
      </c>
      <c r="X39" s="647"/>
      <c r="Y39" s="724">
        <f>Y32-SUM(Y33:Y38)</f>
        <v>0</v>
      </c>
      <c r="Z39" s="725">
        <f t="shared" si="26"/>
        <v>0.21</v>
      </c>
      <c r="AA39" s="724">
        <f>AA32-SUM(AA33:AA38)</f>
        <v>0</v>
      </c>
      <c r="AB39" s="725">
        <f>Z39</f>
        <v>0.21</v>
      </c>
      <c r="AC39" s="724">
        <f>AC32-SUM(AC33:AC38)</f>
        <v>0</v>
      </c>
      <c r="AD39" s="725">
        <f>AB39</f>
        <v>0.21</v>
      </c>
      <c r="AE39" s="724">
        <f>AE32-SUM(AE33:AE38)</f>
        <v>0</v>
      </c>
      <c r="AF39" s="725">
        <f>AD39</f>
        <v>0.21</v>
      </c>
      <c r="AG39" s="724">
        <f>AG32-SUM(AG33:AG38)</f>
        <v>0</v>
      </c>
      <c r="AH39" s="725">
        <f>AF39</f>
        <v>0.21</v>
      </c>
      <c r="AL39" s="423">
        <f t="shared" si="0"/>
        <v>0</v>
      </c>
      <c r="AN39" s="599">
        <f t="shared" si="1"/>
        <v>0</v>
      </c>
      <c r="AO39" s="599">
        <f t="shared" si="2"/>
        <v>0</v>
      </c>
      <c r="AP39" s="599">
        <f t="shared" si="3"/>
        <v>0</v>
      </c>
    </row>
    <row r="40" spans="2:42" x14ac:dyDescent="0.3">
      <c r="B40" s="336" t="s">
        <v>125</v>
      </c>
      <c r="C40" s="663">
        <v>0</v>
      </c>
      <c r="D40" s="335"/>
      <c r="E40" s="663">
        <f>C40</f>
        <v>0</v>
      </c>
      <c r="F40" s="335"/>
      <c r="G40" s="664"/>
      <c r="H40" s="335"/>
      <c r="I40" s="664"/>
      <c r="J40" s="335"/>
      <c r="K40" s="663"/>
      <c r="L40" s="335"/>
      <c r="M40" s="629"/>
      <c r="N40" s="663">
        <v>0</v>
      </c>
      <c r="O40" s="335"/>
      <c r="P40" s="663">
        <f>N40</f>
        <v>0</v>
      </c>
      <c r="Q40" s="335"/>
      <c r="R40" s="664"/>
      <c r="S40" s="335"/>
      <c r="T40" s="664"/>
      <c r="U40" s="335"/>
      <c r="V40" s="663"/>
      <c r="W40" s="335"/>
      <c r="X40" s="647"/>
      <c r="Y40" s="663">
        <v>0</v>
      </c>
      <c r="Z40" s="335"/>
      <c r="AA40" s="663">
        <f>Y40</f>
        <v>0</v>
      </c>
      <c r="AB40" s="335"/>
      <c r="AC40" s="664"/>
      <c r="AD40" s="335"/>
      <c r="AE40" s="664"/>
      <c r="AF40" s="335"/>
      <c r="AG40" s="663"/>
      <c r="AH40" s="335"/>
      <c r="AL40" s="423">
        <f t="shared" si="0"/>
        <v>0</v>
      </c>
      <c r="AN40" s="599">
        <f t="shared" si="1"/>
        <v>0</v>
      </c>
      <c r="AO40" s="599">
        <f t="shared" si="2"/>
        <v>0</v>
      </c>
      <c r="AP40" s="599">
        <f t="shared" si="3"/>
        <v>0</v>
      </c>
    </row>
    <row r="41" spans="2:42" outlineLevel="1" x14ac:dyDescent="0.3">
      <c r="B41" s="721" t="s">
        <v>437</v>
      </c>
      <c r="C41" s="724">
        <v>0</v>
      </c>
      <c r="D41" s="725">
        <f t="shared" ref="D41:D48" si="31">$F$12</f>
        <v>0</v>
      </c>
      <c r="E41" s="724">
        <v>0</v>
      </c>
      <c r="F41" s="725">
        <f>F$12</f>
        <v>0</v>
      </c>
      <c r="G41" s="724">
        <v>0</v>
      </c>
      <c r="H41" s="725">
        <f>F41</f>
        <v>0</v>
      </c>
      <c r="I41" s="724">
        <v>0</v>
      </c>
      <c r="J41" s="725">
        <f>H41</f>
        <v>0</v>
      </c>
      <c r="K41" s="724">
        <v>0</v>
      </c>
      <c r="L41" s="725">
        <f>J41</f>
        <v>0</v>
      </c>
      <c r="M41" s="629"/>
      <c r="N41" s="724">
        <v>0</v>
      </c>
      <c r="O41" s="725">
        <f>$Q$12</f>
        <v>0.21</v>
      </c>
      <c r="P41" s="724">
        <v>0</v>
      </c>
      <c r="Q41" s="725">
        <f>O41</f>
        <v>0.21</v>
      </c>
      <c r="R41" s="724">
        <v>0</v>
      </c>
      <c r="S41" s="725">
        <f>Q41</f>
        <v>0.21</v>
      </c>
      <c r="T41" s="724">
        <v>0</v>
      </c>
      <c r="U41" s="725">
        <f>S41</f>
        <v>0.21</v>
      </c>
      <c r="V41" s="724">
        <v>0</v>
      </c>
      <c r="W41" s="725">
        <f>U41</f>
        <v>0.21</v>
      </c>
      <c r="X41" s="647"/>
      <c r="Y41" s="724">
        <v>0</v>
      </c>
      <c r="Z41" s="725">
        <f>$AB$12</f>
        <v>0.21</v>
      </c>
      <c r="AA41" s="724">
        <v>0</v>
      </c>
      <c r="AB41" s="725">
        <f>Z41</f>
        <v>0.21</v>
      </c>
      <c r="AC41" s="724">
        <v>0</v>
      </c>
      <c r="AD41" s="725">
        <f>AB41</f>
        <v>0.21</v>
      </c>
      <c r="AE41" s="724">
        <v>0</v>
      </c>
      <c r="AF41" s="725">
        <f>AD41</f>
        <v>0.21</v>
      </c>
      <c r="AG41" s="724">
        <v>0</v>
      </c>
      <c r="AH41" s="725">
        <f>AF41</f>
        <v>0.21</v>
      </c>
      <c r="AL41" s="423">
        <f t="shared" si="0"/>
        <v>0</v>
      </c>
      <c r="AN41" s="599">
        <f t="shared" si="1"/>
        <v>0</v>
      </c>
      <c r="AO41" s="599">
        <f t="shared" si="2"/>
        <v>0</v>
      </c>
      <c r="AP41" s="599">
        <f t="shared" si="3"/>
        <v>0</v>
      </c>
    </row>
    <row r="42" spans="2:42" outlineLevel="1" x14ac:dyDescent="0.3">
      <c r="B42" s="721" t="s">
        <v>438</v>
      </c>
      <c r="C42" s="724">
        <v>0</v>
      </c>
      <c r="D42" s="725">
        <f t="shared" si="31"/>
        <v>0</v>
      </c>
      <c r="E42" s="724">
        <v>0</v>
      </c>
      <c r="F42" s="725">
        <f t="shared" ref="F42:F48" si="32">F$12</f>
        <v>0</v>
      </c>
      <c r="G42" s="724">
        <v>0</v>
      </c>
      <c r="H42" s="725">
        <f t="shared" ref="H42:L48" si="33">F42</f>
        <v>0</v>
      </c>
      <c r="I42" s="724">
        <v>0</v>
      </c>
      <c r="J42" s="725">
        <f t="shared" si="33"/>
        <v>0</v>
      </c>
      <c r="K42" s="724">
        <v>0</v>
      </c>
      <c r="L42" s="725">
        <f t="shared" si="33"/>
        <v>0</v>
      </c>
      <c r="M42" s="629"/>
      <c r="N42" s="724">
        <v>0</v>
      </c>
      <c r="O42" s="725">
        <f t="shared" ref="O42:O46" si="34">$Q$12</f>
        <v>0.21</v>
      </c>
      <c r="P42" s="724">
        <v>0</v>
      </c>
      <c r="Q42" s="725">
        <f t="shared" ref="Q42:Q48" si="35">O42</f>
        <v>0.21</v>
      </c>
      <c r="R42" s="724">
        <v>0</v>
      </c>
      <c r="S42" s="725">
        <f t="shared" ref="S42:S48" si="36">Q42</f>
        <v>0.21</v>
      </c>
      <c r="T42" s="724">
        <v>0</v>
      </c>
      <c r="U42" s="725">
        <f t="shared" ref="U42:U48" si="37">S42</f>
        <v>0.21</v>
      </c>
      <c r="V42" s="724">
        <v>0</v>
      </c>
      <c r="W42" s="725">
        <f t="shared" ref="W42:W48" si="38">U42</f>
        <v>0.21</v>
      </c>
      <c r="X42" s="647"/>
      <c r="Y42" s="724">
        <v>0</v>
      </c>
      <c r="Z42" s="725">
        <f t="shared" ref="Z42:Z48" si="39">$AB$12</f>
        <v>0.21</v>
      </c>
      <c r="AA42" s="724">
        <v>0</v>
      </c>
      <c r="AB42" s="725">
        <f t="shared" ref="AB42:AB48" si="40">Z42</f>
        <v>0.21</v>
      </c>
      <c r="AC42" s="724">
        <v>0</v>
      </c>
      <c r="AD42" s="725">
        <f t="shared" ref="AD42:AD48" si="41">AB42</f>
        <v>0.21</v>
      </c>
      <c r="AE42" s="724">
        <v>0</v>
      </c>
      <c r="AF42" s="725">
        <f t="shared" ref="AF42:AF48" si="42">AD42</f>
        <v>0.21</v>
      </c>
      <c r="AG42" s="724">
        <v>0</v>
      </c>
      <c r="AH42" s="725">
        <f t="shared" ref="AH42:AH48" si="43">AF42</f>
        <v>0.21</v>
      </c>
      <c r="AL42" s="423">
        <f t="shared" si="0"/>
        <v>0</v>
      </c>
      <c r="AN42" s="599">
        <f t="shared" si="1"/>
        <v>0</v>
      </c>
      <c r="AO42" s="599">
        <f t="shared" si="2"/>
        <v>0</v>
      </c>
      <c r="AP42" s="599">
        <f t="shared" si="3"/>
        <v>0</v>
      </c>
    </row>
    <row r="43" spans="2:42" outlineLevel="1" x14ac:dyDescent="0.3">
      <c r="B43" s="721" t="s">
        <v>439</v>
      </c>
      <c r="C43" s="724">
        <v>0</v>
      </c>
      <c r="D43" s="725">
        <f t="shared" si="31"/>
        <v>0</v>
      </c>
      <c r="E43" s="724">
        <v>0</v>
      </c>
      <c r="F43" s="725">
        <f t="shared" si="32"/>
        <v>0</v>
      </c>
      <c r="G43" s="724">
        <v>0</v>
      </c>
      <c r="H43" s="725">
        <f t="shared" si="33"/>
        <v>0</v>
      </c>
      <c r="I43" s="724">
        <v>0</v>
      </c>
      <c r="J43" s="725">
        <f t="shared" si="33"/>
        <v>0</v>
      </c>
      <c r="K43" s="724">
        <v>0</v>
      </c>
      <c r="L43" s="725">
        <f t="shared" si="33"/>
        <v>0</v>
      </c>
      <c r="M43" s="629"/>
      <c r="N43" s="724">
        <v>0</v>
      </c>
      <c r="O43" s="725">
        <f t="shared" si="34"/>
        <v>0.21</v>
      </c>
      <c r="P43" s="724">
        <v>0</v>
      </c>
      <c r="Q43" s="725">
        <f t="shared" si="35"/>
        <v>0.21</v>
      </c>
      <c r="R43" s="724">
        <v>0</v>
      </c>
      <c r="S43" s="725">
        <f t="shared" si="36"/>
        <v>0.21</v>
      </c>
      <c r="T43" s="724">
        <v>0</v>
      </c>
      <c r="U43" s="725">
        <f t="shared" si="37"/>
        <v>0.21</v>
      </c>
      <c r="V43" s="724">
        <v>0</v>
      </c>
      <c r="W43" s="725">
        <f t="shared" si="38"/>
        <v>0.21</v>
      </c>
      <c r="X43" s="647"/>
      <c r="Y43" s="724">
        <v>0</v>
      </c>
      <c r="Z43" s="725">
        <f t="shared" si="39"/>
        <v>0.21</v>
      </c>
      <c r="AA43" s="724">
        <v>0</v>
      </c>
      <c r="AB43" s="725">
        <f t="shared" si="40"/>
        <v>0.21</v>
      </c>
      <c r="AC43" s="724">
        <v>0</v>
      </c>
      <c r="AD43" s="725">
        <f t="shared" si="41"/>
        <v>0.21</v>
      </c>
      <c r="AE43" s="724">
        <v>0</v>
      </c>
      <c r="AF43" s="725">
        <f t="shared" si="42"/>
        <v>0.21</v>
      </c>
      <c r="AG43" s="724">
        <v>0</v>
      </c>
      <c r="AH43" s="725">
        <f t="shared" si="43"/>
        <v>0.21</v>
      </c>
      <c r="AL43" s="423">
        <f t="shared" si="0"/>
        <v>0</v>
      </c>
      <c r="AN43" s="599">
        <f t="shared" si="1"/>
        <v>0</v>
      </c>
      <c r="AO43" s="599">
        <f t="shared" si="2"/>
        <v>0</v>
      </c>
      <c r="AP43" s="599">
        <f t="shared" si="3"/>
        <v>0</v>
      </c>
    </row>
    <row r="44" spans="2:42" outlineLevel="1" x14ac:dyDescent="0.3">
      <c r="B44" s="726" t="s">
        <v>440</v>
      </c>
      <c r="C44" s="724">
        <v>0</v>
      </c>
      <c r="D44" s="725">
        <f t="shared" si="31"/>
        <v>0</v>
      </c>
      <c r="E44" s="724">
        <v>0</v>
      </c>
      <c r="F44" s="725">
        <f t="shared" si="32"/>
        <v>0</v>
      </c>
      <c r="G44" s="724">
        <v>0</v>
      </c>
      <c r="H44" s="725">
        <f t="shared" si="33"/>
        <v>0</v>
      </c>
      <c r="I44" s="724">
        <v>0</v>
      </c>
      <c r="J44" s="725">
        <f t="shared" si="33"/>
        <v>0</v>
      </c>
      <c r="K44" s="724">
        <v>0</v>
      </c>
      <c r="L44" s="725">
        <f t="shared" si="33"/>
        <v>0</v>
      </c>
      <c r="M44" s="629"/>
      <c r="N44" s="724">
        <v>0</v>
      </c>
      <c r="O44" s="725">
        <f t="shared" si="34"/>
        <v>0.21</v>
      </c>
      <c r="P44" s="724">
        <v>0</v>
      </c>
      <c r="Q44" s="725">
        <f t="shared" si="35"/>
        <v>0.21</v>
      </c>
      <c r="R44" s="724">
        <v>0</v>
      </c>
      <c r="S44" s="725">
        <f t="shared" si="36"/>
        <v>0.21</v>
      </c>
      <c r="T44" s="724">
        <v>0</v>
      </c>
      <c r="U44" s="725">
        <f t="shared" si="37"/>
        <v>0.21</v>
      </c>
      <c r="V44" s="724">
        <v>0</v>
      </c>
      <c r="W44" s="725">
        <f t="shared" si="38"/>
        <v>0.21</v>
      </c>
      <c r="X44" s="647"/>
      <c r="Y44" s="724">
        <v>0</v>
      </c>
      <c r="Z44" s="725">
        <f t="shared" si="39"/>
        <v>0.21</v>
      </c>
      <c r="AA44" s="724">
        <v>0</v>
      </c>
      <c r="AB44" s="725">
        <f t="shared" si="40"/>
        <v>0.21</v>
      </c>
      <c r="AC44" s="724">
        <v>0</v>
      </c>
      <c r="AD44" s="725">
        <f t="shared" si="41"/>
        <v>0.21</v>
      </c>
      <c r="AE44" s="724">
        <v>0</v>
      </c>
      <c r="AF44" s="725">
        <f t="shared" si="42"/>
        <v>0.21</v>
      </c>
      <c r="AG44" s="724">
        <v>0</v>
      </c>
      <c r="AH44" s="725">
        <f t="shared" si="43"/>
        <v>0.21</v>
      </c>
      <c r="AL44" s="423">
        <f t="shared" si="0"/>
        <v>0</v>
      </c>
      <c r="AN44" s="599">
        <f t="shared" si="1"/>
        <v>0</v>
      </c>
      <c r="AO44" s="599">
        <f t="shared" si="2"/>
        <v>0</v>
      </c>
      <c r="AP44" s="599">
        <f t="shared" si="3"/>
        <v>0</v>
      </c>
    </row>
    <row r="45" spans="2:42" outlineLevel="1" x14ac:dyDescent="0.3">
      <c r="B45" s="726" t="s">
        <v>441</v>
      </c>
      <c r="C45" s="724">
        <v>0</v>
      </c>
      <c r="D45" s="725">
        <f t="shared" si="31"/>
        <v>0</v>
      </c>
      <c r="E45" s="724">
        <v>0</v>
      </c>
      <c r="F45" s="725">
        <f t="shared" si="32"/>
        <v>0</v>
      </c>
      <c r="G45" s="724">
        <v>0</v>
      </c>
      <c r="H45" s="725">
        <f t="shared" si="33"/>
        <v>0</v>
      </c>
      <c r="I45" s="724">
        <v>0</v>
      </c>
      <c r="J45" s="725">
        <f t="shared" si="33"/>
        <v>0</v>
      </c>
      <c r="K45" s="724">
        <v>0</v>
      </c>
      <c r="L45" s="725">
        <f t="shared" si="33"/>
        <v>0</v>
      </c>
      <c r="M45" s="629"/>
      <c r="N45" s="724">
        <v>0</v>
      </c>
      <c r="O45" s="725">
        <f t="shared" si="34"/>
        <v>0.21</v>
      </c>
      <c r="P45" s="724">
        <v>0</v>
      </c>
      <c r="Q45" s="725">
        <f t="shared" si="35"/>
        <v>0.21</v>
      </c>
      <c r="R45" s="724">
        <v>0</v>
      </c>
      <c r="S45" s="725">
        <f t="shared" si="36"/>
        <v>0.21</v>
      </c>
      <c r="T45" s="724">
        <v>0</v>
      </c>
      <c r="U45" s="725">
        <f t="shared" si="37"/>
        <v>0.21</v>
      </c>
      <c r="V45" s="724">
        <v>0</v>
      </c>
      <c r="W45" s="725">
        <f t="shared" si="38"/>
        <v>0.21</v>
      </c>
      <c r="X45" s="647"/>
      <c r="Y45" s="724">
        <v>0</v>
      </c>
      <c r="Z45" s="725">
        <f t="shared" si="39"/>
        <v>0.21</v>
      </c>
      <c r="AA45" s="724">
        <v>0</v>
      </c>
      <c r="AB45" s="725">
        <f t="shared" si="40"/>
        <v>0.21</v>
      </c>
      <c r="AC45" s="724">
        <v>0</v>
      </c>
      <c r="AD45" s="725">
        <f t="shared" si="41"/>
        <v>0.21</v>
      </c>
      <c r="AE45" s="724">
        <v>0</v>
      </c>
      <c r="AF45" s="725">
        <f t="shared" si="42"/>
        <v>0.21</v>
      </c>
      <c r="AG45" s="724">
        <v>0</v>
      </c>
      <c r="AH45" s="725">
        <f t="shared" si="43"/>
        <v>0.21</v>
      </c>
      <c r="AL45" s="423">
        <f t="shared" si="0"/>
        <v>0</v>
      </c>
      <c r="AN45" s="599">
        <f t="shared" si="1"/>
        <v>0</v>
      </c>
      <c r="AO45" s="599">
        <f t="shared" si="2"/>
        <v>0</v>
      </c>
      <c r="AP45" s="599">
        <f t="shared" si="3"/>
        <v>0</v>
      </c>
    </row>
    <row r="46" spans="2:42" outlineLevel="1" x14ac:dyDescent="0.3">
      <c r="B46" s="721" t="s">
        <v>496</v>
      </c>
      <c r="C46" s="724">
        <v>0</v>
      </c>
      <c r="D46" s="725">
        <f t="shared" si="31"/>
        <v>0</v>
      </c>
      <c r="E46" s="724">
        <v>0</v>
      </c>
      <c r="F46" s="725">
        <f t="shared" si="32"/>
        <v>0</v>
      </c>
      <c r="G46" s="724">
        <v>0</v>
      </c>
      <c r="H46" s="725">
        <f t="shared" si="33"/>
        <v>0</v>
      </c>
      <c r="I46" s="724">
        <v>0</v>
      </c>
      <c r="J46" s="725">
        <f t="shared" si="33"/>
        <v>0</v>
      </c>
      <c r="K46" s="724">
        <v>0</v>
      </c>
      <c r="L46" s="725">
        <f t="shared" si="33"/>
        <v>0</v>
      </c>
      <c r="M46" s="629"/>
      <c r="N46" s="724">
        <v>0</v>
      </c>
      <c r="O46" s="725">
        <f t="shared" si="34"/>
        <v>0.21</v>
      </c>
      <c r="P46" s="724">
        <v>0</v>
      </c>
      <c r="Q46" s="725">
        <f t="shared" si="35"/>
        <v>0.21</v>
      </c>
      <c r="R46" s="724">
        <v>0</v>
      </c>
      <c r="S46" s="725">
        <f t="shared" si="36"/>
        <v>0.21</v>
      </c>
      <c r="T46" s="724">
        <v>0</v>
      </c>
      <c r="U46" s="725">
        <f t="shared" si="37"/>
        <v>0.21</v>
      </c>
      <c r="V46" s="724">
        <v>0</v>
      </c>
      <c r="W46" s="725">
        <f t="shared" si="38"/>
        <v>0.21</v>
      </c>
      <c r="X46" s="647"/>
      <c r="Y46" s="724">
        <v>0</v>
      </c>
      <c r="Z46" s="725">
        <f t="shared" si="39"/>
        <v>0.21</v>
      </c>
      <c r="AA46" s="724">
        <v>0</v>
      </c>
      <c r="AB46" s="725">
        <f t="shared" si="40"/>
        <v>0.21</v>
      </c>
      <c r="AC46" s="724">
        <v>0</v>
      </c>
      <c r="AD46" s="725">
        <f t="shared" si="41"/>
        <v>0.21</v>
      </c>
      <c r="AE46" s="724">
        <v>0</v>
      </c>
      <c r="AF46" s="725">
        <f t="shared" si="42"/>
        <v>0.21</v>
      </c>
      <c r="AG46" s="724">
        <v>0</v>
      </c>
      <c r="AH46" s="725">
        <f t="shared" si="43"/>
        <v>0.21</v>
      </c>
      <c r="AL46" s="423">
        <f t="shared" si="0"/>
        <v>0</v>
      </c>
      <c r="AN46" s="599">
        <f t="shared" si="1"/>
        <v>0</v>
      </c>
      <c r="AO46" s="599">
        <f t="shared" si="2"/>
        <v>0</v>
      </c>
      <c r="AP46" s="599">
        <f t="shared" si="3"/>
        <v>0</v>
      </c>
    </row>
    <row r="47" spans="2:42" outlineLevel="1" x14ac:dyDescent="0.3">
      <c r="B47" s="721" t="s">
        <v>430</v>
      </c>
      <c r="C47" s="724">
        <v>0</v>
      </c>
      <c r="D47" s="725">
        <f t="shared" si="31"/>
        <v>0</v>
      </c>
      <c r="E47" s="724">
        <v>0</v>
      </c>
      <c r="F47" s="725">
        <f t="shared" si="32"/>
        <v>0</v>
      </c>
      <c r="G47" s="724">
        <v>0</v>
      </c>
      <c r="H47" s="725">
        <f t="shared" si="33"/>
        <v>0</v>
      </c>
      <c r="I47" s="724">
        <v>0</v>
      </c>
      <c r="J47" s="725">
        <f t="shared" si="33"/>
        <v>0</v>
      </c>
      <c r="K47" s="724">
        <v>0</v>
      </c>
      <c r="L47" s="725">
        <f t="shared" si="33"/>
        <v>0</v>
      </c>
      <c r="M47" s="629"/>
      <c r="N47" s="724">
        <v>0</v>
      </c>
      <c r="O47" s="725">
        <f>$Q$12</f>
        <v>0.21</v>
      </c>
      <c r="P47" s="724">
        <v>0</v>
      </c>
      <c r="Q47" s="725">
        <f t="shared" si="35"/>
        <v>0.21</v>
      </c>
      <c r="R47" s="724">
        <v>0</v>
      </c>
      <c r="S47" s="725">
        <f t="shared" si="36"/>
        <v>0.21</v>
      </c>
      <c r="T47" s="724">
        <v>0</v>
      </c>
      <c r="U47" s="725">
        <f t="shared" si="37"/>
        <v>0.21</v>
      </c>
      <c r="V47" s="724">
        <v>0</v>
      </c>
      <c r="W47" s="725">
        <f t="shared" si="38"/>
        <v>0.21</v>
      </c>
      <c r="X47" s="647"/>
      <c r="Y47" s="724">
        <v>0</v>
      </c>
      <c r="Z47" s="725">
        <f t="shared" si="39"/>
        <v>0.21</v>
      </c>
      <c r="AA47" s="724">
        <v>0</v>
      </c>
      <c r="AB47" s="725">
        <f t="shared" si="40"/>
        <v>0.21</v>
      </c>
      <c r="AC47" s="724">
        <v>0</v>
      </c>
      <c r="AD47" s="725">
        <f t="shared" si="41"/>
        <v>0.21</v>
      </c>
      <c r="AE47" s="724">
        <v>0</v>
      </c>
      <c r="AF47" s="725">
        <f t="shared" si="42"/>
        <v>0.21</v>
      </c>
      <c r="AG47" s="724">
        <v>0</v>
      </c>
      <c r="AH47" s="725">
        <f t="shared" si="43"/>
        <v>0.21</v>
      </c>
      <c r="AL47" s="423">
        <f t="shared" si="0"/>
        <v>0</v>
      </c>
      <c r="AN47" s="599">
        <f t="shared" si="1"/>
        <v>0</v>
      </c>
      <c r="AO47" s="599">
        <f t="shared" si="2"/>
        <v>0</v>
      </c>
      <c r="AP47" s="599">
        <f t="shared" si="3"/>
        <v>0</v>
      </c>
    </row>
    <row r="48" spans="2:42" outlineLevel="1" x14ac:dyDescent="0.3">
      <c r="B48" s="727" t="s">
        <v>431</v>
      </c>
      <c r="C48" s="724">
        <f>C40-SUM(C41:C47)</f>
        <v>0</v>
      </c>
      <c r="D48" s="725">
        <f t="shared" si="31"/>
        <v>0</v>
      </c>
      <c r="E48" s="724">
        <f>E40-SUM(E41:E47)</f>
        <v>0</v>
      </c>
      <c r="F48" s="725">
        <f t="shared" si="32"/>
        <v>0</v>
      </c>
      <c r="G48" s="724">
        <f>G40-SUM(G41:G47)</f>
        <v>0</v>
      </c>
      <c r="H48" s="725">
        <f t="shared" si="33"/>
        <v>0</v>
      </c>
      <c r="I48" s="724">
        <f>I40-SUM(I41:I47)</f>
        <v>0</v>
      </c>
      <c r="J48" s="725">
        <f t="shared" si="33"/>
        <v>0</v>
      </c>
      <c r="K48" s="724">
        <f>K40-SUM(K41:K47)</f>
        <v>0</v>
      </c>
      <c r="L48" s="725">
        <f t="shared" si="33"/>
        <v>0</v>
      </c>
      <c r="M48" s="629"/>
      <c r="N48" s="724">
        <f>N40-SUM(N41:N47)</f>
        <v>0</v>
      </c>
      <c r="O48" s="725">
        <f>$Q$12</f>
        <v>0.21</v>
      </c>
      <c r="P48" s="724">
        <f>P40-SUM(P41:P47)</f>
        <v>0</v>
      </c>
      <c r="Q48" s="725">
        <f t="shared" si="35"/>
        <v>0.21</v>
      </c>
      <c r="R48" s="724">
        <f>R40-SUM(R41:R47)</f>
        <v>0</v>
      </c>
      <c r="S48" s="725">
        <f t="shared" si="36"/>
        <v>0.21</v>
      </c>
      <c r="T48" s="724">
        <f>T40-SUM(T41:T47)</f>
        <v>0</v>
      </c>
      <c r="U48" s="725">
        <f t="shared" si="37"/>
        <v>0.21</v>
      </c>
      <c r="V48" s="724">
        <f>V40-SUM(V41:V47)</f>
        <v>0</v>
      </c>
      <c r="W48" s="725">
        <f t="shared" si="38"/>
        <v>0.21</v>
      </c>
      <c r="X48" s="647"/>
      <c r="Y48" s="724">
        <f>Y40-SUM(Y41:Y47)</f>
        <v>0</v>
      </c>
      <c r="Z48" s="725">
        <f t="shared" si="39"/>
        <v>0.21</v>
      </c>
      <c r="AA48" s="724">
        <f>AA40-SUM(AA41:AA47)</f>
        <v>0</v>
      </c>
      <c r="AB48" s="725">
        <f t="shared" si="40"/>
        <v>0.21</v>
      </c>
      <c r="AC48" s="724">
        <f>AC40-SUM(AC41:AC47)</f>
        <v>0</v>
      </c>
      <c r="AD48" s="725">
        <f t="shared" si="41"/>
        <v>0.21</v>
      </c>
      <c r="AE48" s="724">
        <f>AE40-SUM(AE41:AE47)</f>
        <v>0</v>
      </c>
      <c r="AF48" s="725">
        <f t="shared" si="42"/>
        <v>0.21</v>
      </c>
      <c r="AG48" s="724">
        <f>AG40-SUM(AG41:AG47)</f>
        <v>0</v>
      </c>
      <c r="AH48" s="725">
        <f t="shared" si="43"/>
        <v>0.21</v>
      </c>
      <c r="AJ48" s="334"/>
      <c r="AL48" s="423">
        <f t="shared" si="0"/>
        <v>0</v>
      </c>
      <c r="AN48" s="599">
        <f t="shared" si="1"/>
        <v>0</v>
      </c>
      <c r="AO48" s="599">
        <f t="shared" si="2"/>
        <v>0</v>
      </c>
      <c r="AP48" s="599">
        <f t="shared" si="3"/>
        <v>0</v>
      </c>
    </row>
    <row r="49" spans="1:117" x14ac:dyDescent="0.3">
      <c r="B49" s="328" t="s">
        <v>126</v>
      </c>
      <c r="C49" s="670">
        <f>C25+C32+C40</f>
        <v>0</v>
      </c>
      <c r="D49" s="327"/>
      <c r="E49" s="670">
        <f>E25+E32+E40</f>
        <v>0</v>
      </c>
      <c r="F49" s="688"/>
      <c r="G49" s="671">
        <f>G25+G32+G40</f>
        <v>0</v>
      </c>
      <c r="H49" s="688"/>
      <c r="I49" s="671">
        <f>I25+I32+I40</f>
        <v>0</v>
      </c>
      <c r="J49" s="688"/>
      <c r="K49" s="670">
        <f>K25+K32+K40</f>
        <v>0</v>
      </c>
      <c r="L49" s="688"/>
      <c r="M49" s="39"/>
      <c r="N49" s="670">
        <f>N25+N32+N40</f>
        <v>0</v>
      </c>
      <c r="O49" s="327"/>
      <c r="P49" s="670">
        <f>P25+P32+P40</f>
        <v>0</v>
      </c>
      <c r="Q49" s="688"/>
      <c r="R49" s="671">
        <f>R25+R32+R40</f>
        <v>0</v>
      </c>
      <c r="S49" s="688"/>
      <c r="T49" s="671">
        <f>T25+T32+T40</f>
        <v>0</v>
      </c>
      <c r="U49" s="688"/>
      <c r="V49" s="670">
        <f>V25+V32+V40</f>
        <v>0</v>
      </c>
      <c r="W49" s="688"/>
      <c r="X49" s="646"/>
      <c r="Y49" s="670">
        <f>Y25+Y32+Y40</f>
        <v>0</v>
      </c>
      <c r="Z49" s="327"/>
      <c r="AA49" s="670">
        <f>AA25+AA32+AA40</f>
        <v>0</v>
      </c>
      <c r="AB49" s="688"/>
      <c r="AC49" s="671">
        <f>AC25+AC32+AC40</f>
        <v>0</v>
      </c>
      <c r="AD49" s="688"/>
      <c r="AE49" s="671">
        <f>AE25+AE32+AE40</f>
        <v>0</v>
      </c>
      <c r="AF49" s="688"/>
      <c r="AG49" s="670">
        <f>AG25+AG32+AG40</f>
        <v>0</v>
      </c>
      <c r="AH49" s="688"/>
      <c r="AJ49" t="s">
        <v>442</v>
      </c>
      <c r="AL49" s="423">
        <f t="shared" si="0"/>
        <v>0</v>
      </c>
      <c r="AN49" s="599">
        <f t="shared" si="1"/>
        <v>0</v>
      </c>
      <c r="AO49" s="599">
        <f t="shared" si="2"/>
        <v>0</v>
      </c>
      <c r="AP49" s="599">
        <f t="shared" si="3"/>
        <v>0</v>
      </c>
    </row>
    <row r="50" spans="1:117" x14ac:dyDescent="0.3">
      <c r="B50" s="333" t="s">
        <v>127</v>
      </c>
      <c r="C50" s="663">
        <v>0</v>
      </c>
      <c r="D50" s="331">
        <f>$F$13</f>
        <v>0.21</v>
      </c>
      <c r="E50" s="663">
        <f>C50</f>
        <v>0</v>
      </c>
      <c r="F50" s="331">
        <f>F13</f>
        <v>0.21</v>
      </c>
      <c r="G50" s="663"/>
      <c r="H50" s="331">
        <f>F50</f>
        <v>0.21</v>
      </c>
      <c r="I50" s="663"/>
      <c r="J50" s="331">
        <f>H50</f>
        <v>0.21</v>
      </c>
      <c r="K50" s="663"/>
      <c r="L50" s="331">
        <f>J50</f>
        <v>0.21</v>
      </c>
      <c r="M50" s="39"/>
      <c r="N50" s="663">
        <v>0</v>
      </c>
      <c r="O50" s="331">
        <f>$Q$13</f>
        <v>0.21</v>
      </c>
      <c r="P50" s="663">
        <f>N50</f>
        <v>0</v>
      </c>
      <c r="Q50" s="331">
        <f>O50</f>
        <v>0.21</v>
      </c>
      <c r="R50" s="663"/>
      <c r="S50" s="331">
        <f>Q50</f>
        <v>0.21</v>
      </c>
      <c r="T50" s="663"/>
      <c r="U50" s="331">
        <f>S50</f>
        <v>0.21</v>
      </c>
      <c r="V50" s="663"/>
      <c r="W50" s="331">
        <f>U50</f>
        <v>0.21</v>
      </c>
      <c r="X50" s="646"/>
      <c r="Y50" s="663">
        <v>0</v>
      </c>
      <c r="Z50" s="331">
        <f>$AB$13</f>
        <v>0.21</v>
      </c>
      <c r="AA50" s="663">
        <f>Y50</f>
        <v>0</v>
      </c>
      <c r="AB50" s="331">
        <f>Z50</f>
        <v>0.21</v>
      </c>
      <c r="AC50" s="663"/>
      <c r="AD50" s="331">
        <f>AB50</f>
        <v>0.21</v>
      </c>
      <c r="AE50" s="663"/>
      <c r="AF50" s="331">
        <f>AD50</f>
        <v>0.21</v>
      </c>
      <c r="AG50" s="663"/>
      <c r="AH50" s="331">
        <f>AF50</f>
        <v>0.21</v>
      </c>
      <c r="AL50" s="423">
        <f t="shared" si="0"/>
        <v>0</v>
      </c>
      <c r="AN50" s="599">
        <f t="shared" si="1"/>
        <v>0</v>
      </c>
      <c r="AO50" s="599">
        <f t="shared" si="2"/>
        <v>0</v>
      </c>
      <c r="AP50" s="599">
        <f t="shared" si="3"/>
        <v>0</v>
      </c>
    </row>
    <row r="51" spans="1:117" x14ac:dyDescent="0.3">
      <c r="B51" s="328" t="s">
        <v>443</v>
      </c>
      <c r="C51" s="670">
        <f>SUM(C49+C50)</f>
        <v>0</v>
      </c>
      <c r="D51" s="327"/>
      <c r="E51" s="670">
        <f>SUM(E49+E50)</f>
        <v>0</v>
      </c>
      <c r="F51" s="688"/>
      <c r="G51" s="671">
        <f>SUM(G49+G50)</f>
        <v>0</v>
      </c>
      <c r="H51" s="688"/>
      <c r="I51" s="671">
        <f>SUM(I49:I50)</f>
        <v>0</v>
      </c>
      <c r="J51" s="688"/>
      <c r="K51" s="670">
        <f>SUM(K49:K50)</f>
        <v>0</v>
      </c>
      <c r="L51" s="688"/>
      <c r="M51" s="39"/>
      <c r="N51" s="670">
        <f>SUM(N49+N50)</f>
        <v>0</v>
      </c>
      <c r="O51" s="327"/>
      <c r="P51" s="670">
        <f>SUM(P49+P50)</f>
        <v>0</v>
      </c>
      <c r="Q51" s="688"/>
      <c r="R51" s="671">
        <f>SUM(R49+R50)</f>
        <v>0</v>
      </c>
      <c r="S51" s="688"/>
      <c r="T51" s="671">
        <f>SUM(T49:T50)</f>
        <v>0</v>
      </c>
      <c r="U51" s="688"/>
      <c r="V51" s="670">
        <f>SUM(V49:V50)</f>
        <v>0</v>
      </c>
      <c r="W51" s="688"/>
      <c r="X51" s="646"/>
      <c r="Y51" s="670">
        <f>SUM(Y49+Y50)</f>
        <v>0</v>
      </c>
      <c r="Z51" s="327"/>
      <c r="AA51" s="670">
        <f>SUM(AA49+AA50)</f>
        <v>0</v>
      </c>
      <c r="AB51" s="688"/>
      <c r="AC51" s="671">
        <f>SUM(AC49+AC50)</f>
        <v>0</v>
      </c>
      <c r="AD51" s="688"/>
      <c r="AE51" s="671">
        <f>SUM(AE49:AE50)</f>
        <v>0</v>
      </c>
      <c r="AF51" s="688"/>
      <c r="AG51" s="670">
        <f>SUM(AG49:AG50)</f>
        <v>0</v>
      </c>
      <c r="AH51" s="688"/>
      <c r="AL51" s="423">
        <f t="shared" si="0"/>
        <v>0</v>
      </c>
      <c r="AN51" s="599">
        <f t="shared" si="1"/>
        <v>0</v>
      </c>
      <c r="AO51" s="599">
        <f t="shared" si="2"/>
        <v>0</v>
      </c>
      <c r="AP51" s="599">
        <f t="shared" si="3"/>
        <v>0</v>
      </c>
    </row>
    <row r="52" spans="1:117" x14ac:dyDescent="0.3">
      <c r="B52" s="333" t="s">
        <v>444</v>
      </c>
      <c r="C52" s="665">
        <v>0</v>
      </c>
      <c r="D52" s="656">
        <f>D50</f>
        <v>0.21</v>
      </c>
      <c r="E52" s="665">
        <f t="shared" ref="E52:E59" si="44">C52</f>
        <v>0</v>
      </c>
      <c r="F52" s="656">
        <f>F$13</f>
        <v>0.21</v>
      </c>
      <c r="G52" s="665">
        <f>SUM(G53:G54)</f>
        <v>0</v>
      </c>
      <c r="H52" s="656">
        <f>F52</f>
        <v>0.21</v>
      </c>
      <c r="I52" s="665">
        <f>SUM(I53:I54)</f>
        <v>0</v>
      </c>
      <c r="J52" s="656">
        <f>H52</f>
        <v>0.21</v>
      </c>
      <c r="K52" s="665">
        <f>SUM(K53:K54)</f>
        <v>0</v>
      </c>
      <c r="L52" s="656">
        <f>J52</f>
        <v>0.21</v>
      </c>
      <c r="M52" s="628"/>
      <c r="N52" s="665">
        <v>0</v>
      </c>
      <c r="O52" s="656">
        <f>D52</f>
        <v>0.21</v>
      </c>
      <c r="P52" s="665">
        <f t="shared" ref="P52:Q55" si="45">N52</f>
        <v>0</v>
      </c>
      <c r="Q52" s="656">
        <f t="shared" si="45"/>
        <v>0.21</v>
      </c>
      <c r="R52" s="665">
        <f>SUM(R53:R54)</f>
        <v>0</v>
      </c>
      <c r="S52" s="656">
        <f>Q52</f>
        <v>0.21</v>
      </c>
      <c r="T52" s="665">
        <f>SUM(T53:T54)</f>
        <v>0</v>
      </c>
      <c r="U52" s="656">
        <f>S52</f>
        <v>0.21</v>
      </c>
      <c r="V52" s="665">
        <f>SUM(V53:V54)</f>
        <v>0</v>
      </c>
      <c r="W52" s="656">
        <f>U52</f>
        <v>0.21</v>
      </c>
      <c r="X52" s="648"/>
      <c r="Y52" s="665">
        <f>IF(ISNUMBER(MATCH(VLOOKUP($B$3,Bron!$A$7:$B$16,2,FALSE),'uitgebreide raming_gewijzigd'!$B$2:$H$2,0)),HLOOKUP(VLOOKUP($B$3,Bron!$A$7:$B$16,2,FALSE),'uitgebreide raming_gewijzigd'!$B$2:$J$26,12,FALSE),0)+IF(ISNUMBER(MATCH(VLOOKUP($B$3,Bron!$A$7:$B$16,2,FALSE),'uitgebreide raming_gewijzigd'!$B$29:$H$29,0)),HLOOKUP(VLOOKUP($B$3,Bron!$A$7:$B$16,2,FALSE),'uitgebreide raming_gewijzigd'!$B$29:$J$53,12,FALSE),0)+IF(ISNUMBER(MATCH(VLOOKUP($B$3,Bron!$A$7:$B$16,2,FALSE),'uitgebreide raming_gewijzigd'!$B$56:$H$56,0)),HLOOKUP(VLOOKUP($B$3,Bron!$A$7:$B$16,2,FALSE),'uitgebreide raming_gewijzigd'!$B$56:$J$80,12,FALSE),0)</f>
        <v>0</v>
      </c>
      <c r="Z52" s="656">
        <f>Z50</f>
        <v>0.21</v>
      </c>
      <c r="AA52" s="665">
        <f t="shared" ref="AA52:AB55" si="46">Y52</f>
        <v>0</v>
      </c>
      <c r="AB52" s="656">
        <f t="shared" si="46"/>
        <v>0.21</v>
      </c>
      <c r="AC52" s="665">
        <f>SUM(AC53:AC54)</f>
        <v>0</v>
      </c>
      <c r="AD52" s="656">
        <f>AB52</f>
        <v>0.21</v>
      </c>
      <c r="AE52" s="665">
        <f>SUM(AE53:AE54)</f>
        <v>0</v>
      </c>
      <c r="AF52" s="656">
        <f>AD52</f>
        <v>0.21</v>
      </c>
      <c r="AG52" s="665">
        <f>SUM(AG53:AG54)</f>
        <v>0</v>
      </c>
      <c r="AH52" s="656">
        <f>AF52</f>
        <v>0.21</v>
      </c>
      <c r="AL52" s="819">
        <f t="shared" si="0"/>
        <v>0</v>
      </c>
      <c r="AN52" s="599">
        <f t="shared" si="1"/>
        <v>0</v>
      </c>
      <c r="AO52" s="599">
        <f t="shared" si="2"/>
        <v>0</v>
      </c>
      <c r="AP52" s="599">
        <f t="shared" si="3"/>
        <v>0</v>
      </c>
    </row>
    <row r="53" spans="1:117" ht="29.25" customHeight="1" outlineLevel="1" x14ac:dyDescent="0.3">
      <c r="B53" s="728" t="s">
        <v>445</v>
      </c>
      <c r="C53" s="724">
        <v>0</v>
      </c>
      <c r="D53" s="729">
        <f>$F$12</f>
        <v>0</v>
      </c>
      <c r="E53" s="724">
        <f t="shared" si="44"/>
        <v>0</v>
      </c>
      <c r="F53" s="729">
        <f>F$13</f>
        <v>0.21</v>
      </c>
      <c r="G53" s="724">
        <v>0</v>
      </c>
      <c r="H53" s="729">
        <f>F53</f>
        <v>0.21</v>
      </c>
      <c r="I53" s="724">
        <v>0</v>
      </c>
      <c r="J53" s="729">
        <f>H53</f>
        <v>0.21</v>
      </c>
      <c r="K53" s="724">
        <v>0</v>
      </c>
      <c r="L53" s="729">
        <f>J53</f>
        <v>0.21</v>
      </c>
      <c r="M53" s="628"/>
      <c r="N53" s="733"/>
      <c r="O53" s="729">
        <f t="shared" ref="O53:O58" si="47">$Q$12</f>
        <v>0.21</v>
      </c>
      <c r="P53" s="724">
        <f t="shared" si="45"/>
        <v>0</v>
      </c>
      <c r="Q53" s="729">
        <f t="shared" si="45"/>
        <v>0.21</v>
      </c>
      <c r="R53" s="724">
        <v>0</v>
      </c>
      <c r="S53" s="729">
        <f>Q53</f>
        <v>0.21</v>
      </c>
      <c r="T53" s="724">
        <v>0</v>
      </c>
      <c r="U53" s="729">
        <f>S53</f>
        <v>0.21</v>
      </c>
      <c r="V53" s="724">
        <v>0</v>
      </c>
      <c r="W53" s="729">
        <f>U53</f>
        <v>0.21</v>
      </c>
      <c r="X53" s="648"/>
      <c r="Y53" s="733"/>
      <c r="Z53" s="729">
        <f t="shared" ref="Z53:Z58" si="48">$AB$12</f>
        <v>0.21</v>
      </c>
      <c r="AA53" s="724">
        <f t="shared" si="46"/>
        <v>0</v>
      </c>
      <c r="AB53" s="729">
        <f t="shared" si="46"/>
        <v>0.21</v>
      </c>
      <c r="AC53" s="724">
        <v>0</v>
      </c>
      <c r="AD53" s="729">
        <f>AB53</f>
        <v>0.21</v>
      </c>
      <c r="AE53" s="724">
        <v>0</v>
      </c>
      <c r="AF53" s="729">
        <f>AD53</f>
        <v>0.21</v>
      </c>
      <c r="AG53" s="724">
        <v>0</v>
      </c>
      <c r="AH53" s="729">
        <f>AF53</f>
        <v>0.21</v>
      </c>
      <c r="AL53" s="423">
        <f t="shared" si="0"/>
        <v>0</v>
      </c>
      <c r="AN53" s="599"/>
      <c r="AO53" s="599"/>
      <c r="AP53" s="599"/>
    </row>
    <row r="54" spans="1:117" outlineLevel="1" x14ac:dyDescent="0.3">
      <c r="B54" s="728" t="s">
        <v>446</v>
      </c>
      <c r="C54" s="724">
        <v>0</v>
      </c>
      <c r="D54" s="729">
        <f>$F$12</f>
        <v>0</v>
      </c>
      <c r="E54" s="724">
        <f t="shared" si="44"/>
        <v>0</v>
      </c>
      <c r="F54" s="729">
        <f>F$13</f>
        <v>0.21</v>
      </c>
      <c r="G54" s="724">
        <v>0</v>
      </c>
      <c r="H54" s="729">
        <f>F54</f>
        <v>0.21</v>
      </c>
      <c r="I54" s="724">
        <v>0</v>
      </c>
      <c r="J54" s="729">
        <f>H54</f>
        <v>0.21</v>
      </c>
      <c r="K54" s="724">
        <v>0</v>
      </c>
      <c r="L54" s="729">
        <f>J54</f>
        <v>0.21</v>
      </c>
      <c r="M54" s="628"/>
      <c r="N54" s="733"/>
      <c r="O54" s="729">
        <f t="shared" si="47"/>
        <v>0.21</v>
      </c>
      <c r="P54" s="724">
        <f t="shared" si="45"/>
        <v>0</v>
      </c>
      <c r="Q54" s="729">
        <f t="shared" si="45"/>
        <v>0.21</v>
      </c>
      <c r="R54" s="724">
        <v>0</v>
      </c>
      <c r="S54" s="729">
        <f>Q54</f>
        <v>0.21</v>
      </c>
      <c r="T54" s="724">
        <v>0</v>
      </c>
      <c r="U54" s="729">
        <f>S54</f>
        <v>0.21</v>
      </c>
      <c r="V54" s="724">
        <v>0</v>
      </c>
      <c r="W54" s="729">
        <f>U54</f>
        <v>0.21</v>
      </c>
      <c r="X54" s="648"/>
      <c r="Y54" s="733"/>
      <c r="Z54" s="729">
        <f t="shared" si="48"/>
        <v>0.21</v>
      </c>
      <c r="AA54" s="724">
        <f t="shared" si="46"/>
        <v>0</v>
      </c>
      <c r="AB54" s="729">
        <f t="shared" si="46"/>
        <v>0.21</v>
      </c>
      <c r="AC54" s="724">
        <v>0</v>
      </c>
      <c r="AD54" s="729">
        <f>AB54</f>
        <v>0.21</v>
      </c>
      <c r="AE54" s="724">
        <v>0</v>
      </c>
      <c r="AF54" s="729">
        <f>AD54</f>
        <v>0.21</v>
      </c>
      <c r="AG54" s="724">
        <v>0</v>
      </c>
      <c r="AH54" s="729">
        <f>AF54</f>
        <v>0.21</v>
      </c>
      <c r="AL54" s="423">
        <f t="shared" si="0"/>
        <v>0</v>
      </c>
      <c r="AN54" s="599"/>
      <c r="AO54" s="599"/>
      <c r="AP54" s="599"/>
    </row>
    <row r="55" spans="1:117" s="669" customFormat="1" x14ac:dyDescent="0.3">
      <c r="A55"/>
      <c r="B55" s="333" t="s">
        <v>447</v>
      </c>
      <c r="C55" s="665">
        <v>0</v>
      </c>
      <c r="D55" s="656">
        <f>$F$12</f>
        <v>0</v>
      </c>
      <c r="E55" s="663">
        <f t="shared" si="44"/>
        <v>0</v>
      </c>
      <c r="F55" s="656">
        <f>$F$12</f>
        <v>0</v>
      </c>
      <c r="G55" s="665">
        <v>0</v>
      </c>
      <c r="H55" s="656">
        <f>F55</f>
        <v>0</v>
      </c>
      <c r="I55" s="665">
        <v>0</v>
      </c>
      <c r="J55" s="656">
        <f>H55</f>
        <v>0</v>
      </c>
      <c r="K55" s="665">
        <v>0</v>
      </c>
      <c r="L55" s="656">
        <f>J55</f>
        <v>0</v>
      </c>
      <c r="M55" s="628"/>
      <c r="N55" s="665">
        <v>0</v>
      </c>
      <c r="O55" s="656">
        <f t="shared" si="47"/>
        <v>0.21</v>
      </c>
      <c r="P55" s="663">
        <f t="shared" si="45"/>
        <v>0</v>
      </c>
      <c r="Q55" s="656">
        <f>$O$55</f>
        <v>0.21</v>
      </c>
      <c r="R55" s="665">
        <v>0</v>
      </c>
      <c r="S55" s="656">
        <f>Q55</f>
        <v>0.21</v>
      </c>
      <c r="T55" s="665">
        <v>0</v>
      </c>
      <c r="U55" s="656">
        <f>S55</f>
        <v>0.21</v>
      </c>
      <c r="V55" s="665">
        <v>0</v>
      </c>
      <c r="W55" s="656">
        <f>U55</f>
        <v>0.21</v>
      </c>
      <c r="X55" s="648"/>
      <c r="Y55" s="665">
        <v>0</v>
      </c>
      <c r="Z55" s="656">
        <f t="shared" si="48"/>
        <v>0.21</v>
      </c>
      <c r="AA55" s="663">
        <f t="shared" si="46"/>
        <v>0</v>
      </c>
      <c r="AB55" s="656">
        <f>$Z$55</f>
        <v>0.21</v>
      </c>
      <c r="AC55" s="665">
        <v>0</v>
      </c>
      <c r="AD55" s="656">
        <f>AB55</f>
        <v>0.21</v>
      </c>
      <c r="AE55" s="665">
        <v>0</v>
      </c>
      <c r="AF55" s="656">
        <f>AD55</f>
        <v>0.21</v>
      </c>
      <c r="AG55" s="665">
        <v>0</v>
      </c>
      <c r="AH55" s="656">
        <f>AF55</f>
        <v>0.21</v>
      </c>
      <c r="AI55"/>
      <c r="AJ55"/>
      <c r="AK55"/>
      <c r="AL55" s="819">
        <f t="shared" si="0"/>
        <v>0</v>
      </c>
      <c r="AM55"/>
      <c r="AN55" s="599">
        <f>IFERROR(K55*$AP$5/$AS$5,0)</f>
        <v>0</v>
      </c>
      <c r="AO55" s="599">
        <f>IFERROR(K55*$AQ$5/$AS$5,0)</f>
        <v>0</v>
      </c>
      <c r="AP55" s="599">
        <f>IFERROR(K55*$AR$5/$AS$5,0)</f>
        <v>0</v>
      </c>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row>
    <row r="56" spans="1:117" s="669" customFormat="1" x14ac:dyDescent="0.3">
      <c r="A56"/>
      <c r="B56" s="333" t="s">
        <v>335</v>
      </c>
      <c r="C56" s="665">
        <f ca="1">IFERROR(kunst!$B$11*(('Overzicht BTA'!D13+'Overzicht BTA'!F13+'Overzicht BTA'!D14)/'Overzicht project'!$E$66),0)</f>
        <v>0</v>
      </c>
      <c r="D56" s="335">
        <f>$F$15</f>
        <v>0.06</v>
      </c>
      <c r="E56" s="663">
        <f t="shared" ca="1" si="44"/>
        <v>0</v>
      </c>
      <c r="F56" s="335">
        <f>F$15</f>
        <v>0.06</v>
      </c>
      <c r="G56" s="665">
        <v>0</v>
      </c>
      <c r="H56" s="335">
        <f>$F$15</f>
        <v>0.06</v>
      </c>
      <c r="I56" s="665">
        <v>0</v>
      </c>
      <c r="J56" s="335">
        <f>$F$15</f>
        <v>0.06</v>
      </c>
      <c r="K56" s="665">
        <v>0</v>
      </c>
      <c r="L56" s="335">
        <f>$F$15</f>
        <v>0.06</v>
      </c>
      <c r="M56" s="629"/>
      <c r="N56" s="665">
        <f ca="1">IFERROR(kunst!$B$11*(('Overzicht BTA'!J13+'Overzicht BTA'!L13+'Overzicht BTA'!J14)/'Overzicht project'!$E$66),0)</f>
        <v>0</v>
      </c>
      <c r="O56" s="335">
        <f>$Q$15</f>
        <v>0.06</v>
      </c>
      <c r="P56" s="665">
        <f ca="1">N56</f>
        <v>0</v>
      </c>
      <c r="Q56" s="335">
        <f>$F$15</f>
        <v>0.06</v>
      </c>
      <c r="R56" s="665">
        <v>0</v>
      </c>
      <c r="S56" s="335">
        <f>$F$15</f>
        <v>0.06</v>
      </c>
      <c r="T56" s="665">
        <v>0</v>
      </c>
      <c r="U56" s="335">
        <f>$F$15</f>
        <v>0.06</v>
      </c>
      <c r="V56" s="665">
        <v>0</v>
      </c>
      <c r="W56" s="335">
        <f>$F$15</f>
        <v>0.06</v>
      </c>
      <c r="X56" s="647"/>
      <c r="Y56" s="665">
        <f ca="1">IFERROR(kunst!$B$11*(('Overzicht BTA'!$P$13+'Overzicht BTA'!$R$13+'Overzicht BTA'!$P$14)/'Overzicht project'!$E$66),0)</f>
        <v>0</v>
      </c>
      <c r="Z56" s="335">
        <f>$AB$15</f>
        <v>0.06</v>
      </c>
      <c r="AA56" s="665">
        <f ca="1">Y56</f>
        <v>0</v>
      </c>
      <c r="AB56" s="335">
        <f>$F$15</f>
        <v>0.06</v>
      </c>
      <c r="AC56" s="665">
        <v>0</v>
      </c>
      <c r="AD56" s="335">
        <f>$F$15</f>
        <v>0.06</v>
      </c>
      <c r="AE56" s="665">
        <v>0</v>
      </c>
      <c r="AF56" s="335">
        <f>$F$15</f>
        <v>0.06</v>
      </c>
      <c r="AG56" s="665">
        <v>0</v>
      </c>
      <c r="AH56" s="335">
        <f>$F$15</f>
        <v>0.06</v>
      </c>
      <c r="AI56"/>
      <c r="AJ56"/>
      <c r="AK56"/>
      <c r="AL56" s="423">
        <f t="shared" si="0"/>
        <v>0</v>
      </c>
      <c r="AM56"/>
      <c r="AN56" s="599">
        <f>IFERROR(K56*$AP$5/$AS$5,0)</f>
        <v>0</v>
      </c>
      <c r="AO56" s="599">
        <f>IFERROR(K56*$AQ$5/$AS$5,0)</f>
        <v>0</v>
      </c>
      <c r="AP56" s="599">
        <f>IFERROR(K56*$AR$5/$AS$5,0)</f>
        <v>0</v>
      </c>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x14ac:dyDescent="0.3">
      <c r="A57"/>
      <c r="B57" s="333" t="s">
        <v>448</v>
      </c>
      <c r="C57" s="665">
        <v>0</v>
      </c>
      <c r="D57" s="656">
        <f>$F$12</f>
        <v>0</v>
      </c>
      <c r="E57" s="663">
        <f t="shared" si="44"/>
        <v>0</v>
      </c>
      <c r="F57" s="656">
        <f>F12</f>
        <v>0</v>
      </c>
      <c r="G57" s="665">
        <v>0</v>
      </c>
      <c r="H57" s="656">
        <f>$F$12</f>
        <v>0</v>
      </c>
      <c r="I57" s="665">
        <v>0</v>
      </c>
      <c r="J57" s="656">
        <f>$F$12</f>
        <v>0</v>
      </c>
      <c r="K57" s="665">
        <v>0</v>
      </c>
      <c r="L57" s="656">
        <f>$F$12</f>
        <v>0</v>
      </c>
      <c r="M57" s="629"/>
      <c r="N57" s="665">
        <v>0</v>
      </c>
      <c r="O57" s="656">
        <f t="shared" si="47"/>
        <v>0.21</v>
      </c>
      <c r="P57" s="663">
        <f>N57</f>
        <v>0</v>
      </c>
      <c r="Q57" s="656">
        <f>$F$12</f>
        <v>0</v>
      </c>
      <c r="R57" s="665">
        <v>0</v>
      </c>
      <c r="S57" s="656">
        <f>$F$12</f>
        <v>0</v>
      </c>
      <c r="T57" s="665">
        <v>0</v>
      </c>
      <c r="U57" s="656">
        <f>$F$12</f>
        <v>0</v>
      </c>
      <c r="V57" s="665">
        <v>0</v>
      </c>
      <c r="W57" s="656">
        <f>$F$12</f>
        <v>0</v>
      </c>
      <c r="X57" s="647"/>
      <c r="Y57" s="665">
        <v>0</v>
      </c>
      <c r="Z57" s="656">
        <f t="shared" si="48"/>
        <v>0.21</v>
      </c>
      <c r="AA57" s="663">
        <f>Y57</f>
        <v>0</v>
      </c>
      <c r="AB57" s="656">
        <f>$F$12</f>
        <v>0</v>
      </c>
      <c r="AC57" s="665">
        <v>0</v>
      </c>
      <c r="AD57" s="656">
        <f>$F$12</f>
        <v>0</v>
      </c>
      <c r="AE57" s="665">
        <v>0</v>
      </c>
      <c r="AF57" s="656">
        <f>$F$12</f>
        <v>0</v>
      </c>
      <c r="AG57" s="665">
        <v>0</v>
      </c>
      <c r="AH57" s="656">
        <f>$F$12</f>
        <v>0</v>
      </c>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s="669" customFormat="1" ht="27.6" x14ac:dyDescent="0.3">
      <c r="A58"/>
      <c r="B58" s="333" t="s">
        <v>1456</v>
      </c>
      <c r="C58" s="665">
        <v>0</v>
      </c>
      <c r="D58" s="656">
        <f>$F$12</f>
        <v>0</v>
      </c>
      <c r="E58" s="663">
        <f t="shared" ref="E58" si="49">C58</f>
        <v>0</v>
      </c>
      <c r="F58" s="656">
        <f>$F$12</f>
        <v>0</v>
      </c>
      <c r="G58" s="665">
        <v>0</v>
      </c>
      <c r="H58" s="656">
        <f>F58</f>
        <v>0</v>
      </c>
      <c r="I58" s="665">
        <v>0</v>
      </c>
      <c r="J58" s="656">
        <f>H58</f>
        <v>0</v>
      </c>
      <c r="K58" s="665">
        <v>0</v>
      </c>
      <c r="L58" s="656">
        <f>J58</f>
        <v>0</v>
      </c>
      <c r="M58" s="628"/>
      <c r="N58" s="665">
        <v>0</v>
      </c>
      <c r="O58" s="656">
        <f t="shared" si="47"/>
        <v>0.21</v>
      </c>
      <c r="P58" s="663">
        <f t="shared" ref="P58" si="50">N58</f>
        <v>0</v>
      </c>
      <c r="Q58" s="656">
        <f>$O$55</f>
        <v>0.21</v>
      </c>
      <c r="R58" s="665">
        <v>0</v>
      </c>
      <c r="S58" s="656">
        <f>Q58</f>
        <v>0.21</v>
      </c>
      <c r="T58" s="665">
        <v>0</v>
      </c>
      <c r="U58" s="656">
        <f>S58</f>
        <v>0.21</v>
      </c>
      <c r="V58" s="665">
        <v>0</v>
      </c>
      <c r="W58" s="656">
        <f>U58</f>
        <v>0.21</v>
      </c>
      <c r="X58" s="648"/>
      <c r="Y58" s="665">
        <v>0</v>
      </c>
      <c r="Z58" s="656">
        <f t="shared" si="48"/>
        <v>0.21</v>
      </c>
      <c r="AA58" s="663">
        <f t="shared" ref="AA58" si="51">Y58</f>
        <v>0</v>
      </c>
      <c r="AB58" s="656">
        <f>$Z$55</f>
        <v>0.21</v>
      </c>
      <c r="AC58" s="665"/>
      <c r="AD58" s="656"/>
      <c r="AE58" s="665"/>
      <c r="AF58" s="656"/>
      <c r="AG58" s="665"/>
      <c r="AH58" s="656"/>
      <c r="AI58"/>
      <c r="AJ58"/>
      <c r="AK58"/>
      <c r="AL58" s="423"/>
      <c r="AM58"/>
      <c r="AN58" s="599"/>
      <c r="AO58" s="599"/>
      <c r="AP58" s="599"/>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row>
    <row r="59" spans="1:117" outlineLevel="1" x14ac:dyDescent="0.3">
      <c r="B59" s="730" t="s">
        <v>450</v>
      </c>
      <c r="C59" s="724">
        <v>0</v>
      </c>
      <c r="D59" s="729">
        <f>$F$12</f>
        <v>0</v>
      </c>
      <c r="E59" s="724">
        <f t="shared" si="44"/>
        <v>0</v>
      </c>
      <c r="F59" s="729">
        <f>F$13</f>
        <v>0.21</v>
      </c>
      <c r="G59" s="724">
        <v>0</v>
      </c>
      <c r="H59" s="725">
        <v>0.21</v>
      </c>
      <c r="I59" s="724">
        <v>0</v>
      </c>
      <c r="J59" s="725">
        <v>0.21</v>
      </c>
      <c r="K59" s="724">
        <v>0</v>
      </c>
      <c r="L59" s="725">
        <v>0.21</v>
      </c>
      <c r="M59" s="629"/>
      <c r="N59" s="724">
        <v>0</v>
      </c>
      <c r="O59" s="729">
        <f>$Q$12</f>
        <v>0.21</v>
      </c>
      <c r="P59" s="724">
        <f>N59</f>
        <v>0</v>
      </c>
      <c r="Q59" s="725">
        <v>0.21</v>
      </c>
      <c r="R59" s="724">
        <v>0</v>
      </c>
      <c r="S59" s="725">
        <v>0.21</v>
      </c>
      <c r="T59" s="724">
        <v>0</v>
      </c>
      <c r="U59" s="725">
        <v>0.21</v>
      </c>
      <c r="V59" s="724">
        <v>0</v>
      </c>
      <c r="W59" s="725">
        <v>0.21</v>
      </c>
      <c r="X59" s="647"/>
      <c r="Y59" s="724"/>
      <c r="Z59" s="729">
        <f>$AB$12</f>
        <v>0.21</v>
      </c>
      <c r="AA59" s="724">
        <f>Y59</f>
        <v>0</v>
      </c>
      <c r="AB59" s="725">
        <v>0.21</v>
      </c>
      <c r="AC59" s="724">
        <v>0</v>
      </c>
      <c r="AD59" s="725">
        <v>0.21</v>
      </c>
      <c r="AE59" s="724">
        <v>0</v>
      </c>
      <c r="AF59" s="725">
        <v>0.21</v>
      </c>
      <c r="AG59" s="724">
        <v>0</v>
      </c>
      <c r="AH59" s="725">
        <v>0.21</v>
      </c>
      <c r="AL59" s="423">
        <f t="shared" si="0"/>
        <v>0</v>
      </c>
      <c r="AN59" s="599">
        <f t="shared" ref="AN59:AN65" si="52">IFERROR(K59*$AP$5/$AS$5,0)</f>
        <v>0</v>
      </c>
      <c r="AO59" s="599">
        <f t="shared" ref="AO59:AO65" si="53">IFERROR(K59*$AQ$5/$AS$5,0)</f>
        <v>0</v>
      </c>
      <c r="AP59" s="599">
        <f t="shared" ref="AP59:AP65" si="54">IFERROR(K59*$AR$5/$AS$5,0)</f>
        <v>0</v>
      </c>
    </row>
    <row r="60" spans="1:117" outlineLevel="1" x14ac:dyDescent="0.3">
      <c r="B60" s="730" t="s">
        <v>451</v>
      </c>
      <c r="C60" s="724">
        <v>0</v>
      </c>
      <c r="D60" s="725">
        <f>$F$12</f>
        <v>0</v>
      </c>
      <c r="E60" s="724">
        <f t="shared" ref="E60:E61" si="55">C60</f>
        <v>0</v>
      </c>
      <c r="F60" s="729">
        <f t="shared" ref="F60:F61" si="56">F$13</f>
        <v>0.21</v>
      </c>
      <c r="G60" s="724">
        <v>0</v>
      </c>
      <c r="H60" s="725">
        <v>0.21</v>
      </c>
      <c r="I60" s="724">
        <v>0</v>
      </c>
      <c r="J60" s="725">
        <v>0.21</v>
      </c>
      <c r="K60" s="724">
        <v>0</v>
      </c>
      <c r="L60" s="725">
        <v>0.21</v>
      </c>
      <c r="M60" s="629"/>
      <c r="N60" s="724"/>
      <c r="O60" s="725">
        <f>$F$12</f>
        <v>0</v>
      </c>
      <c r="P60" s="724">
        <f t="shared" ref="P60:P61" si="57">N60</f>
        <v>0</v>
      </c>
      <c r="Q60" s="725">
        <v>0.21</v>
      </c>
      <c r="R60" s="724">
        <v>0</v>
      </c>
      <c r="S60" s="725">
        <v>0.21</v>
      </c>
      <c r="T60" s="724">
        <v>0</v>
      </c>
      <c r="U60" s="725">
        <v>0.21</v>
      </c>
      <c r="V60" s="724">
        <v>0</v>
      </c>
      <c r="W60" s="725">
        <v>0.21</v>
      </c>
      <c r="X60" s="647"/>
      <c r="Y60" s="724"/>
      <c r="Z60" s="729">
        <f t="shared" ref="Z60:Z61" si="58">$AB$12</f>
        <v>0.21</v>
      </c>
      <c r="AA60" s="724">
        <f t="shared" ref="AA60:AA61" si="59">Y60</f>
        <v>0</v>
      </c>
      <c r="AB60" s="725">
        <v>0.21</v>
      </c>
      <c r="AC60" s="724">
        <v>0</v>
      </c>
      <c r="AD60" s="725">
        <v>0.21</v>
      </c>
      <c r="AE60" s="724">
        <v>0</v>
      </c>
      <c r="AF60" s="725">
        <v>0.21</v>
      </c>
      <c r="AG60" s="724">
        <v>0</v>
      </c>
      <c r="AH60" s="725">
        <v>0.21</v>
      </c>
      <c r="AL60" s="423">
        <f t="shared" si="0"/>
        <v>0</v>
      </c>
      <c r="AN60" s="599">
        <f t="shared" si="52"/>
        <v>0</v>
      </c>
      <c r="AO60" s="599">
        <f t="shared" si="53"/>
        <v>0</v>
      </c>
      <c r="AP60" s="599">
        <f t="shared" si="54"/>
        <v>0</v>
      </c>
    </row>
    <row r="61" spans="1:117" outlineLevel="1" x14ac:dyDescent="0.3">
      <c r="B61" s="730" t="s">
        <v>452</v>
      </c>
      <c r="C61" s="724">
        <v>0</v>
      </c>
      <c r="D61" s="725">
        <f>$F$12</f>
        <v>0</v>
      </c>
      <c r="E61" s="724">
        <f t="shared" si="55"/>
        <v>0</v>
      </c>
      <c r="F61" s="729">
        <f t="shared" si="56"/>
        <v>0.21</v>
      </c>
      <c r="G61" s="724">
        <v>0</v>
      </c>
      <c r="H61" s="725">
        <v>0.21</v>
      </c>
      <c r="I61" s="724">
        <v>0</v>
      </c>
      <c r="J61" s="725">
        <v>0.21</v>
      </c>
      <c r="K61" s="724">
        <v>0</v>
      </c>
      <c r="L61" s="725">
        <v>0.21</v>
      </c>
      <c r="M61" s="629"/>
      <c r="N61" s="724"/>
      <c r="O61" s="725">
        <f>$F$12</f>
        <v>0</v>
      </c>
      <c r="P61" s="724">
        <f t="shared" si="57"/>
        <v>0</v>
      </c>
      <c r="Q61" s="725">
        <v>0.21</v>
      </c>
      <c r="R61" s="724">
        <v>0</v>
      </c>
      <c r="S61" s="725">
        <v>0.21</v>
      </c>
      <c r="T61" s="724">
        <v>0</v>
      </c>
      <c r="U61" s="725">
        <v>0.21</v>
      </c>
      <c r="V61" s="724">
        <v>0</v>
      </c>
      <c r="W61" s="725">
        <v>0.21</v>
      </c>
      <c r="X61" s="647"/>
      <c r="Y61" s="724"/>
      <c r="Z61" s="729">
        <f t="shared" si="58"/>
        <v>0.21</v>
      </c>
      <c r="AA61" s="724">
        <f t="shared" si="59"/>
        <v>0</v>
      </c>
      <c r="AB61" s="725">
        <v>0.21</v>
      </c>
      <c r="AC61" s="724">
        <v>0</v>
      </c>
      <c r="AD61" s="725">
        <v>0.21</v>
      </c>
      <c r="AE61" s="724">
        <v>0</v>
      </c>
      <c r="AF61" s="725">
        <v>0.21</v>
      </c>
      <c r="AG61" s="724">
        <v>0</v>
      </c>
      <c r="AH61" s="725">
        <v>0.21</v>
      </c>
      <c r="AL61" s="423">
        <f t="shared" si="0"/>
        <v>0</v>
      </c>
      <c r="AN61" s="599">
        <f t="shared" si="52"/>
        <v>0</v>
      </c>
      <c r="AO61" s="599">
        <f t="shared" si="53"/>
        <v>0</v>
      </c>
      <c r="AP61" s="599">
        <f t="shared" si="54"/>
        <v>0</v>
      </c>
    </row>
    <row r="62" spans="1:117" x14ac:dyDescent="0.3">
      <c r="B62" s="328" t="s">
        <v>282</v>
      </c>
      <c r="C62" s="670">
        <f ca="1">C51+C52+C55+C56+C57+C58+C59+C60+C61</f>
        <v>0</v>
      </c>
      <c r="D62" s="327"/>
      <c r="E62" s="670">
        <f ca="1">E51+E52+E55+E56+E57+E58+E59+E60+E61</f>
        <v>0</v>
      </c>
      <c r="F62" s="670"/>
      <c r="G62" s="670">
        <f>G51+G52+G55+G56+G57+G58+G59+G60+G61</f>
        <v>0</v>
      </c>
      <c r="H62" s="670"/>
      <c r="I62" s="670">
        <f>I51+I52+I55+I56+I57+I58+I59+I60+I61</f>
        <v>0</v>
      </c>
      <c r="J62" s="670"/>
      <c r="K62" s="670">
        <f>K51+K52+K55+K56+K57+K58+K59+K60+K61</f>
        <v>0</v>
      </c>
      <c r="L62" s="670"/>
      <c r="M62" s="39"/>
      <c r="N62" s="670">
        <f ca="1">N51+N52+N55+N56+N57+N58+N59+N60+N61</f>
        <v>0</v>
      </c>
      <c r="O62" s="327"/>
      <c r="P62" s="670">
        <f ca="1">P51+P52+P55+P56+P57+P58+P59+P60+P61</f>
        <v>0</v>
      </c>
      <c r="Q62" s="670"/>
      <c r="R62" s="670">
        <f>R51+R52+R55+R56+R57+R58+R59+R60+R61</f>
        <v>0</v>
      </c>
      <c r="S62" s="670"/>
      <c r="T62" s="670">
        <f>T51+T52+T55+T56+T57+T58+T59+T60+T61</f>
        <v>0</v>
      </c>
      <c r="U62" s="670"/>
      <c r="V62" s="670">
        <f>V51+V52+V55+V56+V57+V58+V59+V60+V61</f>
        <v>0</v>
      </c>
      <c r="W62" s="670"/>
      <c r="X62" s="646"/>
      <c r="Y62" s="670">
        <f ca="1">Y51+Y52+Y55+Y56+Y57+Y58+Y59+Y60+Y61</f>
        <v>0</v>
      </c>
      <c r="Z62" s="327"/>
      <c r="AA62" s="670">
        <f ca="1">AA51+AA52+AA55+AA56+AA57+AA58+AA59+AA60+AA61</f>
        <v>0</v>
      </c>
      <c r="AB62" s="670"/>
      <c r="AC62" s="670">
        <f>AC51+AC52+AC55+AC56+AC57+AC58+AC59+AC60+AC61</f>
        <v>0</v>
      </c>
      <c r="AD62" s="670"/>
      <c r="AE62" s="670">
        <f>AE51+AE52+AE55+AE56+AE57+AE58+AE59+AE60+AE61</f>
        <v>0</v>
      </c>
      <c r="AF62" s="670"/>
      <c r="AG62" s="670">
        <f>AG51+AG52+AG55+AG56+AG57+AG58+AG59+AG60+AG61</f>
        <v>0</v>
      </c>
      <c r="AH62" s="670"/>
      <c r="AJ62" s="329"/>
      <c r="AL62" s="423">
        <f t="shared" si="0"/>
        <v>0</v>
      </c>
      <c r="AN62" s="599">
        <f t="shared" si="52"/>
        <v>0</v>
      </c>
      <c r="AO62" s="599">
        <f t="shared" si="53"/>
        <v>0</v>
      </c>
      <c r="AP62" s="599">
        <f t="shared" si="54"/>
        <v>0</v>
      </c>
    </row>
    <row r="63" spans="1:117" x14ac:dyDescent="0.3">
      <c r="B63" s="18"/>
      <c r="C63" s="666"/>
      <c r="D63" s="18"/>
      <c r="E63" s="666"/>
      <c r="F63" s="18"/>
      <c r="G63" s="666"/>
      <c r="H63" s="18"/>
      <c r="I63" s="666"/>
      <c r="J63" s="18"/>
      <c r="K63" s="666"/>
      <c r="L63" s="18"/>
      <c r="M63" s="18"/>
      <c r="N63" s="666"/>
      <c r="O63" s="18"/>
      <c r="P63" s="666"/>
      <c r="Q63" s="18"/>
      <c r="R63" s="666"/>
      <c r="S63" s="18"/>
      <c r="T63" s="666"/>
      <c r="U63" s="18"/>
      <c r="V63" s="666"/>
      <c r="W63" s="18"/>
      <c r="X63" s="18"/>
      <c r="Y63" s="666"/>
      <c r="Z63" s="18"/>
      <c r="AA63" s="666"/>
      <c r="AB63" s="18"/>
      <c r="AC63" s="666"/>
      <c r="AD63" s="18"/>
      <c r="AE63" s="666"/>
      <c r="AF63" s="18"/>
      <c r="AG63" s="666"/>
      <c r="AH63" s="18"/>
      <c r="AI63" s="18"/>
      <c r="AJ63" s="18"/>
      <c r="AL63" s="423">
        <f t="shared" si="0"/>
        <v>0</v>
      </c>
      <c r="AN63" s="599">
        <f t="shared" si="52"/>
        <v>0</v>
      </c>
      <c r="AO63" s="599">
        <f t="shared" si="53"/>
        <v>0</v>
      </c>
      <c r="AP63" s="599">
        <f t="shared" si="54"/>
        <v>0</v>
      </c>
    </row>
    <row r="64" spans="1:117" x14ac:dyDescent="0.3">
      <c r="B64" s="328" t="s">
        <v>453</v>
      </c>
      <c r="C64" s="667">
        <f>0.1*(C52+C49)</f>
        <v>0</v>
      </c>
      <c r="D64" s="327"/>
      <c r="E64" s="667">
        <f>C64</f>
        <v>0</v>
      </c>
      <c r="F64" s="327"/>
      <c r="G64" s="667">
        <v>0</v>
      </c>
      <c r="H64" s="327"/>
      <c r="I64" s="667">
        <v>0</v>
      </c>
      <c r="J64" s="327"/>
      <c r="K64" s="667">
        <v>0</v>
      </c>
      <c r="L64" s="327"/>
      <c r="M64" s="39"/>
      <c r="N64" s="667">
        <f>0.1*(N52+N49)</f>
        <v>0</v>
      </c>
      <c r="O64" s="327"/>
      <c r="P64" s="667">
        <f>N64</f>
        <v>0</v>
      </c>
      <c r="Q64" s="327"/>
      <c r="R64" s="667">
        <v>0</v>
      </c>
      <c r="S64" s="327"/>
      <c r="T64" s="667">
        <v>0</v>
      </c>
      <c r="U64" s="327"/>
      <c r="V64" s="611">
        <v>0</v>
      </c>
      <c r="W64" s="327"/>
      <c r="X64" s="646"/>
      <c r="Y64" s="667">
        <v>0</v>
      </c>
      <c r="Z64" s="327"/>
      <c r="AA64" s="667">
        <f>Y64</f>
        <v>0</v>
      </c>
      <c r="AB64" s="327"/>
      <c r="AC64" s="667">
        <v>0</v>
      </c>
      <c r="AD64" s="327"/>
      <c r="AE64" s="667">
        <v>0</v>
      </c>
      <c r="AF64" s="327"/>
      <c r="AG64" s="611">
        <v>0</v>
      </c>
      <c r="AH64" s="327"/>
      <c r="AI64" s="18"/>
      <c r="AJ64" s="18" t="s">
        <v>454</v>
      </c>
      <c r="AL64" s="819">
        <f t="shared" si="0"/>
        <v>0</v>
      </c>
      <c r="AN64" s="599">
        <f t="shared" si="52"/>
        <v>0</v>
      </c>
      <c r="AO64" s="599">
        <f t="shared" si="53"/>
        <v>0</v>
      </c>
      <c r="AP64" s="599">
        <f t="shared" si="54"/>
        <v>0</v>
      </c>
    </row>
    <row r="65" spans="2:42" outlineLevel="1" x14ac:dyDescent="0.3">
      <c r="B65" s="731" t="s">
        <v>455</v>
      </c>
      <c r="C65" s="724">
        <v>0</v>
      </c>
      <c r="D65" s="725">
        <f t="shared" ref="D65:D80" si="60">$F$14</f>
        <v>0.21</v>
      </c>
      <c r="E65" s="724">
        <f>C65</f>
        <v>0</v>
      </c>
      <c r="F65" s="725">
        <f>F$14</f>
        <v>0.21</v>
      </c>
      <c r="G65" s="724">
        <v>0</v>
      </c>
      <c r="H65" s="725">
        <f>F65</f>
        <v>0.21</v>
      </c>
      <c r="I65" s="724">
        <v>0</v>
      </c>
      <c r="J65" s="725">
        <f>H65</f>
        <v>0.21</v>
      </c>
      <c r="K65" s="724">
        <v>0</v>
      </c>
      <c r="L65" s="725">
        <f>J65</f>
        <v>0.21</v>
      </c>
      <c r="M65" s="629"/>
      <c r="N65" s="724"/>
      <c r="O65" s="725">
        <f>$Q$14</f>
        <v>0.21</v>
      </c>
      <c r="P65" s="724">
        <f>N65</f>
        <v>0</v>
      </c>
      <c r="Q65" s="725">
        <f>O65</f>
        <v>0.21</v>
      </c>
      <c r="R65" s="724">
        <v>0</v>
      </c>
      <c r="S65" s="725">
        <f>Q65</f>
        <v>0.21</v>
      </c>
      <c r="T65" s="724">
        <v>0</v>
      </c>
      <c r="U65" s="725">
        <f>S65</f>
        <v>0.21</v>
      </c>
      <c r="V65" s="724">
        <v>0</v>
      </c>
      <c r="W65" s="725">
        <f>U65</f>
        <v>0.21</v>
      </c>
      <c r="X65" s="647"/>
      <c r="Y65" s="724"/>
      <c r="Z65" s="725">
        <f>$AB$14</f>
        <v>0.21</v>
      </c>
      <c r="AA65" s="724">
        <f>Y65</f>
        <v>0</v>
      </c>
      <c r="AB65" s="725">
        <f>Z65</f>
        <v>0.21</v>
      </c>
      <c r="AC65" s="724">
        <v>0</v>
      </c>
      <c r="AD65" s="725">
        <f>AB65</f>
        <v>0.21</v>
      </c>
      <c r="AE65" s="724">
        <v>0</v>
      </c>
      <c r="AF65" s="725">
        <f>AD65</f>
        <v>0.21</v>
      </c>
      <c r="AG65" s="724">
        <v>0</v>
      </c>
      <c r="AH65" s="725">
        <f>AF65</f>
        <v>0.21</v>
      </c>
      <c r="AI65" s="18"/>
      <c r="AJ65" s="18"/>
      <c r="AL65" s="423">
        <f t="shared" si="0"/>
        <v>0</v>
      </c>
      <c r="AN65" s="599">
        <f t="shared" si="52"/>
        <v>0</v>
      </c>
      <c r="AO65" s="599">
        <f t="shared" si="53"/>
        <v>0</v>
      </c>
      <c r="AP65" s="599">
        <f t="shared" si="54"/>
        <v>0</v>
      </c>
    </row>
    <row r="66" spans="2:42" outlineLevel="1" x14ac:dyDescent="0.3">
      <c r="B66" s="732" t="s">
        <v>456</v>
      </c>
      <c r="C66" s="724">
        <v>0</v>
      </c>
      <c r="D66" s="725">
        <f t="shared" si="60"/>
        <v>0.21</v>
      </c>
      <c r="E66" s="724">
        <f t="shared" ref="E66:E79" si="61">C66</f>
        <v>0</v>
      </c>
      <c r="F66" s="725">
        <f t="shared" ref="F66:F80" si="62">F$14</f>
        <v>0.21</v>
      </c>
      <c r="G66" s="724">
        <v>0</v>
      </c>
      <c r="H66" s="725">
        <f t="shared" ref="H66:L79" si="63">F66</f>
        <v>0.21</v>
      </c>
      <c r="I66" s="724">
        <v>0</v>
      </c>
      <c r="J66" s="725">
        <f t="shared" si="63"/>
        <v>0.21</v>
      </c>
      <c r="K66" s="724">
        <v>0</v>
      </c>
      <c r="L66" s="725">
        <f t="shared" si="63"/>
        <v>0.21</v>
      </c>
      <c r="M66" s="629"/>
      <c r="N66" s="724"/>
      <c r="O66" s="725">
        <f t="shared" ref="O66:O80" si="64">$Q$14</f>
        <v>0.21</v>
      </c>
      <c r="P66" s="724">
        <f t="shared" ref="P66:Q79" si="65">N66</f>
        <v>0</v>
      </c>
      <c r="Q66" s="725">
        <f t="shared" si="65"/>
        <v>0.21</v>
      </c>
      <c r="R66" s="724">
        <v>0</v>
      </c>
      <c r="S66" s="725">
        <f t="shared" ref="S66:S79" si="66">Q66</f>
        <v>0.21</v>
      </c>
      <c r="T66" s="724">
        <v>0</v>
      </c>
      <c r="U66" s="725">
        <f t="shared" ref="U66:U79" si="67">S66</f>
        <v>0.21</v>
      </c>
      <c r="V66" s="724">
        <v>0</v>
      </c>
      <c r="W66" s="725">
        <f t="shared" ref="W66:W79" si="68">U66</f>
        <v>0.21</v>
      </c>
      <c r="X66" s="647"/>
      <c r="Y66" s="724"/>
      <c r="Z66" s="725">
        <f t="shared" ref="Z66:Z80" si="69">$AB$14</f>
        <v>0.21</v>
      </c>
      <c r="AA66" s="724">
        <f t="shared" ref="AA66:AB79" si="70">Y66</f>
        <v>0</v>
      </c>
      <c r="AB66" s="725">
        <f t="shared" si="70"/>
        <v>0.21</v>
      </c>
      <c r="AC66" s="724">
        <v>0</v>
      </c>
      <c r="AD66" s="725">
        <f t="shared" ref="AD66:AD79" si="71">AB66</f>
        <v>0.21</v>
      </c>
      <c r="AE66" s="724">
        <v>0</v>
      </c>
      <c r="AF66" s="725">
        <f t="shared" ref="AF66:AF79" si="72">AD66</f>
        <v>0.21</v>
      </c>
      <c r="AG66" s="724">
        <v>0</v>
      </c>
      <c r="AH66" s="725">
        <f t="shared" ref="AH66:AH79" si="73">AF66</f>
        <v>0.21</v>
      </c>
      <c r="AI66" s="18"/>
      <c r="AJ66" s="18"/>
      <c r="AL66" s="423">
        <f t="shared" si="0"/>
        <v>0</v>
      </c>
      <c r="AN66" s="599"/>
      <c r="AO66" s="599"/>
      <c r="AP66" s="599"/>
    </row>
    <row r="67" spans="2:42" outlineLevel="1" x14ac:dyDescent="0.3">
      <c r="B67" s="732" t="s">
        <v>457</v>
      </c>
      <c r="C67" s="724">
        <v>0</v>
      </c>
      <c r="D67" s="725">
        <f t="shared" si="60"/>
        <v>0.21</v>
      </c>
      <c r="E67" s="724">
        <f t="shared" si="61"/>
        <v>0</v>
      </c>
      <c r="F67" s="725">
        <f t="shared" si="62"/>
        <v>0.21</v>
      </c>
      <c r="G67" s="724">
        <v>0</v>
      </c>
      <c r="H67" s="725">
        <f t="shared" si="63"/>
        <v>0.21</v>
      </c>
      <c r="I67" s="724">
        <v>0</v>
      </c>
      <c r="J67" s="725">
        <f t="shared" si="63"/>
        <v>0.21</v>
      </c>
      <c r="K67" s="724">
        <v>0</v>
      </c>
      <c r="L67" s="725">
        <f t="shared" si="63"/>
        <v>0.21</v>
      </c>
      <c r="M67" s="629"/>
      <c r="N67" s="724"/>
      <c r="O67" s="725">
        <f t="shared" si="64"/>
        <v>0.21</v>
      </c>
      <c r="P67" s="724">
        <f t="shared" si="65"/>
        <v>0</v>
      </c>
      <c r="Q67" s="725">
        <f t="shared" si="65"/>
        <v>0.21</v>
      </c>
      <c r="R67" s="724">
        <v>0</v>
      </c>
      <c r="S67" s="725">
        <f t="shared" si="66"/>
        <v>0.21</v>
      </c>
      <c r="T67" s="724">
        <v>0</v>
      </c>
      <c r="U67" s="725">
        <f t="shared" si="67"/>
        <v>0.21</v>
      </c>
      <c r="V67" s="724">
        <v>0</v>
      </c>
      <c r="W67" s="725">
        <f t="shared" si="68"/>
        <v>0.21</v>
      </c>
      <c r="X67" s="647"/>
      <c r="Y67" s="724"/>
      <c r="Z67" s="725">
        <f t="shared" si="69"/>
        <v>0.21</v>
      </c>
      <c r="AA67" s="724">
        <f t="shared" si="70"/>
        <v>0</v>
      </c>
      <c r="AB67" s="725">
        <f t="shared" si="70"/>
        <v>0.21</v>
      </c>
      <c r="AC67" s="724">
        <v>0</v>
      </c>
      <c r="AD67" s="725">
        <f t="shared" si="71"/>
        <v>0.21</v>
      </c>
      <c r="AE67" s="724">
        <v>0</v>
      </c>
      <c r="AF67" s="725">
        <f t="shared" si="72"/>
        <v>0.21</v>
      </c>
      <c r="AG67" s="724">
        <v>0</v>
      </c>
      <c r="AH67" s="725">
        <f t="shared" si="73"/>
        <v>0.21</v>
      </c>
      <c r="AI67" s="18"/>
      <c r="AJ67" s="18"/>
      <c r="AL67" s="423">
        <f t="shared" si="0"/>
        <v>0</v>
      </c>
      <c r="AN67" s="599"/>
      <c r="AO67" s="599"/>
      <c r="AP67" s="599"/>
    </row>
    <row r="68" spans="2:42" outlineLevel="1" x14ac:dyDescent="0.3">
      <c r="B68" s="731" t="s">
        <v>458</v>
      </c>
      <c r="C68" s="724">
        <v>0</v>
      </c>
      <c r="D68" s="725">
        <f t="shared" si="60"/>
        <v>0.21</v>
      </c>
      <c r="E68" s="724">
        <f t="shared" si="61"/>
        <v>0</v>
      </c>
      <c r="F68" s="725">
        <f t="shared" si="62"/>
        <v>0.21</v>
      </c>
      <c r="G68" s="724">
        <v>0</v>
      </c>
      <c r="H68" s="725">
        <f t="shared" si="63"/>
        <v>0.21</v>
      </c>
      <c r="I68" s="724">
        <v>0</v>
      </c>
      <c r="J68" s="725">
        <f t="shared" si="63"/>
        <v>0.21</v>
      </c>
      <c r="K68" s="724">
        <v>0</v>
      </c>
      <c r="L68" s="725">
        <f t="shared" si="63"/>
        <v>0.21</v>
      </c>
      <c r="M68" s="629"/>
      <c r="N68" s="724"/>
      <c r="O68" s="725">
        <f t="shared" si="64"/>
        <v>0.21</v>
      </c>
      <c r="P68" s="724">
        <f t="shared" si="65"/>
        <v>0</v>
      </c>
      <c r="Q68" s="725">
        <f t="shared" si="65"/>
        <v>0.21</v>
      </c>
      <c r="R68" s="724">
        <v>0</v>
      </c>
      <c r="S68" s="725">
        <f t="shared" si="66"/>
        <v>0.21</v>
      </c>
      <c r="T68" s="724">
        <v>0</v>
      </c>
      <c r="U68" s="725">
        <f t="shared" si="67"/>
        <v>0.21</v>
      </c>
      <c r="V68" s="724">
        <v>0</v>
      </c>
      <c r="W68" s="725">
        <f t="shared" si="68"/>
        <v>0.21</v>
      </c>
      <c r="X68" s="647"/>
      <c r="Y68" s="724"/>
      <c r="Z68" s="725">
        <f t="shared" si="69"/>
        <v>0.21</v>
      </c>
      <c r="AA68" s="724">
        <f t="shared" si="70"/>
        <v>0</v>
      </c>
      <c r="AB68" s="725">
        <f t="shared" si="70"/>
        <v>0.21</v>
      </c>
      <c r="AC68" s="724">
        <v>0</v>
      </c>
      <c r="AD68" s="725">
        <f t="shared" si="71"/>
        <v>0.21</v>
      </c>
      <c r="AE68" s="724">
        <v>0</v>
      </c>
      <c r="AF68" s="725">
        <f t="shared" si="72"/>
        <v>0.21</v>
      </c>
      <c r="AG68" s="724">
        <v>0</v>
      </c>
      <c r="AH68" s="725">
        <f t="shared" si="73"/>
        <v>0.21</v>
      </c>
      <c r="AI68" s="18"/>
      <c r="AJ68" s="18"/>
      <c r="AL68" s="423">
        <f t="shared" si="0"/>
        <v>0</v>
      </c>
      <c r="AN68" s="599">
        <f>IFERROR(K68*$AP$5/$AS$5,0)</f>
        <v>0</v>
      </c>
      <c r="AO68" s="599">
        <f>IFERROR(K68*$AQ$5/$AS$5,0)</f>
        <v>0</v>
      </c>
      <c r="AP68" s="599">
        <f>IFERROR(K68*$AR$5/$AS$5,0)</f>
        <v>0</v>
      </c>
    </row>
    <row r="69" spans="2:42" outlineLevel="1" x14ac:dyDescent="0.3">
      <c r="B69" s="731" t="s">
        <v>459</v>
      </c>
      <c r="C69" s="724">
        <v>0</v>
      </c>
      <c r="D69" s="725">
        <f t="shared" si="60"/>
        <v>0.21</v>
      </c>
      <c r="E69" s="724">
        <f>C69</f>
        <v>0</v>
      </c>
      <c r="F69" s="725">
        <f t="shared" si="62"/>
        <v>0.21</v>
      </c>
      <c r="G69" s="724">
        <v>0</v>
      </c>
      <c r="H69" s="725">
        <f t="shared" si="63"/>
        <v>0.21</v>
      </c>
      <c r="I69" s="724">
        <v>0</v>
      </c>
      <c r="J69" s="725">
        <f t="shared" si="63"/>
        <v>0.21</v>
      </c>
      <c r="K69" s="724">
        <v>0</v>
      </c>
      <c r="L69" s="725">
        <f t="shared" si="63"/>
        <v>0.21</v>
      </c>
      <c r="M69" s="629"/>
      <c r="N69" s="724">
        <v>0</v>
      </c>
      <c r="O69" s="725">
        <f t="shared" si="64"/>
        <v>0.21</v>
      </c>
      <c r="P69" s="724">
        <f t="shared" si="65"/>
        <v>0</v>
      </c>
      <c r="Q69" s="725">
        <f t="shared" si="65"/>
        <v>0.21</v>
      </c>
      <c r="R69" s="724">
        <v>0</v>
      </c>
      <c r="S69" s="725">
        <f t="shared" si="66"/>
        <v>0.21</v>
      </c>
      <c r="T69" s="724">
        <v>0</v>
      </c>
      <c r="U69" s="725">
        <f t="shared" si="67"/>
        <v>0.21</v>
      </c>
      <c r="V69" s="724">
        <v>0</v>
      </c>
      <c r="W69" s="725">
        <f t="shared" si="68"/>
        <v>0.21</v>
      </c>
      <c r="X69" s="647"/>
      <c r="Y69" s="724"/>
      <c r="Z69" s="725">
        <f t="shared" si="69"/>
        <v>0.21</v>
      </c>
      <c r="AA69" s="724">
        <f t="shared" si="70"/>
        <v>0</v>
      </c>
      <c r="AB69" s="725">
        <f t="shared" si="70"/>
        <v>0.21</v>
      </c>
      <c r="AC69" s="724">
        <v>0</v>
      </c>
      <c r="AD69" s="725">
        <f t="shared" si="71"/>
        <v>0.21</v>
      </c>
      <c r="AE69" s="724">
        <v>0</v>
      </c>
      <c r="AF69" s="725">
        <f t="shared" si="72"/>
        <v>0.21</v>
      </c>
      <c r="AG69" s="724">
        <v>0</v>
      </c>
      <c r="AH69" s="725">
        <f t="shared" si="73"/>
        <v>0.21</v>
      </c>
      <c r="AI69" s="18"/>
      <c r="AJ69" s="18"/>
      <c r="AL69" s="423">
        <f t="shared" si="0"/>
        <v>0</v>
      </c>
      <c r="AN69" s="599">
        <f>IFERROR(K69*$AP$5/$AS$5,0)</f>
        <v>0</v>
      </c>
      <c r="AO69" s="599">
        <f>IFERROR(K69*$AQ$5/$AS$5,0)</f>
        <v>0</v>
      </c>
      <c r="AP69" s="599">
        <f>IFERROR(K69*$AR$5/$AS$5,0)</f>
        <v>0</v>
      </c>
    </row>
    <row r="70" spans="2:42" outlineLevel="1" x14ac:dyDescent="0.3">
      <c r="B70" s="731" t="s">
        <v>460</v>
      </c>
      <c r="C70" s="724">
        <v>0</v>
      </c>
      <c r="D70" s="725">
        <f t="shared" si="60"/>
        <v>0.21</v>
      </c>
      <c r="E70" s="724">
        <f t="shared" si="61"/>
        <v>0</v>
      </c>
      <c r="F70" s="725">
        <f t="shared" si="62"/>
        <v>0.21</v>
      </c>
      <c r="G70" s="724">
        <v>0</v>
      </c>
      <c r="H70" s="725">
        <f t="shared" si="63"/>
        <v>0.21</v>
      </c>
      <c r="I70" s="724">
        <v>0</v>
      </c>
      <c r="J70" s="725">
        <f t="shared" si="63"/>
        <v>0.21</v>
      </c>
      <c r="K70" s="724">
        <v>0</v>
      </c>
      <c r="L70" s="725">
        <f t="shared" si="63"/>
        <v>0.21</v>
      </c>
      <c r="M70" s="629"/>
      <c r="N70" s="724"/>
      <c r="O70" s="725">
        <f t="shared" si="64"/>
        <v>0.21</v>
      </c>
      <c r="P70" s="724">
        <f t="shared" si="65"/>
        <v>0</v>
      </c>
      <c r="Q70" s="725">
        <f t="shared" si="65"/>
        <v>0.21</v>
      </c>
      <c r="R70" s="724">
        <v>0</v>
      </c>
      <c r="S70" s="725">
        <f t="shared" si="66"/>
        <v>0.21</v>
      </c>
      <c r="T70" s="724">
        <v>0</v>
      </c>
      <c r="U70" s="725">
        <f t="shared" si="67"/>
        <v>0.21</v>
      </c>
      <c r="V70" s="724">
        <v>0</v>
      </c>
      <c r="W70" s="725">
        <f t="shared" si="68"/>
        <v>0.21</v>
      </c>
      <c r="X70" s="647"/>
      <c r="Y70" s="724"/>
      <c r="Z70" s="725">
        <f t="shared" si="69"/>
        <v>0.21</v>
      </c>
      <c r="AA70" s="724">
        <f t="shared" si="70"/>
        <v>0</v>
      </c>
      <c r="AB70" s="725">
        <f t="shared" si="70"/>
        <v>0.21</v>
      </c>
      <c r="AC70" s="724">
        <v>0</v>
      </c>
      <c r="AD70" s="725">
        <f t="shared" si="71"/>
        <v>0.21</v>
      </c>
      <c r="AE70" s="724">
        <v>0</v>
      </c>
      <c r="AF70" s="725">
        <f t="shared" si="72"/>
        <v>0.21</v>
      </c>
      <c r="AG70" s="724">
        <v>0</v>
      </c>
      <c r="AH70" s="725">
        <f t="shared" si="73"/>
        <v>0.21</v>
      </c>
      <c r="AI70" s="18"/>
      <c r="AJ70" s="18"/>
      <c r="AL70" s="423">
        <f t="shared" si="0"/>
        <v>0</v>
      </c>
      <c r="AN70" s="599">
        <f>IFERROR(K70*$AP$5/$AS$5,0)</f>
        <v>0</v>
      </c>
      <c r="AO70" s="599">
        <f>IFERROR(K70*$AQ$5/$AS$5,0)</f>
        <v>0</v>
      </c>
      <c r="AP70" s="599">
        <f>IFERROR(K70*$AR$5/$AS$5,0)</f>
        <v>0</v>
      </c>
    </row>
    <row r="71" spans="2:42" outlineLevel="1" x14ac:dyDescent="0.3">
      <c r="B71" s="732" t="s">
        <v>461</v>
      </c>
      <c r="C71" s="724">
        <v>0</v>
      </c>
      <c r="D71" s="725">
        <f t="shared" si="60"/>
        <v>0.21</v>
      </c>
      <c r="E71" s="724">
        <f t="shared" si="61"/>
        <v>0</v>
      </c>
      <c r="F71" s="725">
        <f t="shared" si="62"/>
        <v>0.21</v>
      </c>
      <c r="G71" s="724">
        <v>0</v>
      </c>
      <c r="H71" s="725">
        <f t="shared" si="63"/>
        <v>0.21</v>
      </c>
      <c r="I71" s="724">
        <v>0</v>
      </c>
      <c r="J71" s="725">
        <f t="shared" si="63"/>
        <v>0.21</v>
      </c>
      <c r="K71" s="724">
        <v>0</v>
      </c>
      <c r="L71" s="725">
        <f t="shared" si="63"/>
        <v>0.21</v>
      </c>
      <c r="M71" s="629"/>
      <c r="N71" s="724"/>
      <c r="O71" s="725">
        <f t="shared" si="64"/>
        <v>0.21</v>
      </c>
      <c r="P71" s="724">
        <f t="shared" si="65"/>
        <v>0</v>
      </c>
      <c r="Q71" s="725">
        <f t="shared" si="65"/>
        <v>0.21</v>
      </c>
      <c r="R71" s="724">
        <v>0</v>
      </c>
      <c r="S71" s="725">
        <f t="shared" si="66"/>
        <v>0.21</v>
      </c>
      <c r="T71" s="724">
        <v>0</v>
      </c>
      <c r="U71" s="725">
        <f t="shared" si="67"/>
        <v>0.21</v>
      </c>
      <c r="V71" s="724">
        <v>0</v>
      </c>
      <c r="W71" s="725">
        <f t="shared" si="68"/>
        <v>0.21</v>
      </c>
      <c r="X71" s="647"/>
      <c r="Y71" s="724"/>
      <c r="Z71" s="725">
        <f t="shared" si="69"/>
        <v>0.21</v>
      </c>
      <c r="AA71" s="724">
        <f t="shared" si="70"/>
        <v>0</v>
      </c>
      <c r="AB71" s="725">
        <f t="shared" si="70"/>
        <v>0.21</v>
      </c>
      <c r="AC71" s="724">
        <v>0</v>
      </c>
      <c r="AD71" s="725">
        <f t="shared" si="71"/>
        <v>0.21</v>
      </c>
      <c r="AE71" s="724">
        <v>0</v>
      </c>
      <c r="AF71" s="725">
        <f t="shared" si="72"/>
        <v>0.21</v>
      </c>
      <c r="AG71" s="724">
        <v>0</v>
      </c>
      <c r="AH71" s="725">
        <f t="shared" si="73"/>
        <v>0.21</v>
      </c>
      <c r="AI71" s="18"/>
      <c r="AJ71" s="18"/>
      <c r="AL71" s="423">
        <f t="shared" si="0"/>
        <v>0</v>
      </c>
      <c r="AN71" s="599"/>
      <c r="AO71" s="599"/>
      <c r="AP71" s="599"/>
    </row>
    <row r="72" spans="2:42" outlineLevel="1" x14ac:dyDescent="0.3">
      <c r="B72" s="731" t="s">
        <v>462</v>
      </c>
      <c r="C72" s="724">
        <v>0</v>
      </c>
      <c r="D72" s="725">
        <f t="shared" si="60"/>
        <v>0.21</v>
      </c>
      <c r="E72" s="724">
        <f t="shared" si="61"/>
        <v>0</v>
      </c>
      <c r="F72" s="725">
        <f t="shared" si="62"/>
        <v>0.21</v>
      </c>
      <c r="G72" s="724">
        <v>0</v>
      </c>
      <c r="H72" s="725">
        <f t="shared" si="63"/>
        <v>0.21</v>
      </c>
      <c r="I72" s="724">
        <v>0</v>
      </c>
      <c r="J72" s="725">
        <f t="shared" si="63"/>
        <v>0.21</v>
      </c>
      <c r="K72" s="724">
        <v>0</v>
      </c>
      <c r="L72" s="725">
        <f t="shared" si="63"/>
        <v>0.21</v>
      </c>
      <c r="M72" s="629"/>
      <c r="N72" s="724"/>
      <c r="O72" s="725">
        <f t="shared" si="64"/>
        <v>0.21</v>
      </c>
      <c r="P72" s="724">
        <f t="shared" si="65"/>
        <v>0</v>
      </c>
      <c r="Q72" s="725">
        <f t="shared" si="65"/>
        <v>0.21</v>
      </c>
      <c r="R72" s="724">
        <v>0</v>
      </c>
      <c r="S72" s="725">
        <f t="shared" si="66"/>
        <v>0.21</v>
      </c>
      <c r="T72" s="724">
        <v>0</v>
      </c>
      <c r="U72" s="725">
        <f t="shared" si="67"/>
        <v>0.21</v>
      </c>
      <c r="V72" s="724">
        <v>0</v>
      </c>
      <c r="W72" s="725">
        <f t="shared" si="68"/>
        <v>0.21</v>
      </c>
      <c r="X72" s="647"/>
      <c r="Y72" s="724"/>
      <c r="Z72" s="725">
        <f t="shared" si="69"/>
        <v>0.21</v>
      </c>
      <c r="AA72" s="724">
        <f t="shared" si="70"/>
        <v>0</v>
      </c>
      <c r="AB72" s="725">
        <f t="shared" si="70"/>
        <v>0.21</v>
      </c>
      <c r="AC72" s="724">
        <v>0</v>
      </c>
      <c r="AD72" s="725">
        <f t="shared" si="71"/>
        <v>0.21</v>
      </c>
      <c r="AE72" s="724">
        <v>0</v>
      </c>
      <c r="AF72" s="725">
        <f t="shared" si="72"/>
        <v>0.21</v>
      </c>
      <c r="AG72" s="724">
        <v>0</v>
      </c>
      <c r="AH72" s="725">
        <f t="shared" si="73"/>
        <v>0.21</v>
      </c>
      <c r="AI72" s="18"/>
      <c r="AJ72" s="18"/>
      <c r="AL72" s="423">
        <f t="shared" si="0"/>
        <v>0</v>
      </c>
      <c r="AN72" s="599">
        <f>IFERROR(K72*$AP$5/$AS$5,0)</f>
        <v>0</v>
      </c>
      <c r="AO72" s="599">
        <f>IFERROR(K72*$AQ$5/$AS$5,0)</f>
        <v>0</v>
      </c>
      <c r="AP72" s="599">
        <f>IFERROR(K72*$AR$5/$AS$5,0)</f>
        <v>0</v>
      </c>
    </row>
    <row r="73" spans="2:42" outlineLevel="1" x14ac:dyDescent="0.3">
      <c r="B73" s="732" t="s">
        <v>463</v>
      </c>
      <c r="C73" s="724">
        <v>0</v>
      </c>
      <c r="D73" s="725">
        <f t="shared" si="60"/>
        <v>0.21</v>
      </c>
      <c r="E73" s="724">
        <f t="shared" si="61"/>
        <v>0</v>
      </c>
      <c r="F73" s="725">
        <f t="shared" si="62"/>
        <v>0.21</v>
      </c>
      <c r="G73" s="724">
        <v>0</v>
      </c>
      <c r="H73" s="725">
        <f t="shared" si="63"/>
        <v>0.21</v>
      </c>
      <c r="I73" s="724">
        <v>0</v>
      </c>
      <c r="J73" s="725">
        <f t="shared" si="63"/>
        <v>0.21</v>
      </c>
      <c r="K73" s="724">
        <v>0</v>
      </c>
      <c r="L73" s="725">
        <f t="shared" si="63"/>
        <v>0.21</v>
      </c>
      <c r="M73" s="629"/>
      <c r="N73" s="724"/>
      <c r="O73" s="725">
        <f t="shared" si="64"/>
        <v>0.21</v>
      </c>
      <c r="P73" s="724">
        <f t="shared" si="65"/>
        <v>0</v>
      </c>
      <c r="Q73" s="725">
        <f t="shared" si="65"/>
        <v>0.21</v>
      </c>
      <c r="R73" s="724">
        <v>0</v>
      </c>
      <c r="S73" s="725">
        <f t="shared" si="66"/>
        <v>0.21</v>
      </c>
      <c r="T73" s="724">
        <v>0</v>
      </c>
      <c r="U73" s="725">
        <f t="shared" si="67"/>
        <v>0.21</v>
      </c>
      <c r="V73" s="724">
        <v>0</v>
      </c>
      <c r="W73" s="725">
        <f t="shared" si="68"/>
        <v>0.21</v>
      </c>
      <c r="X73" s="647"/>
      <c r="Y73" s="724"/>
      <c r="Z73" s="725">
        <f t="shared" si="69"/>
        <v>0.21</v>
      </c>
      <c r="AA73" s="724">
        <f t="shared" si="70"/>
        <v>0</v>
      </c>
      <c r="AB73" s="725">
        <f t="shared" si="70"/>
        <v>0.21</v>
      </c>
      <c r="AC73" s="724">
        <v>0</v>
      </c>
      <c r="AD73" s="725">
        <f t="shared" si="71"/>
        <v>0.21</v>
      </c>
      <c r="AE73" s="724">
        <v>0</v>
      </c>
      <c r="AF73" s="725">
        <f t="shared" si="72"/>
        <v>0.21</v>
      </c>
      <c r="AG73" s="724">
        <v>0</v>
      </c>
      <c r="AH73" s="725">
        <f t="shared" si="73"/>
        <v>0.21</v>
      </c>
      <c r="AI73" s="18"/>
      <c r="AJ73" s="18"/>
      <c r="AL73" s="423">
        <f t="shared" si="0"/>
        <v>0</v>
      </c>
      <c r="AN73" s="599">
        <f>IFERROR(K73*$AP$5/$AS$5,0)</f>
        <v>0</v>
      </c>
      <c r="AO73" s="599">
        <f>IFERROR(K73*$AQ$5/$AS$5,0)</f>
        <v>0</v>
      </c>
      <c r="AP73" s="599">
        <f>IFERROR(K73*$AR$5/$AS$5,0)</f>
        <v>0</v>
      </c>
    </row>
    <row r="74" spans="2:42" outlineLevel="1" x14ac:dyDescent="0.3">
      <c r="B74" s="732" t="s">
        <v>464</v>
      </c>
      <c r="C74" s="724">
        <v>0</v>
      </c>
      <c r="D74" s="725">
        <f t="shared" si="60"/>
        <v>0.21</v>
      </c>
      <c r="E74" s="724">
        <f t="shared" si="61"/>
        <v>0</v>
      </c>
      <c r="F74" s="725">
        <f t="shared" si="62"/>
        <v>0.21</v>
      </c>
      <c r="G74" s="724">
        <v>0</v>
      </c>
      <c r="H74" s="725">
        <f t="shared" si="63"/>
        <v>0.21</v>
      </c>
      <c r="I74" s="724">
        <v>0</v>
      </c>
      <c r="J74" s="725">
        <f t="shared" si="63"/>
        <v>0.21</v>
      </c>
      <c r="K74" s="724">
        <v>0</v>
      </c>
      <c r="L74" s="725">
        <f t="shared" si="63"/>
        <v>0.21</v>
      </c>
      <c r="M74" s="629"/>
      <c r="N74" s="724"/>
      <c r="O74" s="725">
        <f t="shared" si="64"/>
        <v>0.21</v>
      </c>
      <c r="P74" s="724">
        <f t="shared" si="65"/>
        <v>0</v>
      </c>
      <c r="Q74" s="725">
        <f t="shared" si="65"/>
        <v>0.21</v>
      </c>
      <c r="R74" s="724">
        <v>0</v>
      </c>
      <c r="S74" s="725">
        <f t="shared" si="66"/>
        <v>0.21</v>
      </c>
      <c r="T74" s="724">
        <v>0</v>
      </c>
      <c r="U74" s="725">
        <f t="shared" si="67"/>
        <v>0.21</v>
      </c>
      <c r="V74" s="724">
        <v>0</v>
      </c>
      <c r="W74" s="725">
        <f t="shared" si="68"/>
        <v>0.21</v>
      </c>
      <c r="X74" s="647"/>
      <c r="Y74" s="724"/>
      <c r="Z74" s="725">
        <f t="shared" si="69"/>
        <v>0.21</v>
      </c>
      <c r="AA74" s="724">
        <f t="shared" si="70"/>
        <v>0</v>
      </c>
      <c r="AB74" s="725">
        <f t="shared" si="70"/>
        <v>0.21</v>
      </c>
      <c r="AC74" s="724">
        <v>0</v>
      </c>
      <c r="AD74" s="725">
        <f t="shared" si="71"/>
        <v>0.21</v>
      </c>
      <c r="AE74" s="724">
        <v>0</v>
      </c>
      <c r="AF74" s="725">
        <f t="shared" si="72"/>
        <v>0.21</v>
      </c>
      <c r="AG74" s="724">
        <v>0</v>
      </c>
      <c r="AH74" s="725">
        <f t="shared" si="73"/>
        <v>0.21</v>
      </c>
      <c r="AI74" s="18"/>
      <c r="AJ74" s="18"/>
      <c r="AL74" s="423">
        <f t="shared" si="0"/>
        <v>0</v>
      </c>
      <c r="AN74" s="599">
        <f>IFERROR(K74*$AP$5/$AS$5,0)</f>
        <v>0</v>
      </c>
      <c r="AO74" s="599">
        <f>IFERROR(K74*$AQ$5/$AS$5,0)</f>
        <v>0</v>
      </c>
      <c r="AP74" s="599">
        <f>IFERROR(K74*$AR$5/$AS$5,0)</f>
        <v>0</v>
      </c>
    </row>
    <row r="75" spans="2:42" outlineLevel="1" x14ac:dyDescent="0.3">
      <c r="B75" s="731" t="s">
        <v>465</v>
      </c>
      <c r="C75" s="724">
        <v>0</v>
      </c>
      <c r="D75" s="725">
        <f t="shared" si="60"/>
        <v>0.21</v>
      </c>
      <c r="E75" s="724">
        <f t="shared" si="61"/>
        <v>0</v>
      </c>
      <c r="F75" s="725">
        <f t="shared" si="62"/>
        <v>0.21</v>
      </c>
      <c r="G75" s="724">
        <v>0</v>
      </c>
      <c r="H75" s="725">
        <f t="shared" si="63"/>
        <v>0.21</v>
      </c>
      <c r="I75" s="724">
        <v>0</v>
      </c>
      <c r="J75" s="725">
        <f t="shared" si="63"/>
        <v>0.21</v>
      </c>
      <c r="K75" s="724">
        <v>0</v>
      </c>
      <c r="L75" s="725">
        <f t="shared" si="63"/>
        <v>0.21</v>
      </c>
      <c r="M75" s="629"/>
      <c r="N75" s="724"/>
      <c r="O75" s="725">
        <f t="shared" si="64"/>
        <v>0.21</v>
      </c>
      <c r="P75" s="724">
        <f t="shared" si="65"/>
        <v>0</v>
      </c>
      <c r="Q75" s="725">
        <f t="shared" si="65"/>
        <v>0.21</v>
      </c>
      <c r="R75" s="724">
        <v>0</v>
      </c>
      <c r="S75" s="725">
        <f t="shared" si="66"/>
        <v>0.21</v>
      </c>
      <c r="T75" s="724">
        <v>0</v>
      </c>
      <c r="U75" s="725">
        <f t="shared" si="67"/>
        <v>0.21</v>
      </c>
      <c r="V75" s="724">
        <v>0</v>
      </c>
      <c r="W75" s="725">
        <f t="shared" si="68"/>
        <v>0.21</v>
      </c>
      <c r="X75" s="647"/>
      <c r="Y75" s="724"/>
      <c r="Z75" s="725">
        <f t="shared" si="69"/>
        <v>0.21</v>
      </c>
      <c r="AA75" s="724">
        <f t="shared" si="70"/>
        <v>0</v>
      </c>
      <c r="AB75" s="725">
        <f t="shared" si="70"/>
        <v>0.21</v>
      </c>
      <c r="AC75" s="724">
        <v>0</v>
      </c>
      <c r="AD75" s="725">
        <f t="shared" si="71"/>
        <v>0.21</v>
      </c>
      <c r="AE75" s="724">
        <v>0</v>
      </c>
      <c r="AF75" s="725">
        <f t="shared" si="72"/>
        <v>0.21</v>
      </c>
      <c r="AG75" s="724">
        <v>0</v>
      </c>
      <c r="AH75" s="725">
        <f t="shared" si="73"/>
        <v>0.21</v>
      </c>
      <c r="AI75" s="18"/>
      <c r="AJ75" s="18"/>
      <c r="AL75" s="423">
        <f t="shared" si="0"/>
        <v>0</v>
      </c>
      <c r="AN75" s="599">
        <f>IFERROR(K75*$AP$5/$AS$5,0)</f>
        <v>0</v>
      </c>
      <c r="AO75" s="599">
        <f>IFERROR(K75*$AQ$5/$AS$5,0)</f>
        <v>0</v>
      </c>
      <c r="AP75" s="599">
        <f>IFERROR(K75*$AR$5/$AS$5,0)</f>
        <v>0</v>
      </c>
    </row>
    <row r="76" spans="2:42" outlineLevel="1" x14ac:dyDescent="0.3">
      <c r="B76" s="731" t="s">
        <v>466</v>
      </c>
      <c r="C76" s="724">
        <v>0</v>
      </c>
      <c r="D76" s="725">
        <f t="shared" si="60"/>
        <v>0.21</v>
      </c>
      <c r="E76" s="724">
        <f t="shared" si="61"/>
        <v>0</v>
      </c>
      <c r="F76" s="725">
        <f t="shared" si="62"/>
        <v>0.21</v>
      </c>
      <c r="G76" s="724">
        <v>0</v>
      </c>
      <c r="H76" s="725">
        <f t="shared" si="63"/>
        <v>0.21</v>
      </c>
      <c r="I76" s="724">
        <v>0</v>
      </c>
      <c r="J76" s="725">
        <f t="shared" si="63"/>
        <v>0.21</v>
      </c>
      <c r="K76" s="724">
        <v>0</v>
      </c>
      <c r="L76" s="725">
        <f t="shared" si="63"/>
        <v>0.21</v>
      </c>
      <c r="M76" s="629"/>
      <c r="N76" s="724"/>
      <c r="O76" s="725">
        <f t="shared" si="64"/>
        <v>0.21</v>
      </c>
      <c r="P76" s="724">
        <f t="shared" si="65"/>
        <v>0</v>
      </c>
      <c r="Q76" s="725">
        <f t="shared" si="65"/>
        <v>0.21</v>
      </c>
      <c r="R76" s="724">
        <v>0</v>
      </c>
      <c r="S76" s="725">
        <f t="shared" si="66"/>
        <v>0.21</v>
      </c>
      <c r="T76" s="724">
        <v>0</v>
      </c>
      <c r="U76" s="725">
        <f t="shared" si="67"/>
        <v>0.21</v>
      </c>
      <c r="V76" s="724">
        <v>0</v>
      </c>
      <c r="W76" s="725">
        <f t="shared" si="68"/>
        <v>0.21</v>
      </c>
      <c r="X76" s="647"/>
      <c r="Y76" s="724"/>
      <c r="Z76" s="725">
        <f t="shared" si="69"/>
        <v>0.21</v>
      </c>
      <c r="AA76" s="724">
        <f t="shared" si="70"/>
        <v>0</v>
      </c>
      <c r="AB76" s="725">
        <f t="shared" si="70"/>
        <v>0.21</v>
      </c>
      <c r="AC76" s="724">
        <v>0</v>
      </c>
      <c r="AD76" s="725">
        <f t="shared" si="71"/>
        <v>0.21</v>
      </c>
      <c r="AE76" s="724">
        <v>0</v>
      </c>
      <c r="AF76" s="725">
        <f t="shared" si="72"/>
        <v>0.21</v>
      </c>
      <c r="AG76" s="724">
        <v>0</v>
      </c>
      <c r="AH76" s="725">
        <f t="shared" si="73"/>
        <v>0.21</v>
      </c>
      <c r="AI76" s="18"/>
      <c r="AJ76" s="18"/>
      <c r="AL76" s="423">
        <f t="shared" si="0"/>
        <v>0</v>
      </c>
      <c r="AN76" s="599">
        <f>IFERROR(K76*$AP$5/$AS$5,0)</f>
        <v>0</v>
      </c>
      <c r="AO76" s="599">
        <f>IFERROR(K76*$AQ$5/$AS$5,0)</f>
        <v>0</v>
      </c>
      <c r="AP76" s="599">
        <f>IFERROR(K76*$AR$5/$AS$5,0)</f>
        <v>0</v>
      </c>
    </row>
    <row r="77" spans="2:42" outlineLevel="1" x14ac:dyDescent="0.3">
      <c r="B77" s="731" t="s">
        <v>467</v>
      </c>
      <c r="C77" s="724">
        <v>0</v>
      </c>
      <c r="D77" s="725">
        <f t="shared" si="60"/>
        <v>0.21</v>
      </c>
      <c r="E77" s="724">
        <f t="shared" si="61"/>
        <v>0</v>
      </c>
      <c r="F77" s="725">
        <f t="shared" si="62"/>
        <v>0.21</v>
      </c>
      <c r="G77" s="724">
        <v>0</v>
      </c>
      <c r="H77" s="725">
        <f t="shared" si="63"/>
        <v>0.21</v>
      </c>
      <c r="I77" s="724">
        <v>0</v>
      </c>
      <c r="J77" s="725">
        <f t="shared" si="63"/>
        <v>0.21</v>
      </c>
      <c r="K77" s="724">
        <v>0</v>
      </c>
      <c r="L77" s="725">
        <f t="shared" si="63"/>
        <v>0.21</v>
      </c>
      <c r="M77" s="629"/>
      <c r="N77" s="724"/>
      <c r="O77" s="725">
        <f t="shared" si="64"/>
        <v>0.21</v>
      </c>
      <c r="P77" s="724">
        <f t="shared" si="65"/>
        <v>0</v>
      </c>
      <c r="Q77" s="725">
        <f t="shared" si="65"/>
        <v>0.21</v>
      </c>
      <c r="R77" s="724">
        <v>0</v>
      </c>
      <c r="S77" s="725">
        <f t="shared" si="66"/>
        <v>0.21</v>
      </c>
      <c r="T77" s="724">
        <v>0</v>
      </c>
      <c r="U77" s="725">
        <f t="shared" si="67"/>
        <v>0.21</v>
      </c>
      <c r="V77" s="724">
        <v>0</v>
      </c>
      <c r="W77" s="725">
        <f t="shared" si="68"/>
        <v>0.21</v>
      </c>
      <c r="X77" s="647"/>
      <c r="Y77" s="724"/>
      <c r="Z77" s="725">
        <f t="shared" si="69"/>
        <v>0.21</v>
      </c>
      <c r="AA77" s="724">
        <f t="shared" si="70"/>
        <v>0</v>
      </c>
      <c r="AB77" s="725">
        <f t="shared" si="70"/>
        <v>0.21</v>
      </c>
      <c r="AC77" s="724">
        <v>0</v>
      </c>
      <c r="AD77" s="725">
        <f t="shared" si="71"/>
        <v>0.21</v>
      </c>
      <c r="AE77" s="724">
        <v>0</v>
      </c>
      <c r="AF77" s="725">
        <f t="shared" si="72"/>
        <v>0.21</v>
      </c>
      <c r="AG77" s="724">
        <v>0</v>
      </c>
      <c r="AH77" s="725">
        <f t="shared" si="73"/>
        <v>0.21</v>
      </c>
      <c r="AI77" s="18"/>
      <c r="AJ77" s="18"/>
      <c r="AL77" s="423">
        <f t="shared" si="0"/>
        <v>0</v>
      </c>
      <c r="AN77" s="599"/>
      <c r="AO77" s="599"/>
      <c r="AP77" s="599"/>
    </row>
    <row r="78" spans="2:42" outlineLevel="1" x14ac:dyDescent="0.3">
      <c r="B78" s="726" t="s">
        <v>468</v>
      </c>
      <c r="C78" s="724">
        <v>0</v>
      </c>
      <c r="D78" s="725">
        <f t="shared" si="60"/>
        <v>0.21</v>
      </c>
      <c r="E78" s="724">
        <f t="shared" si="61"/>
        <v>0</v>
      </c>
      <c r="F78" s="725">
        <f t="shared" si="62"/>
        <v>0.21</v>
      </c>
      <c r="G78" s="724">
        <v>0</v>
      </c>
      <c r="H78" s="725">
        <f t="shared" si="63"/>
        <v>0.21</v>
      </c>
      <c r="I78" s="724">
        <v>0</v>
      </c>
      <c r="J78" s="725">
        <f t="shared" si="63"/>
        <v>0.21</v>
      </c>
      <c r="K78" s="724">
        <v>0</v>
      </c>
      <c r="L78" s="725">
        <f t="shared" si="63"/>
        <v>0.21</v>
      </c>
      <c r="M78" s="629"/>
      <c r="N78" s="724"/>
      <c r="O78" s="725">
        <f t="shared" si="64"/>
        <v>0.21</v>
      </c>
      <c r="P78" s="724">
        <f t="shared" si="65"/>
        <v>0</v>
      </c>
      <c r="Q78" s="725">
        <f t="shared" si="65"/>
        <v>0.21</v>
      </c>
      <c r="R78" s="724">
        <v>0</v>
      </c>
      <c r="S78" s="725">
        <f t="shared" si="66"/>
        <v>0.21</v>
      </c>
      <c r="T78" s="724">
        <v>0</v>
      </c>
      <c r="U78" s="725">
        <f t="shared" si="67"/>
        <v>0.21</v>
      </c>
      <c r="V78" s="724">
        <v>0</v>
      </c>
      <c r="W78" s="725">
        <f t="shared" si="68"/>
        <v>0.21</v>
      </c>
      <c r="X78" s="647"/>
      <c r="Y78" s="724"/>
      <c r="Z78" s="725">
        <f t="shared" si="69"/>
        <v>0.21</v>
      </c>
      <c r="AA78" s="724">
        <f t="shared" si="70"/>
        <v>0</v>
      </c>
      <c r="AB78" s="725">
        <f t="shared" si="70"/>
        <v>0.21</v>
      </c>
      <c r="AC78" s="724">
        <v>0</v>
      </c>
      <c r="AD78" s="725">
        <f t="shared" si="71"/>
        <v>0.21</v>
      </c>
      <c r="AE78" s="724">
        <v>0</v>
      </c>
      <c r="AF78" s="725">
        <f t="shared" si="72"/>
        <v>0.21</v>
      </c>
      <c r="AG78" s="724">
        <v>0</v>
      </c>
      <c r="AH78" s="725">
        <f t="shared" si="73"/>
        <v>0.21</v>
      </c>
      <c r="AI78" s="18"/>
      <c r="AJ78" s="18"/>
      <c r="AL78" s="423">
        <f t="shared" si="0"/>
        <v>0</v>
      </c>
      <c r="AN78" s="599">
        <f>IFERROR(K78*$AP$5/$AS$5,0)</f>
        <v>0</v>
      </c>
      <c r="AO78" s="599">
        <f>IFERROR(K78*$AQ$5/$AS$5,0)</f>
        <v>0</v>
      </c>
      <c r="AP78" s="599">
        <f>IFERROR(K78*$AR$5/$AS$5,0)</f>
        <v>0</v>
      </c>
    </row>
    <row r="79" spans="2:42" outlineLevel="1" x14ac:dyDescent="0.3">
      <c r="B79" s="726" t="s">
        <v>469</v>
      </c>
      <c r="C79" s="724">
        <v>0</v>
      </c>
      <c r="D79" s="725">
        <f t="shared" si="60"/>
        <v>0.21</v>
      </c>
      <c r="E79" s="724">
        <f t="shared" si="61"/>
        <v>0</v>
      </c>
      <c r="F79" s="725">
        <f t="shared" si="62"/>
        <v>0.21</v>
      </c>
      <c r="G79" s="724">
        <v>0</v>
      </c>
      <c r="H79" s="725">
        <f t="shared" si="63"/>
        <v>0.21</v>
      </c>
      <c r="I79" s="724">
        <v>0</v>
      </c>
      <c r="J79" s="725">
        <f t="shared" si="63"/>
        <v>0.21</v>
      </c>
      <c r="K79" s="724">
        <v>0</v>
      </c>
      <c r="L79" s="725">
        <f t="shared" si="63"/>
        <v>0.21</v>
      </c>
      <c r="M79" s="629"/>
      <c r="N79" s="724"/>
      <c r="O79" s="725">
        <f t="shared" si="64"/>
        <v>0.21</v>
      </c>
      <c r="P79" s="724">
        <f t="shared" si="65"/>
        <v>0</v>
      </c>
      <c r="Q79" s="725">
        <f t="shared" si="65"/>
        <v>0.21</v>
      </c>
      <c r="R79" s="724">
        <v>0</v>
      </c>
      <c r="S79" s="725">
        <f t="shared" si="66"/>
        <v>0.21</v>
      </c>
      <c r="T79" s="724">
        <v>0</v>
      </c>
      <c r="U79" s="725">
        <f t="shared" si="67"/>
        <v>0.21</v>
      </c>
      <c r="V79" s="724">
        <v>0</v>
      </c>
      <c r="W79" s="725">
        <f t="shared" si="68"/>
        <v>0.21</v>
      </c>
      <c r="X79" s="647"/>
      <c r="Y79" s="724"/>
      <c r="Z79" s="725">
        <f t="shared" si="69"/>
        <v>0.21</v>
      </c>
      <c r="AA79" s="724">
        <f t="shared" si="70"/>
        <v>0</v>
      </c>
      <c r="AB79" s="725">
        <f t="shared" si="70"/>
        <v>0.21</v>
      </c>
      <c r="AC79" s="724">
        <v>0</v>
      </c>
      <c r="AD79" s="725">
        <f t="shared" si="71"/>
        <v>0.21</v>
      </c>
      <c r="AE79" s="724">
        <v>0</v>
      </c>
      <c r="AF79" s="725">
        <f t="shared" si="72"/>
        <v>0.21</v>
      </c>
      <c r="AG79" s="724">
        <v>0</v>
      </c>
      <c r="AH79" s="725">
        <f t="shared" si="73"/>
        <v>0.21</v>
      </c>
      <c r="AI79" s="18"/>
      <c r="AJ79" s="18"/>
      <c r="AL79" s="423">
        <f t="shared" si="0"/>
        <v>0</v>
      </c>
      <c r="AN79" s="599">
        <f>IFERROR(K79*$AP$5/$AS$5,0)</f>
        <v>0</v>
      </c>
      <c r="AO79" s="599">
        <f>IFERROR(K79*$AQ$5/$AS$5,0)</f>
        <v>0</v>
      </c>
      <c r="AP79" s="599">
        <f>IFERROR(K79*$AR$5/$AS$5,0)</f>
        <v>0</v>
      </c>
    </row>
    <row r="80" spans="2:42" outlineLevel="1" x14ac:dyDescent="0.3">
      <c r="B80" s="721" t="s">
        <v>431</v>
      </c>
      <c r="C80" s="724">
        <f>C64-SUM(C69:C79)</f>
        <v>0</v>
      </c>
      <c r="D80" s="725">
        <f t="shared" si="60"/>
        <v>0.21</v>
      </c>
      <c r="E80" s="724">
        <f>E64-SUM(E69:E79)</f>
        <v>0</v>
      </c>
      <c r="F80" s="725">
        <f t="shared" si="62"/>
        <v>0.21</v>
      </c>
      <c r="G80" s="724">
        <f>G64-SUM(G69:G79)</f>
        <v>0</v>
      </c>
      <c r="H80" s="725">
        <f>F80</f>
        <v>0.21</v>
      </c>
      <c r="I80" s="724">
        <f>I64-SUM(I69:I79)</f>
        <v>0</v>
      </c>
      <c r="J80" s="725">
        <f>H80</f>
        <v>0.21</v>
      </c>
      <c r="K80" s="724">
        <f>K64-SUM(K69:K79)</f>
        <v>0</v>
      </c>
      <c r="L80" s="725">
        <f>J80</f>
        <v>0.21</v>
      </c>
      <c r="M80" s="629"/>
      <c r="N80" s="724">
        <f>N64-SUM(N69:N79)</f>
        <v>0</v>
      </c>
      <c r="O80" s="725">
        <f t="shared" si="64"/>
        <v>0.21</v>
      </c>
      <c r="P80" s="724">
        <f>P64-SUM(P69:P79)</f>
        <v>0</v>
      </c>
      <c r="Q80" s="725">
        <f>O80</f>
        <v>0.21</v>
      </c>
      <c r="R80" s="724">
        <f>R64-SUM(R69:R79)</f>
        <v>0</v>
      </c>
      <c r="S80" s="725">
        <f>Q80</f>
        <v>0.21</v>
      </c>
      <c r="T80" s="724">
        <f>T64-SUM(T69:T79)</f>
        <v>0</v>
      </c>
      <c r="U80" s="725">
        <f>S80</f>
        <v>0.21</v>
      </c>
      <c r="V80" s="724">
        <f>V64-SUM(V69:V79)</f>
        <v>0</v>
      </c>
      <c r="W80" s="725">
        <f>U80</f>
        <v>0.21</v>
      </c>
      <c r="X80" s="647"/>
      <c r="Y80" s="724">
        <f>Y64-SUM(Y69:Y79)</f>
        <v>0</v>
      </c>
      <c r="Z80" s="725">
        <f t="shared" si="69"/>
        <v>0.21</v>
      </c>
      <c r="AA80" s="724">
        <f>AA64-SUM(AA69:AA79)</f>
        <v>0</v>
      </c>
      <c r="AB80" s="725">
        <f>Z80</f>
        <v>0.21</v>
      </c>
      <c r="AC80" s="724">
        <f>AC64-SUM(AC69:AC79)</f>
        <v>0</v>
      </c>
      <c r="AD80" s="725">
        <f>AB80</f>
        <v>0.21</v>
      </c>
      <c r="AE80" s="724">
        <f>AE64-SUM(AE69:AE79)</f>
        <v>0</v>
      </c>
      <c r="AF80" s="725">
        <f>AD80</f>
        <v>0.21</v>
      </c>
      <c r="AG80" s="724">
        <f>AG64-SUM(AG69:AG79)</f>
        <v>0</v>
      </c>
      <c r="AH80" s="725">
        <f>AF80</f>
        <v>0.21</v>
      </c>
      <c r="AI80" s="18"/>
      <c r="AJ80" s="18"/>
      <c r="AL80" s="423">
        <f t="shared" si="0"/>
        <v>0</v>
      </c>
      <c r="AN80" s="599">
        <f>IFERROR(K80*$AP$5/$AS$5,0)</f>
        <v>0</v>
      </c>
      <c r="AO80" s="599">
        <f>IFERROR(K80*$AQ$5/$AS$5,0)</f>
        <v>0</v>
      </c>
      <c r="AP80" s="599">
        <f>IFERROR(K80*$AR$5/$AS$5,0)</f>
        <v>0</v>
      </c>
    </row>
    <row r="81" spans="2:42" ht="15" thickBot="1" x14ac:dyDescent="0.35">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N81" s="599"/>
    </row>
    <row r="82" spans="2:42" ht="15" thickBot="1" x14ac:dyDescent="0.35">
      <c r="B82" s="307" t="s">
        <v>471</v>
      </c>
      <c r="C82" s="326">
        <f ca="1">C62+C64+C17</f>
        <v>0</v>
      </c>
      <c r="D82" s="325"/>
      <c r="E82" s="326">
        <f ca="1">E62+E64+E17</f>
        <v>0</v>
      </c>
      <c r="F82" s="325"/>
      <c r="G82" s="326">
        <f>G62+G64+G17</f>
        <v>0</v>
      </c>
      <c r="H82" s="325"/>
      <c r="I82" s="326">
        <f>I62+I64+I17</f>
        <v>0</v>
      </c>
      <c r="J82" s="324"/>
      <c r="K82" s="326">
        <f>SUM(K62:K64)+K17+K21</f>
        <v>0</v>
      </c>
      <c r="L82" s="18"/>
      <c r="M82" s="18"/>
      <c r="N82" s="326">
        <f ca="1">N62+N64+N17</f>
        <v>0</v>
      </c>
      <c r="O82" s="325"/>
      <c r="P82" s="326">
        <f ca="1">P62+P64+P17</f>
        <v>0</v>
      </c>
      <c r="Q82" s="325"/>
      <c r="R82" s="326">
        <f>R62+R64+R17</f>
        <v>0</v>
      </c>
      <c r="S82" s="325"/>
      <c r="T82" s="326">
        <f>T62+T64+T17</f>
        <v>0</v>
      </c>
      <c r="U82" s="324"/>
      <c r="V82" s="614">
        <f>SUM(V62:V64)+V17+V21</f>
        <v>0</v>
      </c>
      <c r="W82" s="18"/>
      <c r="X82" s="18"/>
      <c r="Y82" s="326">
        <f ca="1">Y62+Y64+Y17</f>
        <v>0</v>
      </c>
      <c r="Z82" s="325"/>
      <c r="AA82" s="326">
        <f ca="1">AA62+AA64+AA17</f>
        <v>0</v>
      </c>
      <c r="AB82" s="325"/>
      <c r="AC82" s="326">
        <f>AC62+AC64+AC17</f>
        <v>0</v>
      </c>
      <c r="AD82" s="325"/>
      <c r="AE82" s="326">
        <f>AE62+AE64+AE17</f>
        <v>0</v>
      </c>
      <c r="AF82" s="324"/>
      <c r="AG82" s="614">
        <f>SUM(AG62:AG64)+AG17+AG21</f>
        <v>0</v>
      </c>
      <c r="AH82" s="18"/>
      <c r="AI82" s="18"/>
      <c r="AJ82" s="18" t="s">
        <v>470</v>
      </c>
      <c r="AL82" s="819">
        <f>AG82+V82+K82</f>
        <v>0</v>
      </c>
      <c r="AN82" s="597">
        <f>SUM(AN62:AN64)+AN17+AN21</f>
        <v>0</v>
      </c>
      <c r="AO82" s="599">
        <f>IFERROR(K82*$AQ$5/$AS$5,0)</f>
        <v>0</v>
      </c>
      <c r="AP82" s="599">
        <f>IFERROR(K82*$AR$5/$AS$5,0)</f>
        <v>0</v>
      </c>
    </row>
    <row r="83" spans="2:42" x14ac:dyDescent="0.3">
      <c r="B83" s="54"/>
      <c r="C83" s="978"/>
      <c r="D83" s="978"/>
      <c r="E83" s="978"/>
      <c r="F83" s="978"/>
      <c r="G83" s="978"/>
      <c r="H83" s="978"/>
      <c r="I83" s="978"/>
      <c r="J83" s="978"/>
      <c r="K83" s="978"/>
      <c r="L83" s="18"/>
      <c r="M83" s="18"/>
      <c r="N83" s="978"/>
      <c r="O83" s="978"/>
      <c r="P83" s="978"/>
      <c r="Q83" s="978"/>
      <c r="R83" s="978"/>
      <c r="S83" s="978"/>
      <c r="T83" s="978"/>
      <c r="U83" s="978"/>
      <c r="V83" s="51"/>
      <c r="W83" s="18"/>
      <c r="X83" s="18"/>
      <c r="Y83" s="978"/>
      <c r="Z83" s="978"/>
      <c r="AA83" s="978"/>
      <c r="AB83" s="978"/>
      <c r="AC83" s="978"/>
      <c r="AD83" s="978"/>
      <c r="AE83" s="978"/>
      <c r="AF83" s="978"/>
      <c r="AG83" s="51"/>
      <c r="AH83" s="18"/>
      <c r="AI83" s="18"/>
      <c r="AJ83" s="18"/>
      <c r="AL83" s="423"/>
      <c r="AN83" s="51"/>
      <c r="AO83" s="423"/>
      <c r="AP83" s="423"/>
    </row>
    <row r="84" spans="2:42" x14ac:dyDescent="0.3">
      <c r="B84" s="977" t="s">
        <v>472</v>
      </c>
      <c r="C84" s="978">
        <f ca="1">C49*$F$12+C56*D56+C50*D50+C52*D52+C64+C64*D65+C62+C17+C55*D55+C57*D57+C58*D58+C59*D59+C60*D60+C61*D61</f>
        <v>0</v>
      </c>
      <c r="D84" s="978"/>
      <c r="E84" s="978">
        <f ca="1">E49*$F$12+E56*F56+E50*F50+E52*F52+E64+E64*F65+E62+E17+E55*F55+E57*F57+E58*F58+E59*F59+E60*F60+E61*F61</f>
        <v>0</v>
      </c>
      <c r="F84" s="978"/>
      <c r="G84" s="978">
        <f>G49*$F$12+G56*H56+G50*H50+G52*H52+G64+G64*H65+G62+G17+G55*H55+G57*H57+G58*H58+G59*H59+G60*H60+G61*H61</f>
        <v>0</v>
      </c>
      <c r="H84" s="978"/>
      <c r="I84" s="978">
        <f>I49*$F$12+I56*J56+I50*J50+I52*J52+I64+I64*J65+I62+I17+I55*J55+I57*J57+I58*J58+I59*J59+I60*J60+I61*J61</f>
        <v>0</v>
      </c>
      <c r="J84" s="978"/>
      <c r="K84" s="978">
        <f>K49*$F$12+K56*L56+K50*L50+K52*L52+K64+K64*L65+K62+K17+K55*L55+K57*L57+K58*L58+K59*L59+K60*L60+K61*L61</f>
        <v>0</v>
      </c>
      <c r="L84" s="18"/>
      <c r="M84" s="18"/>
      <c r="N84" s="978">
        <f ca="1">N49*$Q$12+N56*O56+N50*O50+N52*O52+N64+N64*O65+N62+N17+N55*O55+N57*O57+N58*O58+N59*O59+N60*O60+N61*O61</f>
        <v>0</v>
      </c>
      <c r="O84" s="978"/>
      <c r="P84" s="978">
        <f ca="1">P49*$Q$12+P56*Q56+P50*Q50+P52*Q52+P64+P64*Q65+P62+P17+P55*Q55+P57*Q57+P58*Q58+P59*Q59+P60*Q60+P61*Q61</f>
        <v>0</v>
      </c>
      <c r="Q84" s="978"/>
      <c r="R84" s="978">
        <f>R49*$Q$12+R56*S56+R50*S50+R52*S52+R64+R64*S65+R62+R17+R55*S55+R57*S57+R58*S58+R59*S59+R60*S60+R61*S61</f>
        <v>0</v>
      </c>
      <c r="S84" s="978"/>
      <c r="T84" s="978">
        <f>T49*Q12+T56*U56+T50*U50+T52*U52+T64+T64*U65+T62+T17+T55*U55+T57*U57+T58*U58+T59*U59+T60*U60+T61*U61</f>
        <v>0</v>
      </c>
      <c r="U84" s="978"/>
      <c r="V84" s="978">
        <f>V49*$Q$12+V56*W56+V50*W50+V52*W52+V64+V64*W65+V62+V17+V55*W55+V57*W57+V58*W58+V59*W59+V60*W60+V61*W61</f>
        <v>0</v>
      </c>
      <c r="W84" s="18"/>
      <c r="X84" s="18"/>
      <c r="Y84" s="978">
        <f ca="1">Y49*$AB$12+Y56*Z56+Y50*Z50+Y52*Z52+Y64+Y64*Z65+Y62+Y17+Y55*Z55+Y57*Z57+Y58*Z58+Y59*Z59+Y60*Z60+Y61*Z61</f>
        <v>0</v>
      </c>
      <c r="Z84" s="978"/>
      <c r="AA84" s="978">
        <f ca="1">AA49*$AB$12+AA56*AB56+AA50*AB50+AA52*AB52+AA64+AA64*AB65+AA62+AA17+AA55*AB55+AA57*AB57+AA58*AB58+AA59*AB59+AA60*AB60+AA61*AB61</f>
        <v>0</v>
      </c>
      <c r="AB84" s="978"/>
      <c r="AC84" s="978">
        <f>AC49*$AB$12+AC56*AD56+AC50*AD50+AC52*AD52+AC64+AC64*AD65+AC62+AC17+AC55*AD55+AC57*AD57+AC58*AD58+AC59*AD59+AC60*AD60+AC61*AD61</f>
        <v>0</v>
      </c>
      <c r="AD84" s="978"/>
      <c r="AE84" s="978">
        <f>AE49*AB12+AE56*AF56+AE50*AF50+AE52*AF52+AE64+AE64*AF65+AE62+AE17+AE55*AF55+AE57*AF57+AE58*AF58+AE59*AF59+AE60*AF60+AE61*AF61</f>
        <v>0</v>
      </c>
      <c r="AF84" s="978"/>
      <c r="AG84" s="978">
        <f>AG49*$AB$12+AG56*AH56+AG50*AH50+AG52*AH52+AG64+AG64*AH65+AG62+AG17+AG55*AH55+AG57*AH57+AG58*AH58+AG59*AH59+AG60*AH60+AG61*AH61</f>
        <v>0</v>
      </c>
      <c r="AH84" s="18"/>
      <c r="AI84" s="18"/>
      <c r="AJ84" s="18"/>
      <c r="AL84" s="819"/>
      <c r="AN84" s="51"/>
      <c r="AO84" s="423"/>
      <c r="AP84" s="423"/>
    </row>
    <row r="85" spans="2:42" x14ac:dyDescent="0.3">
      <c r="AJ85" s="18"/>
      <c r="AN85" s="599"/>
    </row>
    <row r="86" spans="2:42" x14ac:dyDescent="0.3">
      <c r="B86" s="307" t="s">
        <v>61</v>
      </c>
      <c r="C86" s="102" t="s">
        <v>406</v>
      </c>
      <c r="D86" s="103"/>
      <c r="E86" s="102" t="s">
        <v>408</v>
      </c>
      <c r="F86" s="103"/>
      <c r="G86" s="104" t="s">
        <v>409</v>
      </c>
      <c r="H86" s="103"/>
      <c r="I86" s="104" t="s">
        <v>410</v>
      </c>
      <c r="J86" s="103"/>
      <c r="K86" s="104" t="s">
        <v>411</v>
      </c>
      <c r="L86" s="105"/>
      <c r="M86" s="480"/>
      <c r="N86" s="102" t="s">
        <v>473</v>
      </c>
      <c r="O86" s="103"/>
      <c r="P86" s="102" t="s">
        <v>408</v>
      </c>
      <c r="Q86" s="103"/>
      <c r="R86" s="104" t="s">
        <v>409</v>
      </c>
      <c r="S86" s="103"/>
      <c r="T86" s="104" t="s">
        <v>410</v>
      </c>
      <c r="U86" s="103"/>
      <c r="V86" s="104" t="s">
        <v>411</v>
      </c>
      <c r="W86" s="105"/>
      <c r="X86" s="480"/>
      <c r="Y86" s="102" t="s">
        <v>473</v>
      </c>
      <c r="Z86" s="103"/>
      <c r="AA86" s="102" t="s">
        <v>408</v>
      </c>
      <c r="AB86" s="103"/>
      <c r="AC86" s="104" t="s">
        <v>409</v>
      </c>
      <c r="AD86" s="103"/>
      <c r="AE86" s="104" t="s">
        <v>410</v>
      </c>
      <c r="AF86" s="103"/>
      <c r="AG86" s="104" t="s">
        <v>411</v>
      </c>
      <c r="AH86" s="105"/>
      <c r="AJ86" t="s">
        <v>474</v>
      </c>
      <c r="AN86" s="599"/>
    </row>
    <row r="87" spans="2:42" x14ac:dyDescent="0.3">
      <c r="B87" s="22" t="s">
        <v>475</v>
      </c>
      <c r="C87" s="439">
        <f>'Overzicht BTA'!D13+'Overzicht BTA'!D14+'Overzicht BTA'!F13</f>
        <v>0</v>
      </c>
      <c r="D87" s="323" t="s">
        <v>476</v>
      </c>
      <c r="E87" s="439">
        <f>'Overzicht BTA'!D57+'Overzicht BTA'!F57+'Overzicht BTA'!D58</f>
        <v>0</v>
      </c>
      <c r="F87" s="323" t="s">
        <v>476</v>
      </c>
      <c r="G87" s="439">
        <f>C87</f>
        <v>0</v>
      </c>
      <c r="H87" s="323" t="s">
        <v>476</v>
      </c>
      <c r="I87" s="439">
        <f>C87</f>
        <v>0</v>
      </c>
      <c r="J87" s="323" t="s">
        <v>476</v>
      </c>
      <c r="K87" s="439">
        <f>C87</f>
        <v>0</v>
      </c>
      <c r="L87" s="323" t="s">
        <v>476</v>
      </c>
      <c r="M87" s="321"/>
      <c r="N87" s="439">
        <f>'Overzicht BTA'!O13+'Overzicht BTA'!O14+'Overzicht BTA'!Q13</f>
        <v>0</v>
      </c>
      <c r="O87" s="323" t="s">
        <v>476</v>
      </c>
      <c r="P87" s="439">
        <f>'Overzicht BTA'!J57+'Overzicht BTA'!L57+'Overzicht BTA'!J58</f>
        <v>0</v>
      </c>
      <c r="Q87" s="323" t="s">
        <v>476</v>
      </c>
      <c r="R87" s="439">
        <f>N87</f>
        <v>0</v>
      </c>
      <c r="S87" s="323" t="s">
        <v>476</v>
      </c>
      <c r="T87" s="439">
        <f>N87</f>
        <v>0</v>
      </c>
      <c r="U87" s="323" t="s">
        <v>476</v>
      </c>
      <c r="V87" s="439">
        <f>N87</f>
        <v>0</v>
      </c>
      <c r="W87" s="323" t="s">
        <v>476</v>
      </c>
      <c r="X87" s="649"/>
      <c r="Y87" s="439">
        <f>'Overzicht BTA'!Z13+'Overzicht BTA'!Z14+'Overzicht BTA'!AB13</f>
        <v>0</v>
      </c>
      <c r="Z87" s="323" t="s">
        <v>476</v>
      </c>
      <c r="AA87" s="439">
        <f>'Overzicht BTA'!P57+'Overzicht BTA'!R57+'Overzicht BTA'!P58</f>
        <v>0</v>
      </c>
      <c r="AB87" s="323" t="s">
        <v>476</v>
      </c>
      <c r="AC87" s="439">
        <f>Y87</f>
        <v>0</v>
      </c>
      <c r="AD87" s="323" t="s">
        <v>476</v>
      </c>
      <c r="AE87" s="439">
        <f>Y87</f>
        <v>0</v>
      </c>
      <c r="AF87" s="323" t="s">
        <v>476</v>
      </c>
      <c r="AG87" s="439">
        <f>Y87</f>
        <v>0</v>
      </c>
      <c r="AH87" s="323" t="s">
        <v>476</v>
      </c>
      <c r="AN87" s="599">
        <f>IFERROR(K87*$AP$5/$AS$5,0)</f>
        <v>0</v>
      </c>
      <c r="AO87" s="599">
        <f>IFERROR(K87*$AQ$5/$AS$5,0)</f>
        <v>0</v>
      </c>
      <c r="AP87" s="599">
        <f>IFERROR(K87*$AR$5/$AS$5,0)</f>
        <v>0</v>
      </c>
    </row>
    <row r="88" spans="2:42" x14ac:dyDescent="0.3">
      <c r="B88" s="916" t="s">
        <v>477</v>
      </c>
      <c r="C88" s="439">
        <v>0</v>
      </c>
      <c r="D88" s="323" t="s">
        <v>476</v>
      </c>
      <c r="E88" s="439">
        <f>'Overzicht BTA'!D58+'Overzicht BTA'!F58+'Overzicht BTA'!D59</f>
        <v>0</v>
      </c>
      <c r="F88" s="323" t="s">
        <v>476</v>
      </c>
      <c r="G88" s="439">
        <f>C88</f>
        <v>0</v>
      </c>
      <c r="H88" s="323" t="s">
        <v>476</v>
      </c>
      <c r="I88" s="439">
        <f>C88</f>
        <v>0</v>
      </c>
      <c r="J88" s="323" t="s">
        <v>476</v>
      </c>
      <c r="K88" s="439">
        <f>C88</f>
        <v>0</v>
      </c>
      <c r="L88" s="323" t="s">
        <v>476</v>
      </c>
      <c r="M88" s="321"/>
      <c r="N88" s="439">
        <f>'Overzicht BTA'!O14+'Overzicht BTA'!O15+'Overzicht BTA'!Q14</f>
        <v>0</v>
      </c>
      <c r="O88" s="323" t="s">
        <v>476</v>
      </c>
      <c r="P88" s="439">
        <f>'Overzicht BTA'!J58+'Overzicht BTA'!L58+'Overzicht BTA'!J59</f>
        <v>0</v>
      </c>
      <c r="Q88" s="323" t="s">
        <v>476</v>
      </c>
      <c r="R88" s="439">
        <f>N88</f>
        <v>0</v>
      </c>
      <c r="S88" s="323" t="s">
        <v>476</v>
      </c>
      <c r="T88" s="439">
        <f>N88</f>
        <v>0</v>
      </c>
      <c r="U88" s="323" t="s">
        <v>476</v>
      </c>
      <c r="V88" s="439">
        <f>N88</f>
        <v>0</v>
      </c>
      <c r="W88" s="323" t="s">
        <v>476</v>
      </c>
      <c r="X88" s="649"/>
      <c r="Y88" s="439">
        <f>'Overzicht BTA'!Z14+'Overzicht BTA'!Z15+'Overzicht BTA'!AB14</f>
        <v>0</v>
      </c>
      <c r="Z88" s="323" t="s">
        <v>476</v>
      </c>
      <c r="AA88" s="439">
        <f>'Overzicht BTA'!P58+'Overzicht BTA'!R58+'Overzicht BTA'!P59</f>
        <v>0</v>
      </c>
      <c r="AB88" s="323" t="s">
        <v>476</v>
      </c>
      <c r="AC88" s="439">
        <v>0</v>
      </c>
      <c r="AD88" s="323"/>
      <c r="AE88" s="439">
        <v>0</v>
      </c>
      <c r="AF88" s="323"/>
      <c r="AG88" s="439">
        <v>0</v>
      </c>
      <c r="AH88" s="323"/>
      <c r="AN88" s="599">
        <f>IFERROR(K88*$AP$5/$AS$5,0)</f>
        <v>0</v>
      </c>
      <c r="AO88" s="599">
        <f>IFERROR(K88*$AQ$5/$AS$5,0)</f>
        <v>0</v>
      </c>
      <c r="AP88" s="599">
        <f>IFERROR(K88*$AR$5/$AS$5,0)</f>
        <v>0</v>
      </c>
    </row>
    <row r="89" spans="2:42" x14ac:dyDescent="0.3">
      <c r="B89" s="983" t="s">
        <v>478</v>
      </c>
      <c r="C89" s="439">
        <v>0</v>
      </c>
      <c r="D89" s="323" t="s">
        <v>476</v>
      </c>
      <c r="E89" s="439">
        <f>'Overzicht BTA'!D59+'Overzicht BTA'!F59+'Overzicht BTA'!D60</f>
        <v>0</v>
      </c>
      <c r="F89" s="323" t="s">
        <v>476</v>
      </c>
      <c r="G89" s="439">
        <f>C89</f>
        <v>0</v>
      </c>
      <c r="H89" s="323" t="s">
        <v>476</v>
      </c>
      <c r="I89" s="439">
        <f>C89</f>
        <v>0</v>
      </c>
      <c r="J89" s="323" t="s">
        <v>476</v>
      </c>
      <c r="K89" s="439">
        <f>C89</f>
        <v>0</v>
      </c>
      <c r="L89" s="323" t="s">
        <v>476</v>
      </c>
      <c r="M89" s="321"/>
      <c r="N89" s="439">
        <f>'Overzicht BTA'!O15+'Overzicht BTA'!O16+'Overzicht BTA'!Q15</f>
        <v>0</v>
      </c>
      <c r="O89" s="323" t="s">
        <v>476</v>
      </c>
      <c r="P89" s="439">
        <f>'Overzicht BTA'!J59+'Overzicht BTA'!L59+'Overzicht BTA'!J60</f>
        <v>0</v>
      </c>
      <c r="Q89" s="323" t="s">
        <v>476</v>
      </c>
      <c r="R89" s="439">
        <f>N89</f>
        <v>0</v>
      </c>
      <c r="S89" s="323" t="s">
        <v>476</v>
      </c>
      <c r="T89" s="439">
        <f>N89</f>
        <v>0</v>
      </c>
      <c r="U89" s="323" t="s">
        <v>476</v>
      </c>
      <c r="V89" s="439">
        <f>N89</f>
        <v>0</v>
      </c>
      <c r="W89" s="323" t="s">
        <v>476</v>
      </c>
      <c r="X89" s="649"/>
      <c r="Y89" s="439">
        <f>'Overzicht BTA'!Z15+'Overzicht BTA'!Z16+'Overzicht BTA'!AB15</f>
        <v>0</v>
      </c>
      <c r="Z89" s="323" t="s">
        <v>476</v>
      </c>
      <c r="AA89" s="439">
        <f>'Overzicht BTA'!P59+'Overzicht BTA'!R59+'Overzicht BTA'!P60</f>
        <v>0</v>
      </c>
      <c r="AB89" s="323" t="s">
        <v>476</v>
      </c>
      <c r="AC89" s="439"/>
      <c r="AD89" s="323"/>
      <c r="AE89" s="439"/>
      <c r="AF89" s="323"/>
      <c r="AG89" s="439"/>
      <c r="AH89" s="323"/>
      <c r="AN89" s="599"/>
      <c r="AO89" s="599"/>
      <c r="AP89" s="599"/>
    </row>
    <row r="90" spans="2:42" x14ac:dyDescent="0.3">
      <c r="B90" s="917" t="s">
        <v>130</v>
      </c>
      <c r="C90" s="439">
        <v>0</v>
      </c>
      <c r="D90" s="323" t="s">
        <v>476</v>
      </c>
      <c r="E90" s="439">
        <f>'Overzicht BTA'!D60+'Overzicht BTA'!F60+'Overzicht BTA'!D61</f>
        <v>0</v>
      </c>
      <c r="F90" s="323" t="s">
        <v>476</v>
      </c>
      <c r="G90" s="439">
        <f>C90</f>
        <v>0</v>
      </c>
      <c r="H90" s="323" t="s">
        <v>476</v>
      </c>
      <c r="I90" s="439">
        <f>C90</f>
        <v>0</v>
      </c>
      <c r="J90" s="323" t="s">
        <v>476</v>
      </c>
      <c r="K90" s="439">
        <f>C90</f>
        <v>0</v>
      </c>
      <c r="L90" s="323" t="s">
        <v>476</v>
      </c>
      <c r="M90" s="321"/>
      <c r="N90" s="439">
        <f>'Overzicht BTA'!O16+'Overzicht BTA'!O17+'Overzicht BTA'!Q16</f>
        <v>0</v>
      </c>
      <c r="O90" s="323" t="s">
        <v>476</v>
      </c>
      <c r="P90" s="439">
        <f>'Overzicht BTA'!J60+'Overzicht BTA'!L60+'Overzicht BTA'!J61</f>
        <v>0</v>
      </c>
      <c r="Q90" s="323" t="s">
        <v>476</v>
      </c>
      <c r="R90" s="439">
        <f>N90</f>
        <v>0</v>
      </c>
      <c r="S90" s="323" t="s">
        <v>476</v>
      </c>
      <c r="T90" s="439">
        <f>N90</f>
        <v>0</v>
      </c>
      <c r="U90" s="323" t="s">
        <v>476</v>
      </c>
      <c r="V90" s="439">
        <f>N90</f>
        <v>0</v>
      </c>
      <c r="W90" s="323" t="s">
        <v>476</v>
      </c>
      <c r="X90" s="649"/>
      <c r="Y90" s="439">
        <f>'Overzicht BTA'!Z16+'Overzicht BTA'!Z17+'Overzicht BTA'!AB16</f>
        <v>0</v>
      </c>
      <c r="Z90" s="323" t="s">
        <v>476</v>
      </c>
      <c r="AA90" s="439">
        <f>'Overzicht BTA'!P60+'Overzicht BTA'!R60+'Overzicht BTA'!P61</f>
        <v>0</v>
      </c>
      <c r="AB90" s="323" t="s">
        <v>476</v>
      </c>
      <c r="AC90" s="439">
        <v>0</v>
      </c>
      <c r="AD90" s="323"/>
      <c r="AE90" s="439">
        <v>0</v>
      </c>
      <c r="AF90" s="323"/>
      <c r="AG90" s="439">
        <v>0</v>
      </c>
      <c r="AH90" s="323"/>
      <c r="AN90" s="599">
        <f>IFERROR(K90*$AP$5/$AS$5,0)</f>
        <v>0</v>
      </c>
      <c r="AO90" s="599">
        <f>IFERROR(K90*$AQ$5/$AS$5,0)</f>
        <v>0</v>
      </c>
      <c r="AP90" s="599">
        <f>IFERROR(K90*$AR$5/$AS$5,0)</f>
        <v>0</v>
      </c>
    </row>
    <row r="91" spans="2:42" x14ac:dyDescent="0.3">
      <c r="B91" s="22" t="s">
        <v>479</v>
      </c>
      <c r="C91" s="439">
        <v>0</v>
      </c>
      <c r="D91" s="323" t="s">
        <v>476</v>
      </c>
      <c r="E91" s="439">
        <f>C91</f>
        <v>0</v>
      </c>
      <c r="F91" s="323" t="s">
        <v>476</v>
      </c>
      <c r="G91" s="439">
        <f>C91</f>
        <v>0</v>
      </c>
      <c r="H91" s="323" t="s">
        <v>476</v>
      </c>
      <c r="I91" s="439">
        <f>E91</f>
        <v>0</v>
      </c>
      <c r="J91" s="323" t="s">
        <v>476</v>
      </c>
      <c r="K91" s="439">
        <f>G91</f>
        <v>0</v>
      </c>
      <c r="L91" s="323" t="s">
        <v>476</v>
      </c>
      <c r="M91" s="321"/>
      <c r="N91" s="439">
        <v>0</v>
      </c>
      <c r="O91" s="323" t="s">
        <v>476</v>
      </c>
      <c r="P91" s="439">
        <f>N91</f>
        <v>0</v>
      </c>
      <c r="Q91" s="323" t="s">
        <v>476</v>
      </c>
      <c r="R91" s="439">
        <f>P91</f>
        <v>0</v>
      </c>
      <c r="S91" s="323" t="s">
        <v>476</v>
      </c>
      <c r="T91" s="439">
        <f>R91</f>
        <v>0</v>
      </c>
      <c r="U91" s="323" t="s">
        <v>476</v>
      </c>
      <c r="V91" s="439">
        <f>T91</f>
        <v>0</v>
      </c>
      <c r="W91" s="323" t="s">
        <v>476</v>
      </c>
      <c r="X91" s="649"/>
      <c r="Y91" s="439">
        <v>0</v>
      </c>
      <c r="Z91" s="323" t="s">
        <v>476</v>
      </c>
      <c r="AA91" s="439">
        <f>Y91</f>
        <v>0</v>
      </c>
      <c r="AB91" s="323" t="s">
        <v>476</v>
      </c>
      <c r="AC91" s="439">
        <f>AA91</f>
        <v>0</v>
      </c>
      <c r="AD91" s="323" t="s">
        <v>476</v>
      </c>
      <c r="AE91" s="439">
        <f>AC91</f>
        <v>0</v>
      </c>
      <c r="AF91" s="323" t="s">
        <v>476</v>
      </c>
      <c r="AG91" s="439">
        <f>AE91</f>
        <v>0</v>
      </c>
      <c r="AH91" s="323" t="s">
        <v>476</v>
      </c>
      <c r="AN91" s="599">
        <f>IFERROR(K91*$AP$5/$AS$5,0)</f>
        <v>0</v>
      </c>
      <c r="AO91" s="599">
        <f>IFERROR(K91*$AQ$5/$AS$5,0)</f>
        <v>0</v>
      </c>
      <c r="AP91" s="599">
        <f>IFERROR(K91*$AR$5/$AS$5,0)</f>
        <v>0</v>
      </c>
    </row>
    <row r="92" spans="2:42" x14ac:dyDescent="0.3">
      <c r="B92" s="18"/>
      <c r="C92" s="321"/>
      <c r="D92" s="321"/>
      <c r="E92" s="321"/>
      <c r="F92" s="321"/>
      <c r="G92" s="321"/>
      <c r="H92" s="321"/>
      <c r="I92" s="321"/>
      <c r="J92" s="321"/>
      <c r="K92" s="321"/>
      <c r="L92" s="321"/>
      <c r="M92" s="321"/>
      <c r="N92" s="321"/>
      <c r="O92" s="321"/>
      <c r="P92" s="321"/>
      <c r="Q92" s="321"/>
      <c r="R92" s="321"/>
      <c r="S92" s="321"/>
      <c r="T92" s="321"/>
      <c r="U92" s="321"/>
      <c r="V92" s="321"/>
      <c r="W92" s="321"/>
      <c r="X92" s="321"/>
      <c r="Y92" s="321"/>
      <c r="Z92" s="321"/>
      <c r="AA92" s="321"/>
      <c r="AB92" s="321"/>
      <c r="AC92" s="321"/>
      <c r="AD92" s="321"/>
      <c r="AE92" s="321"/>
      <c r="AF92" s="321"/>
      <c r="AG92" s="321"/>
      <c r="AH92" s="321"/>
      <c r="AN92" s="599"/>
    </row>
    <row r="93" spans="2:42" x14ac:dyDescent="0.3">
      <c r="B93" s="22" t="s">
        <v>88</v>
      </c>
      <c r="C93" s="1086">
        <f>'Overzicht BTA'!$C$36</f>
        <v>2026</v>
      </c>
      <c r="D93" s="321"/>
      <c r="E93" s="1086">
        <f>'Overzicht BTA'!$C$37</f>
        <v>2026</v>
      </c>
      <c r="F93" s="321"/>
      <c r="G93" s="1086">
        <v>2025</v>
      </c>
      <c r="H93" s="321"/>
      <c r="I93" s="1086">
        <v>2025</v>
      </c>
      <c r="J93" s="321"/>
      <c r="K93" s="1086">
        <v>2025</v>
      </c>
      <c r="L93" s="321"/>
      <c r="M93" s="321"/>
      <c r="N93" s="1086">
        <f>'Overzicht BTA'!$C$36</f>
        <v>2026</v>
      </c>
      <c r="O93" s="321"/>
      <c r="P93" s="1086">
        <f>'Overzicht BTA'!$C$37</f>
        <v>2026</v>
      </c>
      <c r="Q93" s="321"/>
      <c r="R93" s="1086">
        <v>2025</v>
      </c>
      <c r="S93" s="321"/>
      <c r="T93" s="1086">
        <v>2025</v>
      </c>
      <c r="U93" s="321"/>
      <c r="V93" s="1086">
        <v>2025</v>
      </c>
      <c r="W93" s="321"/>
      <c r="X93" s="321"/>
      <c r="Y93" s="1086">
        <f>'Overzicht BTA'!$C$36</f>
        <v>2026</v>
      </c>
      <c r="Z93" s="321"/>
      <c r="AA93" s="1086">
        <f>'Overzicht BTA'!$C$37</f>
        <v>2026</v>
      </c>
      <c r="AB93" s="321"/>
      <c r="AC93" s="1086">
        <v>2025</v>
      </c>
      <c r="AD93" s="321"/>
      <c r="AE93" s="1086">
        <v>2025</v>
      </c>
      <c r="AF93" s="321"/>
      <c r="AG93" s="1086">
        <v>2025</v>
      </c>
      <c r="AH93" s="321"/>
      <c r="AJ93" t="s">
        <v>480</v>
      </c>
      <c r="AN93" s="89">
        <f>$K$93</f>
        <v>2025</v>
      </c>
      <c r="AO93" s="89">
        <f>$K$93</f>
        <v>2025</v>
      </c>
      <c r="AP93" s="89">
        <f>$K$93</f>
        <v>2025</v>
      </c>
    </row>
    <row r="94" spans="2:42" x14ac:dyDescent="0.3">
      <c r="B94" s="18"/>
      <c r="C94" s="322"/>
      <c r="D94" s="321"/>
      <c r="E94" s="322"/>
      <c r="F94" s="321"/>
      <c r="G94" s="322"/>
      <c r="H94" s="321"/>
      <c r="I94" s="322"/>
      <c r="J94" s="321"/>
      <c r="K94" s="322"/>
      <c r="L94" s="321"/>
      <c r="M94" s="321"/>
      <c r="N94" s="322"/>
      <c r="O94" s="321"/>
      <c r="P94" s="322"/>
      <c r="Q94" s="321"/>
      <c r="R94" s="322"/>
      <c r="S94" s="321"/>
      <c r="T94" s="322"/>
      <c r="U94" s="321"/>
      <c r="V94" s="322"/>
      <c r="W94" s="321"/>
      <c r="X94" s="321"/>
      <c r="Y94" s="322"/>
      <c r="Z94" s="321"/>
      <c r="AA94" s="322"/>
      <c r="AB94" s="321"/>
      <c r="AC94" s="322"/>
      <c r="AD94" s="321"/>
      <c r="AE94" s="322"/>
      <c r="AF94" s="321"/>
      <c r="AG94" s="322"/>
      <c r="AH94" s="321"/>
      <c r="AN94" s="599"/>
    </row>
    <row r="95" spans="2:42" x14ac:dyDescent="0.3">
      <c r="B95" s="249" t="s">
        <v>481</v>
      </c>
      <c r="C95" s="320" t="e">
        <f>VLOOKUP(C93,Bouwindex_ABEX!$Q$3:$R$34,2,FALSE)</f>
        <v>#N/A</v>
      </c>
      <c r="D95" s="320"/>
      <c r="E95" s="320" t="e">
        <f>VLOOKUP(E93,Bouwindex_ABEX!$Q$3:$R$34,2,FALSE)</f>
        <v>#N/A</v>
      </c>
      <c r="F95" s="320"/>
      <c r="G95" s="320">
        <f>VLOOKUP(G93,Bouwindex_ABEX!$Q$3:$R$34,2,FALSE)</f>
        <v>2.3417699999999999</v>
      </c>
      <c r="H95" s="319" t="e">
        <f>G95/C95-1</f>
        <v>#N/A</v>
      </c>
      <c r="I95" s="320">
        <f>VLOOKUP(I93,Bouwindex_ABEX!$Q$3:$R$34,2,FALSE)</f>
        <v>2.3417699999999999</v>
      </c>
      <c r="J95" s="319" t="e">
        <f>I95/C95-1</f>
        <v>#N/A</v>
      </c>
      <c r="K95" s="320">
        <f>VLOOKUP(K93,Bouwindex_ABEX!$Q$3:$R$34,2,FALSE)</f>
        <v>2.3417699999999999</v>
      </c>
      <c r="L95" s="319" t="e">
        <f>K95/C95-1</f>
        <v>#N/A</v>
      </c>
      <c r="M95" s="631"/>
      <c r="N95" s="320" t="e">
        <f>VLOOKUP(N93,Bouwindex_ABEX!$Q$3:$R$34,2,FALSE)</f>
        <v>#N/A</v>
      </c>
      <c r="O95" s="320"/>
      <c r="P95" s="320" t="e">
        <f>VLOOKUP(P93,Bouwindex_ABEX!$Q$3:$R$34,2,FALSE)</f>
        <v>#N/A</v>
      </c>
      <c r="Q95" s="320"/>
      <c r="R95" s="320">
        <f>VLOOKUP(R93,Bouwindex_ABEX!$Q$3:$R$34,2,FALSE)</f>
        <v>2.3417699999999999</v>
      </c>
      <c r="S95" s="319" t="e">
        <f>R95/N95-1</f>
        <v>#N/A</v>
      </c>
      <c r="T95" s="320">
        <f>VLOOKUP(T93,Bouwindex_ABEX!$Q$3:$R$34,2,FALSE)</f>
        <v>2.3417699999999999</v>
      </c>
      <c r="U95" s="319" t="e">
        <f>T95/N95-1</f>
        <v>#N/A</v>
      </c>
      <c r="V95" s="320">
        <f>VLOOKUP(V93,Bouwindex_ABEX!$Q$3:$R$34,2,FALSE)</f>
        <v>2.3417699999999999</v>
      </c>
      <c r="W95" s="319" t="e">
        <f>V95/N95-1</f>
        <v>#N/A</v>
      </c>
      <c r="X95" s="650"/>
      <c r="Y95" s="320" t="e">
        <f>VLOOKUP(Y93,Bouwindex_ABEX!$Q$3:$R$34,2,FALSE)</f>
        <v>#N/A</v>
      </c>
      <c r="Z95" s="320"/>
      <c r="AA95" s="320" t="e">
        <f>VLOOKUP(AA93,Bouwindex_ABEX!$Q$3:$R$34,2,FALSE)</f>
        <v>#N/A</v>
      </c>
      <c r="AB95" s="320"/>
      <c r="AC95" s="320">
        <f>VLOOKUP(AC93,Bouwindex_ABEX!$Q$3:$R$34,2,FALSE)</f>
        <v>2.3417699999999999</v>
      </c>
      <c r="AD95" s="319" t="e">
        <f>AC95/Y95-1</f>
        <v>#N/A</v>
      </c>
      <c r="AE95" s="320">
        <f>VLOOKUP(AE93,Bouwindex_ABEX!$Q$3:$R$34,2,FALSE)</f>
        <v>2.3417699999999999</v>
      </c>
      <c r="AF95" s="319" t="e">
        <f>AE95/Y95-1</f>
        <v>#N/A</v>
      </c>
      <c r="AG95" s="320">
        <f>VLOOKUP(AG93,Bouwindex_ABEX!$Q$3:$R$34,2,FALSE)</f>
        <v>2.3417699999999999</v>
      </c>
      <c r="AH95" s="319" t="e">
        <f>AG95/Y95-1</f>
        <v>#N/A</v>
      </c>
      <c r="AN95" s="610">
        <f>$K$95</f>
        <v>2.3417699999999999</v>
      </c>
      <c r="AO95" s="610">
        <f>$K$95</f>
        <v>2.3417699999999999</v>
      </c>
      <c r="AP95" s="610">
        <f>$K$95</f>
        <v>2.3417699999999999</v>
      </c>
    </row>
    <row r="96" spans="2:42" x14ac:dyDescent="0.3">
      <c r="AN96" s="599"/>
    </row>
    <row r="97" spans="2:42" x14ac:dyDescent="0.3">
      <c r="B97" s="307" t="s">
        <v>482</v>
      </c>
      <c r="C97" s="102" t="s">
        <v>406</v>
      </c>
      <c r="D97" s="103"/>
      <c r="E97" s="102" t="s">
        <v>408</v>
      </c>
      <c r="F97" s="103"/>
      <c r="G97" s="104" t="s">
        <v>409</v>
      </c>
      <c r="H97" s="103"/>
      <c r="I97" s="104" t="s">
        <v>410</v>
      </c>
      <c r="J97" s="103"/>
      <c r="K97" s="104" t="s">
        <v>411</v>
      </c>
      <c r="L97" s="105"/>
      <c r="M97" s="480"/>
      <c r="N97" s="102" t="s">
        <v>473</v>
      </c>
      <c r="O97" s="103"/>
      <c r="P97" s="102" t="s">
        <v>473</v>
      </c>
      <c r="Q97" s="103"/>
      <c r="R97" s="104" t="s">
        <v>409</v>
      </c>
      <c r="S97" s="103"/>
      <c r="T97" s="104" t="s">
        <v>410</v>
      </c>
      <c r="U97" s="103"/>
      <c r="V97" s="104" t="s">
        <v>411</v>
      </c>
      <c r="W97" s="105"/>
      <c r="X97" s="480"/>
      <c r="Y97" s="102" t="s">
        <v>473</v>
      </c>
      <c r="Z97" s="103"/>
      <c r="AA97" s="102" t="s">
        <v>473</v>
      </c>
      <c r="AB97" s="103"/>
      <c r="AC97" s="104" t="s">
        <v>409</v>
      </c>
      <c r="AD97" s="103"/>
      <c r="AE97" s="104" t="s">
        <v>410</v>
      </c>
      <c r="AF97" s="103"/>
      <c r="AG97" s="104" t="s">
        <v>411</v>
      </c>
      <c r="AH97" s="105"/>
      <c r="AN97" s="599"/>
    </row>
    <row r="98" spans="2:42" x14ac:dyDescent="0.3">
      <c r="B98" s="21" t="s">
        <v>356</v>
      </c>
      <c r="C98" s="318">
        <f>IFERROR(C49/C87,0)</f>
        <v>0</v>
      </c>
      <c r="D98" s="317" t="s">
        <v>278</v>
      </c>
      <c r="E98" s="318">
        <f>IFERROR(E49/E87,0)</f>
        <v>0</v>
      </c>
      <c r="F98" s="317" t="s">
        <v>278</v>
      </c>
      <c r="G98" s="318">
        <f>IFERROR(G49/G87,0)</f>
        <v>0</v>
      </c>
      <c r="H98" s="317" t="s">
        <v>278</v>
      </c>
      <c r="I98" s="318">
        <f>IFERROR(I49/I87,0)</f>
        <v>0</v>
      </c>
      <c r="J98" s="317" t="s">
        <v>278</v>
      </c>
      <c r="K98" s="318">
        <f>IFERROR(K49/K87,0)</f>
        <v>0</v>
      </c>
      <c r="L98" s="317" t="s">
        <v>278</v>
      </c>
      <c r="M98" s="632"/>
      <c r="N98" s="318">
        <f>IFERROR(N49/N87,0)</f>
        <v>0</v>
      </c>
      <c r="O98" s="317" t="s">
        <v>278</v>
      </c>
      <c r="P98" s="318">
        <f>IFERROR(P49/P87,0)</f>
        <v>0</v>
      </c>
      <c r="Q98" s="317" t="s">
        <v>278</v>
      </c>
      <c r="R98" s="318">
        <f>IFERROR(R49/R87,0)</f>
        <v>0</v>
      </c>
      <c r="S98" s="317" t="s">
        <v>278</v>
      </c>
      <c r="T98" s="318">
        <f>IFERROR(T49/T87,0)</f>
        <v>0</v>
      </c>
      <c r="U98" s="317" t="s">
        <v>278</v>
      </c>
      <c r="V98" s="318">
        <f>IFERROR(V49/V87,0)</f>
        <v>0</v>
      </c>
      <c r="W98" s="317" t="s">
        <v>278</v>
      </c>
      <c r="X98" s="651"/>
      <c r="Y98" s="318">
        <f>IFERROR(Y49/Y87,0)</f>
        <v>0</v>
      </c>
      <c r="Z98" s="317" t="s">
        <v>278</v>
      </c>
      <c r="AA98" s="318">
        <f>IFERROR(AA49/AA87,0)</f>
        <v>0</v>
      </c>
      <c r="AB98" s="317" t="s">
        <v>278</v>
      </c>
      <c r="AC98" s="318">
        <f>IFERROR(AC49/AC87,0)</f>
        <v>0</v>
      </c>
      <c r="AD98" s="317" t="s">
        <v>278</v>
      </c>
      <c r="AE98" s="318">
        <f>IFERROR(AE49/AE87,0)</f>
        <v>0</v>
      </c>
      <c r="AF98" s="317" t="s">
        <v>278</v>
      </c>
      <c r="AG98" s="318">
        <f>IFERROR(AG49/AG87,0)</f>
        <v>0</v>
      </c>
      <c r="AH98" s="317" t="s">
        <v>278</v>
      </c>
      <c r="AJ98" s="52"/>
      <c r="AN98" s="318">
        <f>IFERROR(AN49/AN87,0)</f>
        <v>0</v>
      </c>
      <c r="AO98" s="318">
        <f>IFERROR(AO49/AO87,0)</f>
        <v>0</v>
      </c>
      <c r="AP98" s="318">
        <f>IFERROR(AP49/AP87,0)</f>
        <v>0</v>
      </c>
    </row>
    <row r="99" spans="2:42" x14ac:dyDescent="0.3">
      <c r="B99" s="21" t="s">
        <v>357</v>
      </c>
      <c r="C99" s="318">
        <f>IFERROR(C51/C87,0)</f>
        <v>0</v>
      </c>
      <c r="D99" s="317" t="s">
        <v>278</v>
      </c>
      <c r="E99" s="318">
        <f>IFERROR(E51/E87,0)</f>
        <v>0</v>
      </c>
      <c r="F99" s="317" t="s">
        <v>278</v>
      </c>
      <c r="G99" s="318">
        <f>IFERROR(G51/G87,0)</f>
        <v>0</v>
      </c>
      <c r="H99" s="317" t="s">
        <v>278</v>
      </c>
      <c r="I99" s="318">
        <f>IFERROR(I51/I87,0)</f>
        <v>0</v>
      </c>
      <c r="J99" s="317" t="s">
        <v>278</v>
      </c>
      <c r="K99" s="318">
        <f>IFERROR(K51/K87,0)</f>
        <v>0</v>
      </c>
      <c r="L99" s="317" t="s">
        <v>278</v>
      </c>
      <c r="M99" s="632"/>
      <c r="N99" s="318">
        <f>IFERROR(N51/N87,0)</f>
        <v>0</v>
      </c>
      <c r="O99" s="317" t="s">
        <v>278</v>
      </c>
      <c r="P99" s="318">
        <f>IFERROR(P51/P87,0)</f>
        <v>0</v>
      </c>
      <c r="Q99" s="317" t="s">
        <v>278</v>
      </c>
      <c r="R99" s="318">
        <f>IFERROR(R51/R87,0)</f>
        <v>0</v>
      </c>
      <c r="S99" s="317" t="s">
        <v>278</v>
      </c>
      <c r="T99" s="318">
        <f>IFERROR(T51/T87,0)</f>
        <v>0</v>
      </c>
      <c r="U99" s="317" t="s">
        <v>278</v>
      </c>
      <c r="V99" s="318">
        <f>IFERROR(V51/V87,0)</f>
        <v>0</v>
      </c>
      <c r="W99" s="317" t="s">
        <v>278</v>
      </c>
      <c r="X99" s="651"/>
      <c r="Y99" s="318">
        <f>IFERROR(Y51/Y87,0)</f>
        <v>0</v>
      </c>
      <c r="Z99" s="317" t="s">
        <v>278</v>
      </c>
      <c r="AA99" s="318">
        <f>IFERROR(AA51/AA87,0)</f>
        <v>0</v>
      </c>
      <c r="AB99" s="317" t="s">
        <v>278</v>
      </c>
      <c r="AC99" s="318">
        <f>IFERROR(AC51/AC87,0)</f>
        <v>0</v>
      </c>
      <c r="AD99" s="317" t="s">
        <v>278</v>
      </c>
      <c r="AE99" s="318">
        <f>IFERROR(AE51/AE87,0)</f>
        <v>0</v>
      </c>
      <c r="AF99" s="317" t="s">
        <v>278</v>
      </c>
      <c r="AG99" s="318">
        <f>IFERROR(AG51/AG87,0)</f>
        <v>0</v>
      </c>
      <c r="AH99" s="317" t="s">
        <v>278</v>
      </c>
      <c r="AN99" s="318">
        <f>IFERROR(AN51/AN87,0)</f>
        <v>0</v>
      </c>
      <c r="AO99" s="318">
        <f>IFERROR(AO51/AO87,0)</f>
        <v>0</v>
      </c>
      <c r="AP99" s="318">
        <f>IFERROR(AP51/AP87,0)</f>
        <v>0</v>
      </c>
    </row>
    <row r="100" spans="2:42" x14ac:dyDescent="0.3">
      <c r="B100" s="21" t="s">
        <v>358</v>
      </c>
      <c r="C100" s="318">
        <f>IFERROR(C50/C87,0)</f>
        <v>0</v>
      </c>
      <c r="D100" s="317" t="s">
        <v>278</v>
      </c>
      <c r="E100" s="318">
        <f>IFERROR(E50/E87,0)</f>
        <v>0</v>
      </c>
      <c r="F100" s="317" t="s">
        <v>278</v>
      </c>
      <c r="G100" s="318">
        <f>IFERROR(G50/G87,0)</f>
        <v>0</v>
      </c>
      <c r="H100" s="317" t="s">
        <v>278</v>
      </c>
      <c r="I100" s="318">
        <f>IFERROR(I50/I87,0)</f>
        <v>0</v>
      </c>
      <c r="J100" s="317" t="s">
        <v>278</v>
      </c>
      <c r="K100" s="318">
        <f>IFERROR(K50/K87,0)</f>
        <v>0</v>
      </c>
      <c r="L100" s="317" t="s">
        <v>278</v>
      </c>
      <c r="M100" s="632"/>
      <c r="N100" s="318">
        <f>IFERROR(N50/N87,0)</f>
        <v>0</v>
      </c>
      <c r="O100" s="317" t="s">
        <v>278</v>
      </c>
      <c r="P100" s="318">
        <f>IFERROR(P50/P87,0)</f>
        <v>0</v>
      </c>
      <c r="Q100" s="317" t="s">
        <v>278</v>
      </c>
      <c r="R100" s="318">
        <f>IFERROR(R50/R87,0)</f>
        <v>0</v>
      </c>
      <c r="S100" s="317" t="s">
        <v>278</v>
      </c>
      <c r="T100" s="318">
        <f>IFERROR(T50/T87,0)</f>
        <v>0</v>
      </c>
      <c r="U100" s="317" t="s">
        <v>278</v>
      </c>
      <c r="V100" s="318">
        <f>IFERROR(V50/V87,0)</f>
        <v>0</v>
      </c>
      <c r="W100" s="317" t="s">
        <v>278</v>
      </c>
      <c r="X100" s="651"/>
      <c r="Y100" s="318">
        <f>IFERROR(Y50/Y87,0)</f>
        <v>0</v>
      </c>
      <c r="Z100" s="317" t="s">
        <v>278</v>
      </c>
      <c r="AA100" s="318">
        <f>IFERROR(AA50/AA87,0)</f>
        <v>0</v>
      </c>
      <c r="AB100" s="317" t="s">
        <v>278</v>
      </c>
      <c r="AC100" s="318">
        <f>IFERROR(AC50/AC87,0)</f>
        <v>0</v>
      </c>
      <c r="AD100" s="317" t="s">
        <v>278</v>
      </c>
      <c r="AE100" s="318">
        <f>IFERROR(AE50/AE87,0)</f>
        <v>0</v>
      </c>
      <c r="AF100" s="317" t="s">
        <v>278</v>
      </c>
      <c r="AG100" s="318">
        <f>IFERROR(AG50/AG87,0)</f>
        <v>0</v>
      </c>
      <c r="AH100" s="317" t="s">
        <v>278</v>
      </c>
      <c r="AN100" s="318">
        <f>IFERROR(AN50/AN87,0)</f>
        <v>0</v>
      </c>
      <c r="AO100" s="318">
        <f>IFERROR(AO50/AO87,0)</f>
        <v>0</v>
      </c>
      <c r="AP100" s="318">
        <f>IFERROR(AP50/AP87,0)</f>
        <v>0</v>
      </c>
    </row>
    <row r="101" spans="2:42" x14ac:dyDescent="0.3">
      <c r="C101" s="316"/>
      <c r="D101" s="316"/>
      <c r="E101" s="316"/>
      <c r="F101" s="316"/>
      <c r="G101" s="316"/>
      <c r="H101" s="316"/>
      <c r="I101" s="316"/>
      <c r="J101" s="316"/>
      <c r="K101" s="316"/>
      <c r="L101" s="316"/>
      <c r="M101" s="316"/>
      <c r="N101" s="316"/>
      <c r="O101" s="316"/>
      <c r="P101" s="316"/>
      <c r="Q101" s="316"/>
      <c r="R101" s="316"/>
      <c r="S101" s="316"/>
      <c r="T101" s="316"/>
      <c r="U101" s="316"/>
      <c r="V101" s="316"/>
      <c r="W101" s="316"/>
      <c r="X101" s="316"/>
      <c r="Y101" s="316"/>
      <c r="Z101" s="316"/>
      <c r="AA101" s="316"/>
      <c r="AB101" s="316"/>
      <c r="AC101" s="316"/>
      <c r="AD101" s="316"/>
      <c r="AE101" s="316"/>
      <c r="AF101" s="316"/>
      <c r="AG101" s="316"/>
      <c r="AH101" s="316"/>
      <c r="AN101" s="599"/>
    </row>
    <row r="102" spans="2:42" x14ac:dyDescent="0.3">
      <c r="B102" s="310" t="s">
        <v>359</v>
      </c>
      <c r="C102" s="309">
        <f>C123*10/6*'Overzicht BTA'!$D$36</f>
        <v>0</v>
      </c>
      <c r="D102" s="315" t="s">
        <v>278</v>
      </c>
      <c r="E102" s="309">
        <f>C123*10/6*'Overzicht BTA'!$D$37</f>
        <v>0</v>
      </c>
      <c r="F102" s="315" t="s">
        <v>278</v>
      </c>
      <c r="G102" s="309">
        <f>E102</f>
        <v>0</v>
      </c>
      <c r="H102" s="315" t="s">
        <v>278</v>
      </c>
      <c r="I102" s="309">
        <f>E102</f>
        <v>0</v>
      </c>
      <c r="J102" s="315" t="s">
        <v>278</v>
      </c>
      <c r="K102" s="309">
        <f>C123*10/6*'Overzicht BTA'!$D$38</f>
        <v>0</v>
      </c>
      <c r="L102" s="315" t="s">
        <v>278</v>
      </c>
      <c r="M102" s="633"/>
      <c r="N102" s="309">
        <f>N123*10/6*'Overzicht BTA'!$D$36</f>
        <v>0</v>
      </c>
      <c r="O102" s="315" t="s">
        <v>278</v>
      </c>
      <c r="P102" s="309">
        <f>N123*10/6*'Overzicht BTA'!$D$37</f>
        <v>0</v>
      </c>
      <c r="Q102" s="315" t="s">
        <v>278</v>
      </c>
      <c r="R102" s="309">
        <f>P102</f>
        <v>0</v>
      </c>
      <c r="S102" s="315" t="s">
        <v>278</v>
      </c>
      <c r="T102" s="309">
        <f>P102</f>
        <v>0</v>
      </c>
      <c r="U102" s="315" t="s">
        <v>278</v>
      </c>
      <c r="V102" s="309">
        <f>N123*10/6*'Overzicht BTA'!$D$38</f>
        <v>0</v>
      </c>
      <c r="W102" s="315" t="s">
        <v>278</v>
      </c>
      <c r="X102" s="652"/>
      <c r="Y102" s="309">
        <f>Y123*10/6*'Overzicht BTA'!$D$36</f>
        <v>0</v>
      </c>
      <c r="Z102" s="315" t="s">
        <v>278</v>
      </c>
      <c r="AA102" s="309">
        <f>Y123*10/6*'Overzicht BTA'!$D$37</f>
        <v>0</v>
      </c>
      <c r="AB102" s="315" t="s">
        <v>278</v>
      </c>
      <c r="AC102" s="309">
        <f>AA102</f>
        <v>0</v>
      </c>
      <c r="AD102" s="315" t="s">
        <v>278</v>
      </c>
      <c r="AE102" s="309">
        <f>AA102</f>
        <v>0</v>
      </c>
      <c r="AF102" s="315" t="s">
        <v>278</v>
      </c>
      <c r="AG102" s="309">
        <f>Y123*10/6*'Overzicht BTA'!$D$38</f>
        <v>0</v>
      </c>
      <c r="AH102" s="315" t="s">
        <v>278</v>
      </c>
      <c r="AN102" s="309">
        <f>$K$102</f>
        <v>0</v>
      </c>
      <c r="AO102" s="309">
        <f>$K$102</f>
        <v>0</v>
      </c>
      <c r="AP102" s="309">
        <f>$K$102</f>
        <v>0</v>
      </c>
    </row>
    <row r="103" spans="2:42" x14ac:dyDescent="0.3">
      <c r="B103" s="310" t="s">
        <v>360</v>
      </c>
      <c r="C103" s="433">
        <f>IFERROR(+C98/C102,0)</f>
        <v>0</v>
      </c>
      <c r="D103" s="314"/>
      <c r="E103" s="433">
        <f>IFERROR(+E98/E102,0)</f>
        <v>0</v>
      </c>
      <c r="F103" s="314"/>
      <c r="G103" s="314">
        <f>IFERROR(+G98/G102,0)</f>
        <v>0</v>
      </c>
      <c r="H103" s="314"/>
      <c r="I103" s="314">
        <f>IFERROR(+I98/I102,0)</f>
        <v>0</v>
      </c>
      <c r="J103" s="314"/>
      <c r="K103" s="433">
        <f>IFERROR(+K98/K102,0)</f>
        <v>0</v>
      </c>
      <c r="L103" s="314"/>
      <c r="M103" s="607"/>
      <c r="N103" s="433">
        <f>IFERROR(+N98/N102,0)</f>
        <v>0</v>
      </c>
      <c r="O103" s="314"/>
      <c r="P103" s="433">
        <f>IFERROR(+P98/P102,0)</f>
        <v>0</v>
      </c>
      <c r="Q103" s="314"/>
      <c r="R103" s="314">
        <f>IFERROR(+R98/R102,0)</f>
        <v>0</v>
      </c>
      <c r="S103" s="314"/>
      <c r="T103" s="314">
        <f>IFERROR(+T98/T102,0)</f>
        <v>0</v>
      </c>
      <c r="U103" s="314"/>
      <c r="V103" s="433">
        <f>IFERROR(+V98/V102,0)</f>
        <v>0</v>
      </c>
      <c r="W103" s="314"/>
      <c r="X103" s="653"/>
      <c r="Y103" s="433">
        <f>IFERROR(+Y98/Y102,0)</f>
        <v>0</v>
      </c>
      <c r="Z103" s="314"/>
      <c r="AA103" s="433">
        <f>IFERROR(+AA98/AA102,0)</f>
        <v>0</v>
      </c>
      <c r="AB103" s="314"/>
      <c r="AC103" s="314">
        <f>IFERROR(+AC98/AC102,0)</f>
        <v>0</v>
      </c>
      <c r="AD103" s="314"/>
      <c r="AE103" s="314">
        <f>IFERROR(+AE98/AE102,0)</f>
        <v>0</v>
      </c>
      <c r="AF103" s="314"/>
      <c r="AG103" s="433">
        <f>IFERROR(+AG98/AG102,0)</f>
        <v>0</v>
      </c>
      <c r="AH103" s="314"/>
      <c r="AN103" s="433">
        <f>IFERROR(+AN98/AN102,0)</f>
        <v>0</v>
      </c>
      <c r="AO103" s="433">
        <f>IFERROR(+AO98/AO102,0)</f>
        <v>0</v>
      </c>
      <c r="AP103" s="433">
        <f>IFERROR(+AP98/AP102,0)</f>
        <v>0</v>
      </c>
    </row>
    <row r="104" spans="2:42" x14ac:dyDescent="0.3">
      <c r="B104" s="310" t="s">
        <v>361</v>
      </c>
      <c r="C104" s="309">
        <f>C102+C106</f>
        <v>199.65166666666667</v>
      </c>
      <c r="D104" s="315" t="s">
        <v>278</v>
      </c>
      <c r="E104" s="309">
        <f>E102+E106</f>
        <v>199.65166666666667</v>
      </c>
      <c r="F104" s="315" t="s">
        <v>278</v>
      </c>
      <c r="G104" s="309">
        <f>G102+G106</f>
        <v>199.65166666666667</v>
      </c>
      <c r="H104" s="315" t="s">
        <v>278</v>
      </c>
      <c r="I104" s="309">
        <f>I102+I106</f>
        <v>199.65166666666667</v>
      </c>
      <c r="J104" s="315" t="s">
        <v>278</v>
      </c>
      <c r="K104" s="309">
        <f>K102+K106</f>
        <v>199.65166666666667</v>
      </c>
      <c r="L104" s="315" t="s">
        <v>278</v>
      </c>
      <c r="M104" s="633"/>
      <c r="N104" s="309">
        <f>N102+N106</f>
        <v>199.65166666666667</v>
      </c>
      <c r="O104" s="315" t="s">
        <v>278</v>
      </c>
      <c r="P104" s="309">
        <f>P102+P106</f>
        <v>199.65166666666667</v>
      </c>
      <c r="Q104" s="315" t="s">
        <v>278</v>
      </c>
      <c r="R104" s="309">
        <f>R102+R106</f>
        <v>199.65166666666667</v>
      </c>
      <c r="S104" s="315" t="s">
        <v>278</v>
      </c>
      <c r="T104" s="309">
        <f>T102+T106</f>
        <v>199.65166666666667</v>
      </c>
      <c r="U104" s="315" t="s">
        <v>278</v>
      </c>
      <c r="V104" s="309">
        <f>V102+V106</f>
        <v>199.65166666666667</v>
      </c>
      <c r="W104" s="315" t="s">
        <v>278</v>
      </c>
      <c r="X104" s="652"/>
      <c r="Y104" s="309">
        <f>Y102+Y106</f>
        <v>199.65166666666667</v>
      </c>
      <c r="Z104" s="315" t="s">
        <v>278</v>
      </c>
      <c r="AA104" s="309">
        <f>AA102+AA106</f>
        <v>199.65166666666667</v>
      </c>
      <c r="AB104" s="315" t="s">
        <v>278</v>
      </c>
      <c r="AC104" s="309">
        <f>AC102+AC106</f>
        <v>199.65166666666667</v>
      </c>
      <c r="AD104" s="315" t="s">
        <v>278</v>
      </c>
      <c r="AE104" s="309">
        <f>AE102+AE106</f>
        <v>199.65166666666667</v>
      </c>
      <c r="AF104" s="315" t="s">
        <v>278</v>
      </c>
      <c r="AG104" s="309">
        <f>AG102+AG106</f>
        <v>199.65166666666667</v>
      </c>
      <c r="AH104" s="315" t="s">
        <v>278</v>
      </c>
      <c r="AN104" s="309">
        <f>$K$104</f>
        <v>199.65166666666667</v>
      </c>
      <c r="AO104" s="309">
        <f>$K$104</f>
        <v>199.65166666666667</v>
      </c>
      <c r="AP104" s="309">
        <f>$K$104</f>
        <v>199.65166666666667</v>
      </c>
    </row>
    <row r="105" spans="2:42" x14ac:dyDescent="0.3">
      <c r="B105" s="310" t="s">
        <v>360</v>
      </c>
      <c r="C105" s="433">
        <f>IFERROR(C99/C104,0)</f>
        <v>0</v>
      </c>
      <c r="D105" s="308"/>
      <c r="E105" s="433">
        <f>IFERROR(E99/E104,0)</f>
        <v>0</v>
      </c>
      <c r="F105" s="308"/>
      <c r="G105" s="314">
        <f>IFERROR(G99/G104,0)</f>
        <v>0</v>
      </c>
      <c r="H105" s="308"/>
      <c r="I105" s="314">
        <f>IFERROR(I99/I104,0)</f>
        <v>0</v>
      </c>
      <c r="J105" s="308"/>
      <c r="K105" s="433">
        <f>IFERROR(K99/K104,0)</f>
        <v>0</v>
      </c>
      <c r="L105" s="308"/>
      <c r="M105" s="311"/>
      <c r="N105" s="433">
        <f>IFERROR(N99/N104,0)</f>
        <v>0</v>
      </c>
      <c r="O105" s="308"/>
      <c r="P105" s="433">
        <f>IFERROR(P99/P104,0)</f>
        <v>0</v>
      </c>
      <c r="Q105" s="308"/>
      <c r="R105" s="314">
        <f>IFERROR(R99/R104,0)</f>
        <v>0</v>
      </c>
      <c r="S105" s="308"/>
      <c r="T105" s="314">
        <f>IFERROR(T99/T104,0)</f>
        <v>0</v>
      </c>
      <c r="U105" s="308"/>
      <c r="V105" s="433">
        <f>IFERROR(V99/V104,0)</f>
        <v>0</v>
      </c>
      <c r="W105" s="308"/>
      <c r="X105" s="654"/>
      <c r="Y105" s="433">
        <f>IFERROR(Y99/Y104,0)</f>
        <v>0</v>
      </c>
      <c r="Z105" s="308"/>
      <c r="AA105" s="433">
        <f>IFERROR(AA99/AA104,0)</f>
        <v>0</v>
      </c>
      <c r="AB105" s="308"/>
      <c r="AC105" s="314">
        <f>IFERROR(AC99/AC104,0)</f>
        <v>0</v>
      </c>
      <c r="AD105" s="308"/>
      <c r="AE105" s="314">
        <f>IFERROR(AE99/AE104,0)</f>
        <v>0</v>
      </c>
      <c r="AF105" s="308"/>
      <c r="AG105" s="433">
        <f>IFERROR(AG99/AG104,0)</f>
        <v>0</v>
      </c>
      <c r="AH105" s="308"/>
      <c r="AN105" s="433">
        <f>IFERROR(AN99/AN104,0)</f>
        <v>0</v>
      </c>
      <c r="AO105" s="433">
        <f>IFERROR(AO99/AO104,0)</f>
        <v>0</v>
      </c>
      <c r="AP105" s="433">
        <f>IFERROR(AP99/AP104,0)</f>
        <v>0</v>
      </c>
    </row>
    <row r="106" spans="2:42" x14ac:dyDescent="0.3">
      <c r="B106" s="310" t="s">
        <v>362</v>
      </c>
      <c r="C106" s="309">
        <f>C124*10/6*'Overzicht BTA'!$D$36</f>
        <v>199.65166666666667</v>
      </c>
      <c r="D106" s="315" t="s">
        <v>278</v>
      </c>
      <c r="E106" s="309">
        <f>C124*10/6*'Overzicht BTA'!$D$37</f>
        <v>199.65166666666667</v>
      </c>
      <c r="F106" s="315" t="s">
        <v>278</v>
      </c>
      <c r="G106" s="309">
        <f>E106</f>
        <v>199.65166666666667</v>
      </c>
      <c r="H106" s="315" t="s">
        <v>278</v>
      </c>
      <c r="I106" s="309">
        <f>E106</f>
        <v>199.65166666666667</v>
      </c>
      <c r="J106" s="315" t="s">
        <v>278</v>
      </c>
      <c r="K106" s="309">
        <f>C124*10/6*'Overzicht BTA'!$D$38</f>
        <v>199.65166666666667</v>
      </c>
      <c r="L106" s="315" t="s">
        <v>278</v>
      </c>
      <c r="M106" s="633"/>
      <c r="N106" s="309">
        <f>N124*10/6*'Overzicht BTA'!$D$36</f>
        <v>199.65166666666667</v>
      </c>
      <c r="O106" s="315" t="s">
        <v>278</v>
      </c>
      <c r="P106" s="309">
        <f>N124*10/6*'Overzicht BTA'!$D$37</f>
        <v>199.65166666666667</v>
      </c>
      <c r="Q106" s="315" t="s">
        <v>278</v>
      </c>
      <c r="R106" s="309">
        <f>P106</f>
        <v>199.65166666666667</v>
      </c>
      <c r="S106" s="315" t="s">
        <v>278</v>
      </c>
      <c r="T106" s="309">
        <f>P106</f>
        <v>199.65166666666667</v>
      </c>
      <c r="U106" s="315" t="s">
        <v>278</v>
      </c>
      <c r="V106" s="309">
        <f>N124*10/6*'Overzicht BTA'!$D$38</f>
        <v>199.65166666666667</v>
      </c>
      <c r="W106" s="315" t="s">
        <v>278</v>
      </c>
      <c r="X106" s="652"/>
      <c r="Y106" s="309">
        <f>Y124*10/6*'Overzicht BTA'!$D$36</f>
        <v>199.65166666666667</v>
      </c>
      <c r="Z106" s="315" t="s">
        <v>278</v>
      </c>
      <c r="AA106" s="309">
        <f>Y124*10/6*'Overzicht BTA'!$D$37</f>
        <v>199.65166666666667</v>
      </c>
      <c r="AB106" s="315" t="s">
        <v>278</v>
      </c>
      <c r="AC106" s="309">
        <f>AA106</f>
        <v>199.65166666666667</v>
      </c>
      <c r="AD106" s="315" t="s">
        <v>278</v>
      </c>
      <c r="AE106" s="309">
        <f>AA106</f>
        <v>199.65166666666667</v>
      </c>
      <c r="AF106" s="315" t="s">
        <v>278</v>
      </c>
      <c r="AG106" s="309">
        <f>Y124*10/6*'Overzicht BTA'!$D$38</f>
        <v>199.65166666666667</v>
      </c>
      <c r="AH106" s="315" t="s">
        <v>278</v>
      </c>
      <c r="AN106" s="309">
        <f>$K$106</f>
        <v>199.65166666666667</v>
      </c>
      <c r="AO106" s="309">
        <f>$K$106</f>
        <v>199.65166666666667</v>
      </c>
      <c r="AP106" s="309">
        <f>$K$106</f>
        <v>199.65166666666667</v>
      </c>
    </row>
    <row r="107" spans="2:42" x14ac:dyDescent="0.3">
      <c r="B107" s="310" t="s">
        <v>360</v>
      </c>
      <c r="C107" s="433">
        <f>IFERROR(C100/C106,0)</f>
        <v>0</v>
      </c>
      <c r="D107" s="308"/>
      <c r="E107" s="433">
        <f>IFERROR(E100/E106,0)</f>
        <v>0</v>
      </c>
      <c r="F107" s="308"/>
      <c r="G107" s="314">
        <f>IFERROR(G100/G106,0)</f>
        <v>0</v>
      </c>
      <c r="H107" s="308"/>
      <c r="I107" s="314">
        <f>IFERROR(I100/I106,0)</f>
        <v>0</v>
      </c>
      <c r="J107" s="308"/>
      <c r="K107" s="433">
        <f>IFERROR(K100/K106,0)</f>
        <v>0</v>
      </c>
      <c r="L107" s="308"/>
      <c r="M107" s="311"/>
      <c r="N107" s="433">
        <f>IFERROR(N100/N106,0)</f>
        <v>0</v>
      </c>
      <c r="O107" s="308"/>
      <c r="P107" s="433">
        <f>IFERROR(P100/P106,0)</f>
        <v>0</v>
      </c>
      <c r="Q107" s="308"/>
      <c r="R107" s="314">
        <f>IFERROR(R100/R106,0)</f>
        <v>0</v>
      </c>
      <c r="S107" s="308"/>
      <c r="T107" s="314">
        <f>IFERROR(T100/T106,0)</f>
        <v>0</v>
      </c>
      <c r="U107" s="308"/>
      <c r="V107" s="433">
        <f>IFERROR(V100/V106,0)</f>
        <v>0</v>
      </c>
      <c r="W107" s="308"/>
      <c r="X107" s="654"/>
      <c r="Y107" s="433">
        <f>IFERROR(Y100/Y106,0)</f>
        <v>0</v>
      </c>
      <c r="Z107" s="308"/>
      <c r="AA107" s="433">
        <f>IFERROR(AA100/AA106,0)</f>
        <v>0</v>
      </c>
      <c r="AB107" s="308"/>
      <c r="AC107" s="314">
        <f>IFERROR(AC100/AC106,0)</f>
        <v>0</v>
      </c>
      <c r="AD107" s="308"/>
      <c r="AE107" s="314">
        <f>IFERROR(AE100/AE106,0)</f>
        <v>0</v>
      </c>
      <c r="AF107" s="308"/>
      <c r="AG107" s="433">
        <f>IFERROR(AG100/AG106,0)</f>
        <v>0</v>
      </c>
      <c r="AH107" s="308"/>
      <c r="AN107" s="433">
        <f>IFERROR(AN100/AN106,0)</f>
        <v>0</v>
      </c>
      <c r="AO107" s="433">
        <f>IFERROR(AO100/AO106,0)</f>
        <v>0</v>
      </c>
      <c r="AP107" s="433">
        <f>IFERROR(AP100/AP106,0)</f>
        <v>0</v>
      </c>
    </row>
    <row r="108" spans="2:42" x14ac:dyDescent="0.3">
      <c r="B108" s="313"/>
      <c r="D108" s="311"/>
      <c r="F108" s="311"/>
      <c r="G108" s="312"/>
      <c r="H108" s="311"/>
      <c r="I108" s="312"/>
      <c r="J108" s="311"/>
      <c r="K108" s="607"/>
      <c r="L108" s="311"/>
      <c r="M108" s="311"/>
      <c r="O108" s="311"/>
      <c r="Q108" s="311"/>
      <c r="R108" s="312"/>
      <c r="S108" s="311"/>
      <c r="T108" s="312"/>
      <c r="U108" s="311"/>
      <c r="V108" s="607"/>
      <c r="W108" s="311"/>
      <c r="X108" s="311"/>
      <c r="Z108" s="311"/>
      <c r="AB108" s="311"/>
      <c r="AC108" s="312"/>
      <c r="AD108" s="311"/>
      <c r="AE108" s="312"/>
      <c r="AF108" s="311"/>
      <c r="AG108" s="607"/>
      <c r="AH108" s="311"/>
      <c r="AN108" s="599"/>
      <c r="AO108" s="599"/>
      <c r="AP108" s="599"/>
    </row>
    <row r="109" spans="2:42" x14ac:dyDescent="0.3">
      <c r="B109" s="310" t="s">
        <v>483</v>
      </c>
      <c r="C109" s="1036" t="e">
        <f>C52/C91</f>
        <v>#DIV/0!</v>
      </c>
      <c r="D109" s="308"/>
      <c r="E109" s="1036" t="e">
        <f>E52/E91</f>
        <v>#DIV/0!</v>
      </c>
      <c r="F109" s="308"/>
      <c r="G109" s="1036" t="e">
        <f>G52/G91</f>
        <v>#DIV/0!</v>
      </c>
      <c r="H109" s="308"/>
      <c r="I109" s="1036" t="e">
        <f>I52/I91</f>
        <v>#DIV/0!</v>
      </c>
      <c r="J109" s="308"/>
      <c r="K109" s="1036" t="e">
        <f>K52/K91</f>
        <v>#DIV/0!</v>
      </c>
      <c r="L109" s="308"/>
      <c r="M109" s="311"/>
      <c r="N109" s="1036" t="e">
        <f>N52/N91</f>
        <v>#DIV/0!</v>
      </c>
      <c r="O109" s="308"/>
      <c r="P109" s="1036" t="e">
        <f>P52/P91</f>
        <v>#DIV/0!</v>
      </c>
      <c r="Q109" s="308"/>
      <c r="R109" s="1036" t="e">
        <f>R52/R91</f>
        <v>#DIV/0!</v>
      </c>
      <c r="S109" s="308"/>
      <c r="T109" s="1036" t="e">
        <f>T52/T91</f>
        <v>#DIV/0!</v>
      </c>
      <c r="U109" s="308"/>
      <c r="V109" s="1036" t="e">
        <f>V52/V91</f>
        <v>#DIV/0!</v>
      </c>
      <c r="W109" s="308"/>
      <c r="X109" s="654"/>
      <c r="Y109" s="1036" t="e">
        <f>Y52/Y91</f>
        <v>#DIV/0!</v>
      </c>
      <c r="Z109" s="308"/>
      <c r="AA109" s="1036" t="e">
        <f>AA52/AA91</f>
        <v>#DIV/0!</v>
      </c>
      <c r="AB109" s="308"/>
      <c r="AC109" s="1036" t="e">
        <f>AC52/AC91</f>
        <v>#DIV/0!</v>
      </c>
      <c r="AD109" s="308"/>
      <c r="AE109" s="1036" t="e">
        <f>AE52/AE91</f>
        <v>#DIV/0!</v>
      </c>
      <c r="AF109" s="308"/>
      <c r="AG109" s="1036" t="e">
        <f>AG52/AG91</f>
        <v>#DIV/0!</v>
      </c>
      <c r="AH109" s="308"/>
      <c r="AN109" s="309">
        <f>IFERROR(AN52/AN91,0)</f>
        <v>0</v>
      </c>
      <c r="AO109" s="309">
        <f>IFERROR(AO52/AO91,0)</f>
        <v>0</v>
      </c>
      <c r="AP109" s="309">
        <f>IFERROR(AP52/AP91,0)</f>
        <v>0</v>
      </c>
    </row>
    <row r="110" spans="2:42" x14ac:dyDescent="0.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row>
    <row r="111" spans="2:42" x14ac:dyDescent="0.3">
      <c r="B111" s="307" t="s">
        <v>484</v>
      </c>
      <c r="C111" s="102" t="s">
        <v>485</v>
      </c>
      <c r="D111" s="103"/>
      <c r="E111" s="102" t="s">
        <v>485</v>
      </c>
      <c r="F111" s="103"/>
      <c r="G111" s="104" t="s">
        <v>486</v>
      </c>
      <c r="H111" s="103"/>
      <c r="I111" s="104" t="s">
        <v>487</v>
      </c>
      <c r="J111" s="103"/>
      <c r="K111" s="104" t="s">
        <v>488</v>
      </c>
      <c r="L111" s="105"/>
      <c r="M111" s="480"/>
      <c r="N111" s="102" t="s">
        <v>485</v>
      </c>
      <c r="O111" s="103"/>
      <c r="P111" s="102" t="s">
        <v>485</v>
      </c>
      <c r="Q111" s="103"/>
      <c r="R111" s="104" t="s">
        <v>486</v>
      </c>
      <c r="S111" s="103"/>
      <c r="T111" s="104" t="s">
        <v>487</v>
      </c>
      <c r="U111" s="103"/>
      <c r="V111" s="104" t="s">
        <v>488</v>
      </c>
      <c r="W111" s="105"/>
      <c r="X111" s="480"/>
      <c r="Y111" s="102" t="s">
        <v>485</v>
      </c>
      <c r="Z111" s="103"/>
      <c r="AA111" s="102" t="s">
        <v>485</v>
      </c>
      <c r="AB111" s="103"/>
      <c r="AC111" s="104" t="s">
        <v>486</v>
      </c>
      <c r="AD111" s="103"/>
      <c r="AE111" s="104" t="s">
        <v>487</v>
      </c>
      <c r="AF111" s="103"/>
      <c r="AG111" s="104" t="s">
        <v>488</v>
      </c>
      <c r="AH111" s="105"/>
      <c r="AI111" s="18"/>
      <c r="AJ111" s="18"/>
    </row>
    <row r="112" spans="2:42" x14ac:dyDescent="0.3">
      <c r="B112" s="305" t="s">
        <v>123</v>
      </c>
      <c r="C112" s="304">
        <f>G25-C25</f>
        <v>0</v>
      </c>
      <c r="D112" s="300" t="str">
        <f>IF(ISNUMBER(ROUND(C112/C25,2)),ROUND(C112/C25,2),"/")</f>
        <v>/</v>
      </c>
      <c r="E112" s="304">
        <f>G25-E25</f>
        <v>0</v>
      </c>
      <c r="F112" s="300" t="str">
        <f>IF(ISNUMBER(ROUND(E112/E25,2)),ROUND(E112/E25,2),"/")</f>
        <v>/</v>
      </c>
      <c r="G112" s="304">
        <f>I25-G25</f>
        <v>0</v>
      </c>
      <c r="H112" s="300" t="str">
        <f>IF(ISNUMBER(ROUND(G112/G25,2)),ROUND(G112/G25,2),"/")</f>
        <v>/</v>
      </c>
      <c r="I112" s="304">
        <f>K25-I25</f>
        <v>0</v>
      </c>
      <c r="J112" s="300" t="str">
        <f>IF(ISNUMBER(ROUND(I112/I25,2)),ROUND(I112/I25,2),"/")</f>
        <v>/</v>
      </c>
      <c r="K112" s="612">
        <f>K25-C25</f>
        <v>0</v>
      </c>
      <c r="L112" s="615" t="str">
        <f>IF(ISNUMBER(ROUND(K112/C25,2)),ROUND(K112/C25,2),"/")</f>
        <v>/</v>
      </c>
      <c r="M112" s="634"/>
      <c r="N112" s="304">
        <f>R25-N25</f>
        <v>0</v>
      </c>
      <c r="O112" s="300" t="str">
        <f>IF(ISNUMBER(ROUND(N112/N25,2)),ROUND(N112/N25,2),"/")</f>
        <v>/</v>
      </c>
      <c r="P112" s="304">
        <f>T25-P25</f>
        <v>0</v>
      </c>
      <c r="Q112" s="300" t="str">
        <f>IF(ISNUMBER(ROUND(P112/P25,2)),ROUND(P112/P25,2),"/")</f>
        <v>/</v>
      </c>
      <c r="R112" s="304">
        <f>T25-R25</f>
        <v>0</v>
      </c>
      <c r="S112" s="300" t="str">
        <f>IF(ISNUMBER(ROUND(R112/R25,2)),ROUND(R112/R25,2),"/")</f>
        <v>/</v>
      </c>
      <c r="T112" s="304">
        <f>V25-T25</f>
        <v>0</v>
      </c>
      <c r="U112" s="300" t="str">
        <f>IF(ISNUMBER(ROUND(T112/T25,2)),ROUND(T112/T25,2),"/")</f>
        <v>/</v>
      </c>
      <c r="V112" s="612">
        <f>V25-N25</f>
        <v>0</v>
      </c>
      <c r="W112" s="615" t="str">
        <f>IF(ISNUMBER(ROUND(V112/N25,2)),ROUND(V112/N25,2),"/")</f>
        <v>/</v>
      </c>
      <c r="X112" s="655"/>
      <c r="Y112" s="304">
        <f>AC25-Y25</f>
        <v>0</v>
      </c>
      <c r="Z112" s="300" t="str">
        <f>IF(ISNUMBER(ROUND(Y112/Y25,2)),ROUND(Y112/Y25,2),"/")</f>
        <v>/</v>
      </c>
      <c r="AA112" s="304">
        <f>AE25-AA25</f>
        <v>0</v>
      </c>
      <c r="AB112" s="300" t="str">
        <f>IF(ISNUMBER(ROUND(AA112/AA25,2)),ROUND(AA112/AA25,2),"/")</f>
        <v>/</v>
      </c>
      <c r="AC112" s="304">
        <f>AE25-AC25</f>
        <v>0</v>
      </c>
      <c r="AD112" s="300" t="str">
        <f>IF(ISNUMBER(ROUND(AC112/AC25,2)),ROUND(AC112/AC25,2),"/")</f>
        <v>/</v>
      </c>
      <c r="AE112" s="304">
        <f>AG25-AE25</f>
        <v>0</v>
      </c>
      <c r="AF112" s="300" t="str">
        <f>IF(ISNUMBER(ROUND(AE112/AE25,2)),ROUND(AE112/AE25,2),"/")</f>
        <v>/</v>
      </c>
      <c r="AG112" s="612">
        <f>AG25-Y25</f>
        <v>0</v>
      </c>
      <c r="AH112" s="615" t="str">
        <f>IF(ISNUMBER(ROUND(AG112/Y25,2)),ROUND(AG112/Y25,2),"/")</f>
        <v>/</v>
      </c>
      <c r="AI112" s="18"/>
      <c r="AJ112" s="306"/>
      <c r="AL112" s="819">
        <f t="shared" ref="AL112:AL119" si="74">AG112+V112+K112</f>
        <v>0</v>
      </c>
      <c r="AM112" s="820" t="str">
        <f>IF(ISNUMBER(ROUND(AL112/(C25+N25+Y25),2)),ROUND(AL112/(C25+N25+Y25),2),"/")</f>
        <v>/</v>
      </c>
    </row>
    <row r="113" spans="2:714" x14ac:dyDescent="0.3">
      <c r="B113" s="305" t="s">
        <v>124</v>
      </c>
      <c r="C113" s="304">
        <f>G32-C32</f>
        <v>0</v>
      </c>
      <c r="D113" s="300" t="str">
        <f>IF(ISNUMBER(ROUND(C113/C32,2)),ROUND(C113/C32,2),"/")</f>
        <v>/</v>
      </c>
      <c r="E113" s="304">
        <f>G32-E32</f>
        <v>0</v>
      </c>
      <c r="F113" s="300" t="str">
        <f>IF(ISNUMBER(ROUND(E113/E32,2)),ROUND(E113/E32,2),"/")</f>
        <v>/</v>
      </c>
      <c r="G113" s="304">
        <f>I32-G32</f>
        <v>0</v>
      </c>
      <c r="H113" s="300" t="str">
        <f>IF(ISNUMBER(ROUND(G113/G32,2)),ROUND(G113/G32,2),"/")</f>
        <v>/</v>
      </c>
      <c r="I113" s="304">
        <f>K32-I32</f>
        <v>0</v>
      </c>
      <c r="J113" s="300" t="str">
        <f>IF(ISNUMBER(ROUND(I113/I32,2)),ROUND(I113/I32,2),"/")</f>
        <v>/</v>
      </c>
      <c r="K113" s="612">
        <f>K32-C32</f>
        <v>0</v>
      </c>
      <c r="L113" s="615" t="str">
        <f>IF(ISNUMBER(ROUND(K113/C32,2)),ROUND(K113/C32,2),"/")</f>
        <v>/</v>
      </c>
      <c r="M113" s="634"/>
      <c r="N113" s="304">
        <f>R32-N32</f>
        <v>0</v>
      </c>
      <c r="O113" s="300" t="str">
        <f>IF(ISNUMBER(ROUND(N113/N32,2)),ROUND(N113/N32,2),"/")</f>
        <v>/</v>
      </c>
      <c r="P113" s="304">
        <f>T32-P32</f>
        <v>0</v>
      </c>
      <c r="Q113" s="300" t="str">
        <f>IF(ISNUMBER(ROUND(P113/P32,2)),ROUND(P113/P32,2),"/")</f>
        <v>/</v>
      </c>
      <c r="R113" s="304">
        <f>T32-R32</f>
        <v>0</v>
      </c>
      <c r="S113" s="300" t="str">
        <f>IF(ISNUMBER(ROUND(R113/R32,2)),ROUND(R113/R32,2),"/")</f>
        <v>/</v>
      </c>
      <c r="T113" s="304">
        <f>V32-T32</f>
        <v>0</v>
      </c>
      <c r="U113" s="300" t="str">
        <f>IF(ISNUMBER(ROUND(T113/T32,2)),ROUND(T113/T32,2),"/")</f>
        <v>/</v>
      </c>
      <c r="V113" s="612">
        <f>V32-N32</f>
        <v>0</v>
      </c>
      <c r="W113" s="615" t="str">
        <f>IF(ISNUMBER(ROUND(V113/N32,2)),ROUND(V113/N32,2),"/")</f>
        <v>/</v>
      </c>
      <c r="X113" s="655"/>
      <c r="Y113" s="304">
        <f>AC32-Y32</f>
        <v>0</v>
      </c>
      <c r="Z113" s="300" t="str">
        <f>IF(ISNUMBER(ROUND(Y113/Y32,2)),ROUND(Y113/Y32,2),"/")</f>
        <v>/</v>
      </c>
      <c r="AA113" s="304">
        <f>AE32-AA32</f>
        <v>0</v>
      </c>
      <c r="AB113" s="300" t="str">
        <f>IF(ISNUMBER(ROUND(AA113/AA32,2)),ROUND(AA113/AA32,2),"/")</f>
        <v>/</v>
      </c>
      <c r="AC113" s="304">
        <f>AE32-AC32</f>
        <v>0</v>
      </c>
      <c r="AD113" s="300" t="str">
        <f>IF(ISNUMBER(ROUND(AC113/AC32,2)),ROUND(AC113/AC32,2),"/")</f>
        <v>/</v>
      </c>
      <c r="AE113" s="304">
        <f>AG32-AE32</f>
        <v>0</v>
      </c>
      <c r="AF113" s="300" t="str">
        <f>IF(ISNUMBER(ROUND(AE113/AE32,2)),ROUND(AE113/AE32,2),"/")</f>
        <v>/</v>
      </c>
      <c r="AG113" s="612">
        <f>AG32-Y32</f>
        <v>0</v>
      </c>
      <c r="AH113" s="615" t="str">
        <f>IF(ISNUMBER(ROUND(AG113/Y32,2)),ROUND(AG113/Y32,2),"/")</f>
        <v>/</v>
      </c>
      <c r="AI113" s="18"/>
      <c r="AJ113" s="18"/>
      <c r="AL113" s="819">
        <f t="shared" si="74"/>
        <v>0</v>
      </c>
      <c r="AM113" s="820" t="str">
        <f>IF(ISNUMBER(ROUND(AL113/(Y32+C32+N32),2)),ROUND(AL113/(Y32+C32+N32),2),"/")</f>
        <v>/</v>
      </c>
    </row>
    <row r="114" spans="2:714" x14ac:dyDescent="0.3">
      <c r="B114" s="305" t="s">
        <v>125</v>
      </c>
      <c r="C114" s="304">
        <f>G40-C40</f>
        <v>0</v>
      </c>
      <c r="D114" s="300" t="str">
        <f>IF(ISNUMBER(ROUND(C114/C40,2)),ROUND(C114/C40,2),"/")</f>
        <v>/</v>
      </c>
      <c r="E114" s="304">
        <f>G40-E40</f>
        <v>0</v>
      </c>
      <c r="F114" s="300" t="str">
        <f>IF(ISNUMBER(ROUND(E114/E40,2)),ROUND(E114/E40,2),"/")</f>
        <v>/</v>
      </c>
      <c r="G114" s="304">
        <f>I40-G40</f>
        <v>0</v>
      </c>
      <c r="H114" s="300" t="str">
        <f>IF(ISNUMBER(ROUND(G114/G40,2)),ROUND(G114/G40,2),"/")</f>
        <v>/</v>
      </c>
      <c r="I114" s="304">
        <f>K40-I40</f>
        <v>0</v>
      </c>
      <c r="J114" s="300" t="str">
        <f>IF(ISNUMBER(ROUND(I114/I40,2)),ROUND(I114/I40,2),"/")</f>
        <v>/</v>
      </c>
      <c r="K114" s="612">
        <f>K40-C40</f>
        <v>0</v>
      </c>
      <c r="L114" s="615" t="str">
        <f>IF(ISNUMBER(ROUND(K114/C40,2)),ROUND(K114/C40,2),"/")</f>
        <v>/</v>
      </c>
      <c r="M114" s="634"/>
      <c r="N114" s="304">
        <f>R40-N40</f>
        <v>0</v>
      </c>
      <c r="O114" s="300" t="str">
        <f>IF(ISNUMBER(ROUND(N114/N40,2)),ROUND(N114/N40,2),"/")</f>
        <v>/</v>
      </c>
      <c r="P114" s="304">
        <f>T40-P40</f>
        <v>0</v>
      </c>
      <c r="Q114" s="300" t="str">
        <f>IF(ISNUMBER(ROUND(P114/P40,2)),ROUND(P114/P40,2),"/")</f>
        <v>/</v>
      </c>
      <c r="R114" s="304">
        <f>T40-R40</f>
        <v>0</v>
      </c>
      <c r="S114" s="300" t="str">
        <f>IF(ISNUMBER(ROUND(R114/R40,2)),ROUND(R114/R40,2),"/")</f>
        <v>/</v>
      </c>
      <c r="T114" s="304">
        <f>V40-T40</f>
        <v>0</v>
      </c>
      <c r="U114" s="300" t="str">
        <f>IF(ISNUMBER(ROUND(T114/T40,2)),ROUND(T114/T40,2),"/")</f>
        <v>/</v>
      </c>
      <c r="V114" s="612">
        <f>V40-N40</f>
        <v>0</v>
      </c>
      <c r="W114" s="615" t="str">
        <f>IF(ISNUMBER(ROUND(V114/N40,2)),ROUND(V114/N40,2),"/")</f>
        <v>/</v>
      </c>
      <c r="X114" s="655"/>
      <c r="Y114" s="304">
        <f>AC40-Y40</f>
        <v>0</v>
      </c>
      <c r="Z114" s="300" t="str">
        <f>IF(ISNUMBER(ROUND(Y114/Y40,2)),ROUND(Y114/Y40,2),"/")</f>
        <v>/</v>
      </c>
      <c r="AA114" s="304">
        <f>AE40-AA40</f>
        <v>0</v>
      </c>
      <c r="AB114" s="300" t="str">
        <f>IF(ISNUMBER(ROUND(AA114/AA40,2)),ROUND(AA114/AA40,2),"/")</f>
        <v>/</v>
      </c>
      <c r="AC114" s="304">
        <f>AE40-AC40</f>
        <v>0</v>
      </c>
      <c r="AD114" s="300" t="str">
        <f>IF(ISNUMBER(ROUND(AC114/AC40,2)),ROUND(AC114/AC40,2),"/")</f>
        <v>/</v>
      </c>
      <c r="AE114" s="304">
        <f>AG40-AE40</f>
        <v>0</v>
      </c>
      <c r="AF114" s="300" t="str">
        <f>IF(ISNUMBER(ROUND(AE114/AE40,2)),ROUND(AE114/AE40,2),"/")</f>
        <v>/</v>
      </c>
      <c r="AG114" s="612">
        <f>AG40-Y40</f>
        <v>0</v>
      </c>
      <c r="AH114" s="615" t="str">
        <f>IF(ISNUMBER(ROUND(AG114/Y40,2)),ROUND(AG114/Y40,2),"/")</f>
        <v>/</v>
      </c>
      <c r="AI114" s="18"/>
      <c r="AJ114" s="18"/>
      <c r="AL114" s="819">
        <f t="shared" si="74"/>
        <v>0</v>
      </c>
      <c r="AM114" s="820" t="str">
        <f>IF(ISNUMBER(ROUND(AL114/(C40+N40+Y40),2)),ROUND(AL114/(C40+N40+Y40),2),"/")</f>
        <v>/</v>
      </c>
    </row>
    <row r="115" spans="2:714" x14ac:dyDescent="0.3">
      <c r="B115" s="303" t="s">
        <v>126</v>
      </c>
      <c r="C115" s="302">
        <f>SUM(C112:C114)</f>
        <v>0</v>
      </c>
      <c r="D115" s="300" t="str">
        <f>IF(ISNUMBER(ROUND(C115/C49,2)),ROUND(C115/C49,2),"/")</f>
        <v>/</v>
      </c>
      <c r="E115" s="302">
        <f>SUM(E112:E114)</f>
        <v>0</v>
      </c>
      <c r="F115" s="300" t="str">
        <f>IF(ISNUMBER(ROUND(E115/E49,2)),ROUND(E115/E49,2),"/")</f>
        <v>/</v>
      </c>
      <c r="G115" s="302">
        <f>SUM(G112:G114)</f>
        <v>0</v>
      </c>
      <c r="H115" s="300" t="str">
        <f>IF(ISNUMBER(ROUND(G115/G49,2)),ROUND(G115/G49,2),"/")</f>
        <v>/</v>
      </c>
      <c r="I115" s="302">
        <f>SUM(I112:I114)</f>
        <v>0</v>
      </c>
      <c r="J115" s="300" t="str">
        <f>IF(ISNUMBER(ROUND(I115/I49,2)),ROUND(I115/I49,2),"/")</f>
        <v>/</v>
      </c>
      <c r="K115" s="616">
        <f>SUM(K112:K114)</f>
        <v>0</v>
      </c>
      <c r="L115" s="615" t="str">
        <f>IF(ISNUMBER(ROUND(K115/C49,2)),ROUND(K115/C49,2),"/")</f>
        <v>/</v>
      </c>
      <c r="M115" s="634"/>
      <c r="N115" s="302">
        <f>SUM(N112:N114)</f>
        <v>0</v>
      </c>
      <c r="O115" s="300" t="str">
        <f>IF(ISNUMBER(ROUND(N115/N49,2)),ROUND(N115/N49,2),"/")</f>
        <v>/</v>
      </c>
      <c r="P115" s="302">
        <f>SUM(P112:P114)</f>
        <v>0</v>
      </c>
      <c r="Q115" s="300" t="str">
        <f>IF(ISNUMBER(ROUND(P115/P49,2)),ROUND(P115/P49,2),"/")</f>
        <v>/</v>
      </c>
      <c r="R115" s="302">
        <f>SUM(R112:R114)</f>
        <v>0</v>
      </c>
      <c r="S115" s="300" t="str">
        <f>IF(ISNUMBER(ROUND(R115/R49,2)),ROUND(R115/R49,2),"/")</f>
        <v>/</v>
      </c>
      <c r="T115" s="302">
        <f>SUM(T112:T114)</f>
        <v>0</v>
      </c>
      <c r="U115" s="300" t="str">
        <f>IF(ISNUMBER(ROUND(T115/T49,2)),ROUND(T115/T49,2),"/")</f>
        <v>/</v>
      </c>
      <c r="V115" s="616">
        <f>SUM(V112:V114)</f>
        <v>0</v>
      </c>
      <c r="W115" s="615" t="str">
        <f>IF(ISNUMBER(ROUND(V115/N49,2)),ROUND(V115/N49,2),"/")</f>
        <v>/</v>
      </c>
      <c r="X115" s="655"/>
      <c r="Y115" s="302">
        <f>SUM(Y112:Y114)</f>
        <v>0</v>
      </c>
      <c r="Z115" s="300" t="str">
        <f>IF(ISNUMBER(ROUND(Y115/Y49,2)),ROUND(Y115/Y49,2),"/")</f>
        <v>/</v>
      </c>
      <c r="AA115" s="302">
        <f>SUM(AA112:AA114)</f>
        <v>0</v>
      </c>
      <c r="AB115" s="300" t="str">
        <f>IF(ISNUMBER(ROUND(AA115/AA49,2)),ROUND(AA115/AA49,2),"/")</f>
        <v>/</v>
      </c>
      <c r="AC115" s="302">
        <f>SUM(AC112:AC114)</f>
        <v>0</v>
      </c>
      <c r="AD115" s="300" t="str">
        <f>IF(ISNUMBER(ROUND(AC115/AC49,2)),ROUND(AC115/AC49,2),"/")</f>
        <v>/</v>
      </c>
      <c r="AE115" s="302">
        <f>SUM(AE112:AE114)</f>
        <v>0</v>
      </c>
      <c r="AF115" s="300" t="str">
        <f>IF(ISNUMBER(ROUND(AE115/AE49,2)),ROUND(AE115/AE49,2),"/")</f>
        <v>/</v>
      </c>
      <c r="AG115" s="616">
        <f>SUM(AG112:AG114)</f>
        <v>0</v>
      </c>
      <c r="AH115" s="615" t="str">
        <f>IF(ISNUMBER(ROUND(AG115/Y49,2)),ROUND(AG115/Y49,2),"/")</f>
        <v>/</v>
      </c>
      <c r="AI115" s="18"/>
      <c r="AJ115" s="18"/>
      <c r="AL115" s="819">
        <f>AG115+V115+K115</f>
        <v>0</v>
      </c>
      <c r="AM115" s="820" t="str">
        <f>IF(ISNUMBER(ROUND(AL115/(C49+N49+Y49),2)),ROUND(AL115/(C49+N49+Y49),2),"/")</f>
        <v>/</v>
      </c>
      <c r="AAL115" s="613"/>
    </row>
    <row r="116" spans="2:714" x14ac:dyDescent="0.3">
      <c r="B116" s="305" t="s">
        <v>127</v>
      </c>
      <c r="C116" s="304">
        <f>G50-C50</f>
        <v>0</v>
      </c>
      <c r="D116" s="300" t="str">
        <f>IF(ISNUMBER(ROUND(C116/C50,2)),ROUND(C116/C50,2),"/")</f>
        <v>/</v>
      </c>
      <c r="E116" s="304">
        <f>I50-E50</f>
        <v>0</v>
      </c>
      <c r="F116" s="300" t="str">
        <f>IF(ISNUMBER(ROUND(E116/E50,2)),ROUND(E116/E50,2),"/")</f>
        <v>/</v>
      </c>
      <c r="G116" s="304">
        <f>I50-G50</f>
        <v>0</v>
      </c>
      <c r="H116" s="300" t="str">
        <f>IF(ISNUMBER(ROUND(G116/G50,2)),ROUND(G116/G50,2),"/")</f>
        <v>/</v>
      </c>
      <c r="I116" s="304">
        <f>K50-I50</f>
        <v>0</v>
      </c>
      <c r="J116" s="300" t="str">
        <f>IF(ISNUMBER(ROUND(I116/I50,2)),ROUND(I116/I50,2),"/")</f>
        <v>/</v>
      </c>
      <c r="K116" s="612">
        <f>K50-C50</f>
        <v>0</v>
      </c>
      <c r="L116" s="615" t="str">
        <f>IF(ISNUMBER(ROUND(K116/C50,2)),ROUND(K116/C50,2),"/")</f>
        <v>/</v>
      </c>
      <c r="M116" s="634"/>
      <c r="N116" s="304">
        <f>R50-N50</f>
        <v>0</v>
      </c>
      <c r="O116" s="300" t="str">
        <f>IF(ISNUMBER(ROUND(N116/N50,2)),ROUND(N116/N50,2),"/")</f>
        <v>/</v>
      </c>
      <c r="P116" s="304">
        <f>T50-P50</f>
        <v>0</v>
      </c>
      <c r="Q116" s="300" t="str">
        <f>IF(ISNUMBER(ROUND(P116/P50,2)),ROUND(P116/P50,2),"/")</f>
        <v>/</v>
      </c>
      <c r="R116" s="304">
        <f>T50-R50</f>
        <v>0</v>
      </c>
      <c r="S116" s="300" t="str">
        <f>IF(ISNUMBER(ROUND(R116/R50,2)),ROUND(R116/R50,2),"/")</f>
        <v>/</v>
      </c>
      <c r="T116" s="304">
        <f>V50-T50</f>
        <v>0</v>
      </c>
      <c r="U116" s="300" t="str">
        <f>IF(ISNUMBER(ROUND(T116/T50,2)),ROUND(T116/T50,2),"/")</f>
        <v>/</v>
      </c>
      <c r="V116" s="612">
        <f>V50-N50</f>
        <v>0</v>
      </c>
      <c r="W116" s="615" t="str">
        <f>IF(ISNUMBER(ROUND(V116/N50,2)),ROUND(V116/N50,2),"/")</f>
        <v>/</v>
      </c>
      <c r="X116" s="655"/>
      <c r="Y116" s="304">
        <f>AC50-Y50</f>
        <v>0</v>
      </c>
      <c r="Z116" s="300" t="str">
        <f>IF(ISNUMBER(ROUND(Y116/Y50,2)),ROUND(Y116/Y50,2),"/")</f>
        <v>/</v>
      </c>
      <c r="AA116" s="304">
        <f>AE50-AA50</f>
        <v>0</v>
      </c>
      <c r="AB116" s="300" t="str">
        <f>IF(ISNUMBER(ROUND(AA116/AA50,2)),ROUND(AA116/AA50,2),"/")</f>
        <v>/</v>
      </c>
      <c r="AC116" s="304">
        <f>AE50-AC50</f>
        <v>0</v>
      </c>
      <c r="AD116" s="300" t="str">
        <f>IF(ISNUMBER(ROUND(AC116/AC50,2)),ROUND(AC116/AC50,2),"/")</f>
        <v>/</v>
      </c>
      <c r="AE116" s="304">
        <f>AG50-AE50</f>
        <v>0</v>
      </c>
      <c r="AF116" s="300" t="str">
        <f>IF(ISNUMBER(ROUND(AE116/AE50,2)),ROUND(AE116/AE50,2),"/")</f>
        <v>/</v>
      </c>
      <c r="AG116" s="612">
        <f>AG50-Y50</f>
        <v>0</v>
      </c>
      <c r="AH116" s="615" t="str">
        <f>IF(ISNUMBER(ROUND(AG116/Y50,2)),ROUND(AG116/Y50,2),"/")</f>
        <v>/</v>
      </c>
      <c r="AI116" s="18"/>
      <c r="AJ116" s="18"/>
      <c r="AL116" s="819">
        <f t="shared" si="74"/>
        <v>0</v>
      </c>
      <c r="AM116" s="820" t="str">
        <f>IF(ISNUMBER(ROUND(AL116/(C50+N50+Y50),2)),ROUND(AL116/(C50+N50+Y50),2),"/")</f>
        <v>/</v>
      </c>
    </row>
    <row r="117" spans="2:714" x14ac:dyDescent="0.3">
      <c r="B117" s="303" t="s">
        <v>110</v>
      </c>
      <c r="C117" s="302">
        <f>SUM(C115:C116)</f>
        <v>0</v>
      </c>
      <c r="D117" s="300" t="str">
        <f ca="1">IF(ISNUMBER(ROUND(C117/C62,2)),ROUND(C117/C62,2),"/")</f>
        <v>/</v>
      </c>
      <c r="E117" s="302">
        <f>SUM(E115:E116)</f>
        <v>0</v>
      </c>
      <c r="F117" s="300" t="str">
        <f ca="1">IF(ISNUMBER(ROUND(E117/E62,2)),ROUND(E117/E62,2),"/")</f>
        <v>/</v>
      </c>
      <c r="G117" s="302">
        <f>SUM(G115:G116)</f>
        <v>0</v>
      </c>
      <c r="H117" s="300" t="str">
        <f>IF(ISNUMBER(ROUND(G117/G62,2)),ROUND(G117/G62,2),"/")</f>
        <v>/</v>
      </c>
      <c r="I117" s="302">
        <f>SUM(I115:I116)</f>
        <v>0</v>
      </c>
      <c r="J117" s="300" t="str">
        <f>IF(ISNUMBER(ROUND(I117/I62,2)),ROUND(I117/I62,2),"/")</f>
        <v>/</v>
      </c>
      <c r="K117" s="616">
        <f>SUM(K115:K116)</f>
        <v>0</v>
      </c>
      <c r="L117" s="615" t="str">
        <f ca="1">IF(ISNUMBER(ROUND(K117/C62,2)),ROUND(K117/C62,2),"/")</f>
        <v>/</v>
      </c>
      <c r="M117" s="634"/>
      <c r="N117" s="302">
        <f>SUM(N115:N116)</f>
        <v>0</v>
      </c>
      <c r="O117" s="300" t="str">
        <f ca="1">IF(ISNUMBER(ROUND(N117/N62,2)),ROUND(N117/N62,2),"/")</f>
        <v>/</v>
      </c>
      <c r="P117" s="302">
        <f>SUM(P115:P116)</f>
        <v>0</v>
      </c>
      <c r="Q117" s="300" t="str">
        <f ca="1">IF(ISNUMBER(ROUND(P117/P62,2)),ROUND(P117/P62,2),"/")</f>
        <v>/</v>
      </c>
      <c r="R117" s="302">
        <f>SUM(R115:R116)</f>
        <v>0</v>
      </c>
      <c r="S117" s="300" t="str">
        <f>IF(ISNUMBER(ROUND(R117/R62,2)),ROUND(R117/R62,2),"/")</f>
        <v>/</v>
      </c>
      <c r="T117" s="302">
        <f>SUM(T115:T116)</f>
        <v>0</v>
      </c>
      <c r="U117" s="300" t="str">
        <f>IF(ISNUMBER(ROUND(T117/T62,2)),ROUND(T117/T62,2),"/")</f>
        <v>/</v>
      </c>
      <c r="V117" s="616">
        <f>SUM(V115:V116)</f>
        <v>0</v>
      </c>
      <c r="W117" s="615" t="str">
        <f ca="1">IF(ISNUMBER(ROUND(V117/N62,2)),ROUND(V117/N62,2),"/")</f>
        <v>/</v>
      </c>
      <c r="X117" s="655"/>
      <c r="Y117" s="302">
        <f>SUM(Y115:Y116)</f>
        <v>0</v>
      </c>
      <c r="Z117" s="300" t="str">
        <f ca="1">IF(ISNUMBER(ROUND(Y117/Y62,2)),ROUND(Y117/Y62,2),"/")</f>
        <v>/</v>
      </c>
      <c r="AA117" s="302">
        <f>SUM(AA115:AA116)</f>
        <v>0</v>
      </c>
      <c r="AB117" s="300" t="str">
        <f ca="1">IF(ISNUMBER(ROUND(AA117/AA62,2)),ROUND(AA117/AA62,2),"/")</f>
        <v>/</v>
      </c>
      <c r="AC117" s="302">
        <f>SUM(AC115:AC116)</f>
        <v>0</v>
      </c>
      <c r="AD117" s="300" t="str">
        <f>IF(ISNUMBER(ROUND(AC117/AC62,2)),ROUND(AC117/AC62,2),"/")</f>
        <v>/</v>
      </c>
      <c r="AE117" s="302">
        <f>SUM(AE115:AE116)</f>
        <v>0</v>
      </c>
      <c r="AF117" s="300" t="str">
        <f>IF(ISNUMBER(ROUND(AE117/AE62,2)),ROUND(AE117/AE62,2),"/")</f>
        <v>/</v>
      </c>
      <c r="AG117" s="616">
        <f>SUM(AG115:AG116)</f>
        <v>0</v>
      </c>
      <c r="AH117" s="615" t="str">
        <f ca="1">IF(ISNUMBER(ROUND(AG117/Y62,2)),ROUND(AG117/Y62,2),"/")</f>
        <v>/</v>
      </c>
      <c r="AI117" s="18"/>
      <c r="AJ117" s="18"/>
      <c r="AL117" s="819">
        <f t="shared" si="74"/>
        <v>0</v>
      </c>
      <c r="AM117" s="820" t="str">
        <f>IF(ISNUMBER(ROUND(AL117/(C51+N51+Y51),2)),ROUND(AL117/(C51+N51+Y51),2),"/")</f>
        <v>/</v>
      </c>
    </row>
    <row r="118" spans="2:714" x14ac:dyDescent="0.3">
      <c r="B118" s="48" t="s">
        <v>444</v>
      </c>
      <c r="C118" s="301">
        <f>G52-C52</f>
        <v>0</v>
      </c>
      <c r="D118" s="300" t="str">
        <f>IF(ISNUMBER(ROUND(C118/C52,2)),ROUND(C118/C52,2),"/")</f>
        <v>/</v>
      </c>
      <c r="E118" s="301">
        <f>I52-E52</f>
        <v>0</v>
      </c>
      <c r="F118" s="300" t="str">
        <f>IF(ISNUMBER(ROUND(E118/E52,2)),ROUND(E118/E52,2),"/")</f>
        <v>/</v>
      </c>
      <c r="G118" s="301">
        <f>I52-G52</f>
        <v>0</v>
      </c>
      <c r="H118" s="300" t="str">
        <f>IF(ISNUMBER(ROUND(G118/G52,2)),ROUND(G118/G52,2),"/")</f>
        <v>/</v>
      </c>
      <c r="I118" s="301">
        <f>K52-I52</f>
        <v>0</v>
      </c>
      <c r="J118" s="300" t="str">
        <f>IF(ISNUMBER(ROUND(I118/I52,2)),ROUND(I118/I52,2),"/")</f>
        <v>/</v>
      </c>
      <c r="K118" s="612">
        <f>K52-C52</f>
        <v>0</v>
      </c>
      <c r="L118" s="615" t="str">
        <f>IF(ISNUMBER(ROUND(K118/C52,2)),ROUND(K118/C52,2),"/")</f>
        <v>/</v>
      </c>
      <c r="M118" s="634"/>
      <c r="N118" s="301">
        <f>R52-N52</f>
        <v>0</v>
      </c>
      <c r="O118" s="300" t="str">
        <f>IF(ISNUMBER(ROUND(N118/N52,2)),ROUND(N118/N52,2),"/")</f>
        <v>/</v>
      </c>
      <c r="P118" s="301">
        <f>T52-P52</f>
        <v>0</v>
      </c>
      <c r="Q118" s="300" t="str">
        <f>IF(ISNUMBER(ROUND(P118/P52,2)),ROUND(P118/P52,2),"/")</f>
        <v>/</v>
      </c>
      <c r="R118" s="301">
        <f>T52-R52</f>
        <v>0</v>
      </c>
      <c r="S118" s="300" t="str">
        <f>IF(ISNUMBER(ROUND(R118/R52,2)),ROUND(R118/R52,2),"/")</f>
        <v>/</v>
      </c>
      <c r="T118" s="301">
        <f>V52-T52</f>
        <v>0</v>
      </c>
      <c r="U118" s="300" t="str">
        <f>IF(ISNUMBER(ROUND(T118/T52,2)),ROUND(T118/T52,2),"/")</f>
        <v>/</v>
      </c>
      <c r="V118" s="612">
        <f>V52-N52</f>
        <v>0</v>
      </c>
      <c r="W118" s="615" t="str">
        <f>IF(ISNUMBER(ROUND(V118/N52,2)),ROUND(V118/N52,2),"/")</f>
        <v>/</v>
      </c>
      <c r="X118" s="655"/>
      <c r="Y118" s="301">
        <f>AC52-Y52</f>
        <v>0</v>
      </c>
      <c r="Z118" s="300" t="str">
        <f>IF(ISNUMBER(ROUND(Y118/Y52,2)),ROUND(Y118/Y52,2),"/")</f>
        <v>/</v>
      </c>
      <c r="AA118" s="301">
        <f>AE52-AA52</f>
        <v>0</v>
      </c>
      <c r="AB118" s="300" t="str">
        <f>IF(ISNUMBER(ROUND(AA118/AA52,2)),ROUND(AA118/AA52,2),"/")</f>
        <v>/</v>
      </c>
      <c r="AC118" s="301">
        <f>AE52-AC52</f>
        <v>0</v>
      </c>
      <c r="AD118" s="300" t="str">
        <f>IF(ISNUMBER(ROUND(AC118/AC52,2)),ROUND(AC118/AC52,2),"/")</f>
        <v>/</v>
      </c>
      <c r="AE118" s="301">
        <f>AG52-AE52</f>
        <v>0</v>
      </c>
      <c r="AF118" s="300" t="str">
        <f>IF(ISNUMBER(ROUND(AE118/AE52,2)),ROUND(AE118/AE52,2),"/")</f>
        <v>/</v>
      </c>
      <c r="AG118" s="612">
        <f>AG52-Y52</f>
        <v>0</v>
      </c>
      <c r="AH118" s="615" t="str">
        <f>IF(ISNUMBER(ROUND(AG118/Y52,2)),ROUND(AG118/Y52,2),"/")</f>
        <v>/</v>
      </c>
      <c r="AI118" s="18"/>
      <c r="AJ118" s="18"/>
      <c r="AL118" s="819">
        <f t="shared" si="74"/>
        <v>0</v>
      </c>
      <c r="AM118" s="820" t="str">
        <f>IF(ISNUMBER(ROUND(AL118/(C52+N52+Y52),2)),ROUND(AL118/(C52+N52+Y52),2),"/")</f>
        <v>/</v>
      </c>
    </row>
    <row r="119" spans="2:714" x14ac:dyDescent="0.3">
      <c r="B119" s="48" t="s">
        <v>447</v>
      </c>
      <c r="C119" s="301">
        <f>G55-C55</f>
        <v>0</v>
      </c>
      <c r="D119" s="300" t="str">
        <f>IF(ISNUMBER(ROUND(C119/C55,2)),ROUND(C119/C55,2),"/")</f>
        <v>/</v>
      </c>
      <c r="E119" s="301">
        <f>I55-E55</f>
        <v>0</v>
      </c>
      <c r="F119" s="300" t="str">
        <f>IF(ISNUMBER(ROUND(E119/E55,2)),ROUND(E119/E55,2),"/")</f>
        <v>/</v>
      </c>
      <c r="G119" s="301">
        <f>I55-G55</f>
        <v>0</v>
      </c>
      <c r="H119" s="300" t="str">
        <f>IF(ISNUMBER(ROUND(G119/G55,2)),ROUND(G119/G55,2),"/")</f>
        <v>/</v>
      </c>
      <c r="I119" s="301">
        <f>K55-I55</f>
        <v>0</v>
      </c>
      <c r="J119" s="300" t="str">
        <f>IF(ISNUMBER(ROUND(I119/I55,2)),ROUND(I119/I55,2),"/")</f>
        <v>/</v>
      </c>
      <c r="K119" s="612">
        <f>K55-C55</f>
        <v>0</v>
      </c>
      <c r="L119" s="615" t="str">
        <f>IF(ISNUMBER(ROUND(K119/C55,2)),ROUND(K119/C55,2),"/")</f>
        <v>/</v>
      </c>
      <c r="M119" s="634"/>
      <c r="N119" s="301">
        <f>R55-N55</f>
        <v>0</v>
      </c>
      <c r="O119" s="300" t="str">
        <f>IF(ISNUMBER(ROUND(N119/N55,2)),ROUND(N119/N55,2),"/")</f>
        <v>/</v>
      </c>
      <c r="P119" s="301">
        <f>T55-P55</f>
        <v>0</v>
      </c>
      <c r="Q119" s="300" t="str">
        <f>IF(ISNUMBER(ROUND(P119/P55,2)),ROUND(P119/P55,2),"/")</f>
        <v>/</v>
      </c>
      <c r="R119" s="301">
        <f>T55-R55</f>
        <v>0</v>
      </c>
      <c r="S119" s="300" t="str">
        <f>IF(ISNUMBER(ROUND(R119/R55,2)),ROUND(R119/R55,2),"/")</f>
        <v>/</v>
      </c>
      <c r="T119" s="301">
        <f>V55-T55</f>
        <v>0</v>
      </c>
      <c r="U119" s="300" t="str">
        <f>IF(ISNUMBER(ROUND(T119/T55,2)),ROUND(T119/T55,2),"/")</f>
        <v>/</v>
      </c>
      <c r="V119" s="612">
        <f>V55-N55</f>
        <v>0</v>
      </c>
      <c r="W119" s="615" t="str">
        <f>IF(ISNUMBER(ROUND(V119/N55,2)),ROUND(V119/N55,2),"/")</f>
        <v>/</v>
      </c>
      <c r="X119" s="655"/>
      <c r="Y119" s="301">
        <f>AC55-Y55</f>
        <v>0</v>
      </c>
      <c r="Z119" s="300" t="str">
        <f>IF(ISNUMBER(ROUND(Y119/Y55,2)),ROUND(Y119/Y55,2),"/")</f>
        <v>/</v>
      </c>
      <c r="AA119" s="301">
        <f>AE55-AA55</f>
        <v>0</v>
      </c>
      <c r="AB119" s="300" t="str">
        <f>IF(ISNUMBER(ROUND(AA119/AA55,2)),ROUND(AA119/AA55,2),"/")</f>
        <v>/</v>
      </c>
      <c r="AC119" s="301">
        <f>AE55-AC55</f>
        <v>0</v>
      </c>
      <c r="AD119" s="300" t="str">
        <f>IF(ISNUMBER(ROUND(AC119/AC55,2)),ROUND(AC119/AC55,2),"/")</f>
        <v>/</v>
      </c>
      <c r="AE119" s="301">
        <f>AG55-AE55</f>
        <v>0</v>
      </c>
      <c r="AF119" s="300" t="str">
        <f>IF(ISNUMBER(ROUND(AE119/AE55,2)),ROUND(AE119/AE55,2),"/")</f>
        <v>/</v>
      </c>
      <c r="AG119" s="612">
        <f>AG55-Y55</f>
        <v>0</v>
      </c>
      <c r="AH119" s="615" t="str">
        <f>IF(ISNUMBER(ROUND(AG119/Y55,2)),ROUND(AG119/Y55,2),"/")</f>
        <v>/</v>
      </c>
      <c r="AI119" s="18"/>
      <c r="AJ119" s="18"/>
      <c r="AL119" s="819">
        <f t="shared" si="74"/>
        <v>0</v>
      </c>
      <c r="AM119" s="820" t="str">
        <f>IF(ISNUMBER(ROUND(AL119/(C55+N55+Y55),2)),ROUND(AL119/(C55+N55+Y55),2),"/")</f>
        <v>/</v>
      </c>
    </row>
    <row r="120" spans="2:714" x14ac:dyDescent="0.3">
      <c r="B120" s="23" t="s">
        <v>471</v>
      </c>
      <c r="C120" s="964"/>
      <c r="D120" s="965"/>
      <c r="E120" s="964"/>
      <c r="F120" s="965"/>
      <c r="G120" s="964"/>
      <c r="H120" s="965"/>
      <c r="I120" s="964"/>
      <c r="J120" s="965"/>
      <c r="K120" s="966"/>
      <c r="L120" s="967"/>
      <c r="M120" s="634"/>
      <c r="N120" s="964"/>
      <c r="O120" s="965"/>
      <c r="P120" s="964"/>
      <c r="Q120" s="965"/>
      <c r="R120" s="964"/>
      <c r="S120" s="965"/>
      <c r="T120" s="964"/>
      <c r="U120" s="965"/>
      <c r="V120" s="966"/>
      <c r="W120" s="967"/>
      <c r="X120" s="634"/>
      <c r="Y120" s="964"/>
      <c r="Z120" s="965"/>
      <c r="AA120" s="964"/>
      <c r="AB120" s="965"/>
      <c r="AC120" s="964"/>
      <c r="AD120" s="965"/>
      <c r="AE120" s="964"/>
      <c r="AF120" s="965"/>
      <c r="AG120" s="966"/>
      <c r="AH120" s="967"/>
      <c r="AI120" s="18"/>
      <c r="AJ120" s="18"/>
      <c r="AL120" s="819"/>
      <c r="AM120" s="968"/>
    </row>
    <row r="121" spans="2:714" x14ac:dyDescent="0.3">
      <c r="L121" s="18"/>
      <c r="M121" s="18"/>
    </row>
    <row r="122" spans="2:714" x14ac:dyDescent="0.3">
      <c r="B122" s="299" t="s">
        <v>489</v>
      </c>
      <c r="L122" s="18"/>
      <c r="M122" s="18"/>
    </row>
    <row r="123" spans="2:714" x14ac:dyDescent="0.3">
      <c r="B123" s="249" t="s">
        <v>490</v>
      </c>
      <c r="C123" s="298">
        <f>IF(VLOOKUP(C10,'Capaciteiten &amp; forfaits'!$B$3:$H$71,4,FALSE)-50&lt;0,0,VLOOKUP(C10,'Capaciteiten &amp; forfaits'!$B$3:$H$71,4,FALSE)-50)</f>
        <v>0</v>
      </c>
      <c r="L123" s="18"/>
      <c r="N123" s="298">
        <f>IF(VLOOKUP(N10,'Capaciteiten &amp; forfaits'!$B$3:$H$71,4,FALSE)-50&lt;0,0,VLOOKUP(N10,'Capaciteiten &amp; forfaits'!$B$3:$H$71,4,FALSE)-50)</f>
        <v>0</v>
      </c>
      <c r="Y123" s="298">
        <f>IF(VLOOKUP(Y10,'Capaciteiten &amp; forfaits'!$B$3:$H$71,4,FALSE)-50&lt;0,0,VLOOKUP(Y10,'Capaciteiten &amp; forfaits'!$B$3:$H$71,4,FALSE)-50)</f>
        <v>0</v>
      </c>
    </row>
    <row r="124" spans="2:714" x14ac:dyDescent="0.3">
      <c r="B124" s="249" t="s">
        <v>491</v>
      </c>
      <c r="C124" s="297">
        <v>50</v>
      </c>
      <c r="E124" s="296"/>
      <c r="N124" s="771">
        <f>C124</f>
        <v>50</v>
      </c>
      <c r="Y124" s="771">
        <f>N124</f>
        <v>50</v>
      </c>
    </row>
    <row r="128" spans="2:714" x14ac:dyDescent="0.3">
      <c r="D128" s="294"/>
      <c r="E128" s="294"/>
      <c r="F128" s="294"/>
      <c r="G128" s="294"/>
    </row>
    <row r="129" spans="4:7" x14ac:dyDescent="0.3">
      <c r="D129" s="294"/>
      <c r="E129" s="294"/>
      <c r="F129" s="294"/>
      <c r="G129" s="294"/>
    </row>
    <row r="130" spans="4:7" x14ac:dyDescent="0.3">
      <c r="D130" s="294"/>
      <c r="E130" s="295"/>
      <c r="F130" s="294"/>
      <c r="G130" s="294"/>
    </row>
    <row r="131" spans="4:7" x14ac:dyDescent="0.3">
      <c r="D131" s="294"/>
      <c r="E131" s="295"/>
      <c r="F131" s="294"/>
      <c r="G131" s="294"/>
    </row>
    <row r="132" spans="4:7" x14ac:dyDescent="0.3">
      <c r="D132" s="294"/>
      <c r="E132" s="295"/>
      <c r="F132" s="294"/>
      <c r="G132" s="294"/>
    </row>
    <row r="133" spans="4:7" x14ac:dyDescent="0.3">
      <c r="E133" s="294"/>
      <c r="F133" s="294"/>
      <c r="G133" s="294"/>
    </row>
    <row r="134" spans="4:7" x14ac:dyDescent="0.3">
      <c r="E134" s="294"/>
    </row>
    <row r="135" spans="4:7" x14ac:dyDescent="0.3">
      <c r="E135" s="294"/>
    </row>
    <row r="136" spans="4:7" x14ac:dyDescent="0.3">
      <c r="E136" s="294"/>
    </row>
  </sheetData>
  <mergeCells count="20">
    <mergeCell ref="AJ4:AT4"/>
    <mergeCell ref="AJ7:AT9"/>
    <mergeCell ref="C1:E1"/>
    <mergeCell ref="C5:E5"/>
    <mergeCell ref="C12:E12"/>
    <mergeCell ref="C10:L10"/>
    <mergeCell ref="N10:W10"/>
    <mergeCell ref="Y10:AH10"/>
    <mergeCell ref="Y12:AA12"/>
    <mergeCell ref="N12:P12"/>
    <mergeCell ref="Y15:AA15"/>
    <mergeCell ref="N14:P14"/>
    <mergeCell ref="N15:P15"/>
    <mergeCell ref="C15:E15"/>
    <mergeCell ref="B8:L8"/>
    <mergeCell ref="Y14:AA14"/>
    <mergeCell ref="C14:E14"/>
    <mergeCell ref="Y13:AA13"/>
    <mergeCell ref="C13:E13"/>
    <mergeCell ref="N13:P13"/>
  </mergeCells>
  <phoneticPr fontId="49" type="noConversion"/>
  <conditionalFormatting sqref="C25">
    <cfRule type="expression" dxfId="263" priority="139">
      <formula>C31&lt;0</formula>
    </cfRule>
  </conditionalFormatting>
  <conditionalFormatting sqref="Y40">
    <cfRule type="expression" dxfId="262" priority="99">
      <formula>Y46&lt;0</formula>
    </cfRule>
  </conditionalFormatting>
  <conditionalFormatting sqref="C40">
    <cfRule type="expression" dxfId="261" priority="132">
      <formula>C46&lt;0</formula>
    </cfRule>
  </conditionalFormatting>
  <conditionalFormatting sqref="C50">
    <cfRule type="expression" dxfId="260" priority="131">
      <formula>C60&lt;0</formula>
    </cfRule>
  </conditionalFormatting>
  <conditionalFormatting sqref="C17">
    <cfRule type="expression" dxfId="259" priority="130">
      <formula>C23&lt;0</formula>
    </cfRule>
  </conditionalFormatting>
  <conditionalFormatting sqref="N25">
    <cfRule type="expression" dxfId="258" priority="129">
      <formula>N31&lt;0</formula>
    </cfRule>
  </conditionalFormatting>
  <conditionalFormatting sqref="N40">
    <cfRule type="expression" dxfId="257" priority="122">
      <formula>N46&lt;0</formula>
    </cfRule>
  </conditionalFormatting>
  <conditionalFormatting sqref="N50">
    <cfRule type="expression" dxfId="256" priority="121">
      <formula>N60&lt;0</formula>
    </cfRule>
  </conditionalFormatting>
  <conditionalFormatting sqref="N17">
    <cfRule type="expression" dxfId="255" priority="120">
      <formula>N23&lt;0</formula>
    </cfRule>
  </conditionalFormatting>
  <conditionalFormatting sqref="E17">
    <cfRule type="expression" dxfId="254" priority="77">
      <formula>E23&lt;0</formula>
    </cfRule>
  </conditionalFormatting>
  <conditionalFormatting sqref="E25">
    <cfRule type="expression" dxfId="253" priority="75">
      <formula>E31&lt;0</formula>
    </cfRule>
  </conditionalFormatting>
  <conditionalFormatting sqref="Y25">
    <cfRule type="expression" dxfId="252" priority="106">
      <formula>Y31&lt;0</formula>
    </cfRule>
  </conditionalFormatting>
  <conditionalFormatting sqref="Y32">
    <cfRule type="expression" dxfId="251" priority="100">
      <formula>Y38&lt;0</formula>
    </cfRule>
  </conditionalFormatting>
  <conditionalFormatting sqref="Y50">
    <cfRule type="expression" dxfId="250" priority="98">
      <formula>Y60&lt;0</formula>
    </cfRule>
  </conditionalFormatting>
  <conditionalFormatting sqref="Y17">
    <cfRule type="expression" dxfId="249" priority="97">
      <formula>Y23&lt;0</formula>
    </cfRule>
  </conditionalFormatting>
  <conditionalFormatting sqref="P25">
    <cfRule type="expression" dxfId="248" priority="62">
      <formula>P31&lt;0</formula>
    </cfRule>
  </conditionalFormatting>
  <conditionalFormatting sqref="P32">
    <cfRule type="expression" dxfId="247" priority="61">
      <formula>P38&lt;0</formula>
    </cfRule>
  </conditionalFormatting>
  <conditionalFormatting sqref="P50">
    <cfRule type="expression" dxfId="246" priority="59">
      <formula>P56&lt;0</formula>
    </cfRule>
  </conditionalFormatting>
  <conditionalFormatting sqref="E55:E56">
    <cfRule type="expression" dxfId="245" priority="70">
      <formula>E62&lt;0</formula>
    </cfRule>
  </conditionalFormatting>
  <conditionalFormatting sqref="G50">
    <cfRule type="expression" dxfId="244" priority="68">
      <formula>G56&lt;0</formula>
    </cfRule>
  </conditionalFormatting>
  <conditionalFormatting sqref="K25">
    <cfRule type="expression" dxfId="243" priority="80">
      <formula>K31&lt;0</formula>
    </cfRule>
  </conditionalFormatting>
  <conditionalFormatting sqref="K32">
    <cfRule type="expression" dxfId="242" priority="79">
      <formula>K39&lt;0</formula>
    </cfRule>
  </conditionalFormatting>
  <conditionalFormatting sqref="K40">
    <cfRule type="expression" dxfId="241" priority="78">
      <formula>K48&lt;0</formula>
    </cfRule>
  </conditionalFormatting>
  <conditionalFormatting sqref="E32">
    <cfRule type="expression" dxfId="240" priority="74">
      <formula>E38&lt;0</formula>
    </cfRule>
  </conditionalFormatting>
  <conditionalFormatting sqref="E40">
    <cfRule type="expression" dxfId="239" priority="73">
      <formula>E46&lt;0</formula>
    </cfRule>
  </conditionalFormatting>
  <conditionalFormatting sqref="E50">
    <cfRule type="expression" dxfId="238" priority="72">
      <formula>E56&lt;0</formula>
    </cfRule>
  </conditionalFormatting>
  <conditionalFormatting sqref="E57">
    <cfRule type="expression" dxfId="237" priority="69">
      <formula>E64&lt;0</formula>
    </cfRule>
  </conditionalFormatting>
  <conditionalFormatting sqref="V25">
    <cfRule type="expression" dxfId="236" priority="67">
      <formula>V31&lt;0</formula>
    </cfRule>
  </conditionalFormatting>
  <conditionalFormatting sqref="V64">
    <cfRule type="expression" dxfId="235" priority="63">
      <formula>V80&lt;0</formula>
    </cfRule>
  </conditionalFormatting>
  <conditionalFormatting sqref="V32">
    <cfRule type="expression" dxfId="234" priority="66">
      <formula>V39&lt;0</formula>
    </cfRule>
  </conditionalFormatting>
  <conditionalFormatting sqref="V40">
    <cfRule type="expression" dxfId="233" priority="65">
      <formula>V48&lt;0</formula>
    </cfRule>
  </conditionalFormatting>
  <conditionalFormatting sqref="P17">
    <cfRule type="expression" dxfId="232" priority="64">
      <formula>P23&lt;0</formula>
    </cfRule>
  </conditionalFormatting>
  <conditionalFormatting sqref="P40">
    <cfRule type="expression" dxfId="231" priority="60">
      <formula>P46&lt;0</formula>
    </cfRule>
  </conditionalFormatting>
  <conditionalFormatting sqref="P55">
    <cfRule type="expression" dxfId="230" priority="57">
      <formula>P62&lt;0</formula>
    </cfRule>
  </conditionalFormatting>
  <conditionalFormatting sqref="P57">
    <cfRule type="expression" dxfId="229" priority="56">
      <formula>P64&lt;0</formula>
    </cfRule>
  </conditionalFormatting>
  <conditionalFormatting sqref="R50">
    <cfRule type="expression" dxfId="228" priority="55">
      <formula>R56&lt;0</formula>
    </cfRule>
  </conditionalFormatting>
  <conditionalFormatting sqref="AG25">
    <cfRule type="expression" dxfId="227" priority="54">
      <formula>AG31&lt;0</formula>
    </cfRule>
  </conditionalFormatting>
  <conditionalFormatting sqref="AG64">
    <cfRule type="expression" dxfId="226" priority="50">
      <formula>AG80&lt;0</formula>
    </cfRule>
  </conditionalFormatting>
  <conditionalFormatting sqref="AG32">
    <cfRule type="expression" dxfId="225" priority="53">
      <formula>AG39&lt;0</formula>
    </cfRule>
  </conditionalFormatting>
  <conditionalFormatting sqref="AG40">
    <cfRule type="expression" dxfId="224" priority="52">
      <formula>AG48&lt;0</formula>
    </cfRule>
  </conditionalFormatting>
  <conditionalFormatting sqref="AA17">
    <cfRule type="expression" dxfId="223" priority="51">
      <formula>AA23&lt;0</formula>
    </cfRule>
  </conditionalFormatting>
  <conditionalFormatting sqref="AA25">
    <cfRule type="expression" dxfId="222" priority="49">
      <formula>AA31&lt;0</formula>
    </cfRule>
  </conditionalFormatting>
  <conditionalFormatting sqref="AA32">
    <cfRule type="expression" dxfId="221" priority="48">
      <formula>AA38&lt;0</formula>
    </cfRule>
  </conditionalFormatting>
  <conditionalFormatting sqref="AA40">
    <cfRule type="expression" dxfId="220" priority="47">
      <formula>AA46&lt;0</formula>
    </cfRule>
  </conditionalFormatting>
  <conditionalFormatting sqref="AA50">
    <cfRule type="expression" dxfId="219" priority="46">
      <formula>AA56&lt;0</formula>
    </cfRule>
  </conditionalFormatting>
  <conditionalFormatting sqref="AA55">
    <cfRule type="expression" dxfId="218" priority="44">
      <formula>AA62&lt;0</formula>
    </cfRule>
  </conditionalFormatting>
  <conditionalFormatting sqref="AA57">
    <cfRule type="expression" dxfId="217" priority="43">
      <formula>AA64&lt;0</formula>
    </cfRule>
  </conditionalFormatting>
  <conditionalFormatting sqref="AC50">
    <cfRule type="expression" dxfId="216" priority="42">
      <formula>AC56&lt;0</formula>
    </cfRule>
  </conditionalFormatting>
  <conditionalFormatting sqref="C32">
    <cfRule type="expression" dxfId="215" priority="41">
      <formula>C38&lt;0</formula>
    </cfRule>
  </conditionalFormatting>
  <conditionalFormatting sqref="N32">
    <cfRule type="expression" dxfId="214" priority="40">
      <formula>N38&lt;0</formula>
    </cfRule>
  </conditionalFormatting>
  <conditionalFormatting sqref="E58">
    <cfRule type="expression" dxfId="213" priority="39">
      <formula>E65&lt;0</formula>
    </cfRule>
  </conditionalFormatting>
  <conditionalFormatting sqref="P58">
    <cfRule type="expression" dxfId="212" priority="38">
      <formula>P65&lt;0</formula>
    </cfRule>
  </conditionalFormatting>
  <conditionalFormatting sqref="AA58">
    <cfRule type="expression" dxfId="211" priority="37">
      <formula>AA65&lt;0</formula>
    </cfRule>
  </conditionalFormatting>
  <conditionalFormatting sqref="C94 E94 G94 I94 K94">
    <cfRule type="expression" dxfId="210" priority="5">
      <formula>AND(C85&gt;0,C94=0)</formula>
    </cfRule>
  </conditionalFormatting>
  <conditionalFormatting sqref="C93 E93 G93 I93 K93">
    <cfRule type="expression" dxfId="209" priority="6">
      <formula>AND(C82&gt;0,C93=0)</formula>
    </cfRule>
  </conditionalFormatting>
  <conditionalFormatting sqref="N94 P94 R94 T94 V94">
    <cfRule type="expression" dxfId="208" priority="3">
      <formula>AND(N85&gt;0,N94=0)</formula>
    </cfRule>
  </conditionalFormatting>
  <conditionalFormatting sqref="N93 P93 R93 T93 V93">
    <cfRule type="expression" dxfId="207" priority="4">
      <formula>AND(N82&gt;0,N93=0)</formula>
    </cfRule>
  </conditionalFormatting>
  <conditionalFormatting sqref="Y94 AA94 AC94 AE94 AG94">
    <cfRule type="expression" dxfId="206" priority="1">
      <formula>AND(Y85&gt;0,Y94=0)</formula>
    </cfRule>
  </conditionalFormatting>
  <conditionalFormatting sqref="Y93 AA93 AC93 AE93 AG93">
    <cfRule type="expression" dxfId="205" priority="2">
      <formula>AND(Y82&gt;0,Y93=0)</formula>
    </cfRule>
  </conditionalFormatting>
  <pageMargins left="0.7" right="0.7" top="0.75" bottom="0.75" header="0.3" footer="0.3"/>
  <pageSetup paperSize="8" scale="61"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90635A3-67D9-4C1B-8624-98E63C2D6F0E}">
          <x14:formula1>
            <xm:f>Bouwindex_ABEX!$Q$3:$Q$34</xm:f>
          </x14:formula1>
          <xm:sqref>C93 E93 G93 I93 K93 N93 P93 R93 T93 V93 Y93 AA93 AC93 AE93 AG93</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3EFCD-79B8-48D6-8A6C-0E5CB35CB1D8}">
  <sheetPr codeName="Blad33">
    <pageSetUpPr fitToPage="1"/>
  </sheetPr>
  <dimension ref="A1:DM134"/>
  <sheetViews>
    <sheetView topLeftCell="A32" zoomScale="70" zoomScaleNormal="70" workbookViewId="0">
      <selection activeCell="Y55" sqref="Y55"/>
    </sheetView>
  </sheetViews>
  <sheetFormatPr defaultRowHeight="14.4" outlineLevelRow="1" x14ac:dyDescent="0.3"/>
  <cols>
    <col min="1" max="1" width="1.88671875" customWidth="1"/>
    <col min="2" max="2" width="40.6640625" customWidth="1"/>
    <col min="3" max="3" width="12.6640625" hidden="1" customWidth="1"/>
    <col min="4" max="4" width="5.88671875" hidden="1" customWidth="1"/>
    <col min="5" max="5" width="20.33203125" hidden="1" customWidth="1"/>
    <col min="6" max="6" width="5.88671875" hidden="1" customWidth="1"/>
    <col min="7" max="7" width="18.5546875" hidden="1" customWidth="1"/>
    <col min="8" max="8" width="5.88671875" hidden="1" customWidth="1"/>
    <col min="9" max="9" width="11.44140625" hidden="1" customWidth="1"/>
    <col min="10" max="10" width="5.88671875" hidden="1" customWidth="1"/>
    <col min="11" max="11" width="15.33203125" hidden="1" customWidth="1"/>
    <col min="12" max="12" width="5.88671875" hidden="1" customWidth="1"/>
    <col min="13" max="13" width="2.6640625" hidden="1" customWidth="1"/>
    <col min="14" max="14" width="15.6640625" hidden="1" customWidth="1"/>
    <col min="15" max="15" width="6"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664062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8.88671875" style="168"/>
    <col min="36" max="36" width="67" style="168" bestFit="1" customWidth="1"/>
    <col min="37" max="37" width="8.88671875" style="168"/>
    <col min="38" max="39" width="0" style="168" hidden="1" customWidth="1"/>
    <col min="40" max="42" width="25.33203125" style="168" hidden="1" customWidth="1"/>
    <col min="43" max="44" width="0" style="168" hidden="1" customWidth="1"/>
    <col min="45" max="51" width="8.88671875" style="168"/>
    <col min="52" max="55" width="0" style="168" hidden="1" customWidth="1"/>
    <col min="56" max="81" width="8.88671875" style="168"/>
  </cols>
  <sheetData>
    <row r="1" spans="2:46" ht="18.600000000000001" hidden="1" thickBot="1" x14ac:dyDescent="0.4">
      <c r="B1" s="692" t="s">
        <v>3</v>
      </c>
      <c r="C1" s="1259">
        <f>'Overzicht project'!I4</f>
        <v>0</v>
      </c>
      <c r="D1" s="1260"/>
      <c r="E1" s="1260"/>
      <c r="F1" s="669"/>
      <c r="G1" s="661"/>
      <c r="H1" s="606"/>
      <c r="I1" s="606"/>
      <c r="J1" s="606"/>
      <c r="K1" s="662"/>
    </row>
    <row r="2" spans="2:46" ht="18.600000000000001" thickBot="1" x14ac:dyDescent="0.4">
      <c r="B2" s="694" t="s">
        <v>396</v>
      </c>
      <c r="D2" s="672"/>
      <c r="M2" s="340"/>
      <c r="AO2" s="551" t="s">
        <v>25</v>
      </c>
      <c r="AP2" s="551" t="s">
        <v>25</v>
      </c>
      <c r="AQ2" s="551" t="s">
        <v>25</v>
      </c>
      <c r="AR2" s="551" t="s">
        <v>167</v>
      </c>
    </row>
    <row r="3" spans="2:46" ht="18.600000000000001" thickBot="1" x14ac:dyDescent="0.4">
      <c r="B3" s="695" t="str">
        <f>Bron!A12</f>
        <v>Ingrijpende energetische renovatie</v>
      </c>
      <c r="C3" s="675"/>
      <c r="D3" s="675"/>
      <c r="E3" s="673"/>
      <c r="G3" s="1263" t="s">
        <v>397</v>
      </c>
      <c r="H3" s="1263"/>
      <c r="I3" s="1263"/>
      <c r="J3" s="1263"/>
      <c r="K3" s="1263"/>
      <c r="L3" s="1263"/>
      <c r="M3" s="340"/>
      <c r="AJ3" s="785" t="s">
        <v>492</v>
      </c>
      <c r="AK3" s="781"/>
      <c r="AL3" s="781"/>
      <c r="AM3" s="781"/>
      <c r="AN3" s="781"/>
      <c r="AO3" s="781"/>
      <c r="AP3" s="782"/>
      <c r="AQ3" s="783"/>
      <c r="AR3" s="791"/>
      <c r="AS3" s="792"/>
      <c r="AT3" s="784"/>
    </row>
    <row r="4" spans="2:46" ht="18" hidden="1" x14ac:dyDescent="0.35">
      <c r="B4" s="696" t="s">
        <v>399</v>
      </c>
      <c r="C4" s="1261">
        <f>'Overzicht project'!B34</f>
        <v>0</v>
      </c>
      <c r="D4" s="1262"/>
      <c r="E4" s="1262"/>
      <c r="F4" s="669"/>
      <c r="AJ4" s="1265" t="s">
        <v>398</v>
      </c>
      <c r="AK4" s="1266"/>
      <c r="AL4" s="1266"/>
      <c r="AM4" s="1266"/>
      <c r="AN4" s="1266"/>
      <c r="AO4" s="1266"/>
      <c r="AP4" s="1266"/>
      <c r="AQ4" s="1266"/>
      <c r="AR4" s="1266"/>
      <c r="AS4" s="1266"/>
      <c r="AT4" s="1267"/>
    </row>
    <row r="5" spans="2:46" s="168" customFormat="1" ht="25.2" customHeight="1" x14ac:dyDescent="0.35">
      <c r="B5" s="997"/>
      <c r="C5" s="998"/>
      <c r="D5" s="999"/>
      <c r="E5" s="1000"/>
      <c r="G5" s="787"/>
      <c r="H5" s="787"/>
      <c r="I5" s="787"/>
      <c r="J5" s="787"/>
      <c r="K5" s="787"/>
      <c r="L5" s="787"/>
      <c r="M5" s="787"/>
      <c r="N5" s="787"/>
      <c r="O5" s="787"/>
      <c r="P5" s="787"/>
      <c r="Q5" s="787"/>
      <c r="R5" s="787"/>
      <c r="S5" s="787"/>
      <c r="T5" s="787"/>
      <c r="U5" s="787"/>
      <c r="V5" s="787"/>
      <c r="W5" s="787"/>
      <c r="X5" s="787"/>
      <c r="Y5" s="787"/>
      <c r="Z5" s="787"/>
      <c r="AA5" s="787"/>
      <c r="AB5" s="787"/>
      <c r="AC5" s="787"/>
      <c r="AD5" s="787"/>
      <c r="AE5" s="787"/>
      <c r="AF5" s="787"/>
      <c r="AG5" s="787"/>
      <c r="AH5" s="787"/>
      <c r="AI5" s="787"/>
      <c r="AJ5" s="1265" t="s">
        <v>1459</v>
      </c>
      <c r="AK5" s="1266"/>
      <c r="AL5" s="1266"/>
      <c r="AM5" s="1266"/>
      <c r="AN5" s="1266"/>
      <c r="AO5" s="1266"/>
      <c r="AP5" s="1266"/>
      <c r="AQ5" s="1266"/>
      <c r="AR5" s="1266"/>
      <c r="AS5" s="1266"/>
      <c r="AT5" s="1267"/>
    </row>
    <row r="6" spans="2:46" ht="6.6" hidden="1" customHeight="1" x14ac:dyDescent="0.3">
      <c r="B6" s="683"/>
      <c r="C6" s="683"/>
      <c r="D6" s="683"/>
      <c r="E6" s="683"/>
      <c r="F6" s="683"/>
      <c r="G6" s="683"/>
      <c r="H6" s="683"/>
      <c r="I6" s="683"/>
      <c r="J6" s="683"/>
      <c r="K6" s="683"/>
      <c r="L6" s="683"/>
      <c r="AN6" s="170"/>
    </row>
    <row r="7" spans="2:46" ht="6.6" customHeight="1" x14ac:dyDescent="0.3">
      <c r="B7" s="18"/>
      <c r="C7" s="591"/>
      <c r="AN7" s="170"/>
    </row>
    <row r="8" spans="2:46" ht="15.6" x14ac:dyDescent="0.3">
      <c r="B8" s="18"/>
      <c r="C8" s="1257" t="str">
        <f>'Overzicht project'!$C$40</f>
        <v>Kies de zorgvorm</v>
      </c>
      <c r="D8" s="1257"/>
      <c r="E8" s="1257"/>
      <c r="F8" s="1257"/>
      <c r="G8" s="1257"/>
      <c r="H8" s="1257"/>
      <c r="I8" s="1257"/>
      <c r="J8" s="1257"/>
      <c r="K8" s="1257"/>
      <c r="L8" s="1257"/>
      <c r="N8" s="1257" t="str">
        <f>'Overzicht project'!$C$41</f>
        <v>Kies de zorgvorm</v>
      </c>
      <c r="O8" s="1257"/>
      <c r="P8" s="1257"/>
      <c r="Q8" s="1257"/>
      <c r="R8" s="1257"/>
      <c r="S8" s="1257"/>
      <c r="T8" s="1257"/>
      <c r="U8" s="1257"/>
      <c r="V8" s="1257"/>
      <c r="W8" s="1257"/>
      <c r="X8" s="643"/>
      <c r="Y8" s="1257" t="str">
        <f>'Overzicht project'!$C$42</f>
        <v>Kies de zorgvorm</v>
      </c>
      <c r="Z8" s="1257"/>
      <c r="AA8" s="1257"/>
      <c r="AB8" s="1257"/>
      <c r="AC8" s="1257"/>
      <c r="AD8" s="1257"/>
      <c r="AE8" s="1257"/>
      <c r="AF8" s="1257"/>
      <c r="AG8" s="1257"/>
      <c r="AH8" s="1257"/>
    </row>
    <row r="9" spans="2:46" x14ac:dyDescent="0.3">
      <c r="C9" s="1253" t="s">
        <v>401</v>
      </c>
      <c r="D9" s="1254"/>
      <c r="E9" s="1255"/>
      <c r="F9" s="473">
        <f>IF(ISNUMBER(MATCH($B$3,'Overzicht project'!C48:C51,0)),VLOOKUP($B$3,'Overzicht project'!C48:D51,2,FALSE),0)</f>
        <v>0</v>
      </c>
      <c r="G9" s="658"/>
      <c r="H9" s="658"/>
      <c r="N9" s="1256" t="s">
        <v>401</v>
      </c>
      <c r="O9" s="1256"/>
      <c r="P9" s="1256"/>
      <c r="Q9" s="473">
        <f>IF(ISNUMBER(MATCH($B$3,'Overzicht project'!C55:C58,0)),VLOOKUP($B$3,'Overzicht project'!C55:D58,2,FALSE),0)</f>
        <v>0</v>
      </c>
      <c r="Y9" s="1256" t="s">
        <v>401</v>
      </c>
      <c r="Z9" s="1256"/>
      <c r="AA9" s="1256"/>
      <c r="AB9" s="473">
        <f>IF(ISNUMBER(MATCH($B$3,'Overzicht project'!C62:C65,0)),VLOOKUP($B$3,'Overzicht project'!C62:D65,2,FALSE),0)</f>
        <v>0</v>
      </c>
    </row>
    <row r="10" spans="2:46" x14ac:dyDescent="0.3">
      <c r="C10" s="1253" t="s">
        <v>402</v>
      </c>
      <c r="D10" s="1254"/>
      <c r="E10" s="1255"/>
      <c r="F10" s="473">
        <v>0.21</v>
      </c>
      <c r="G10" s="658"/>
      <c r="H10" s="658"/>
      <c r="N10" s="1256" t="s">
        <v>402</v>
      </c>
      <c r="O10" s="1256"/>
      <c r="P10" s="1256"/>
      <c r="Q10" s="473">
        <v>0.21</v>
      </c>
      <c r="Y10" s="1256" t="s">
        <v>402</v>
      </c>
      <c r="Z10" s="1256"/>
      <c r="AA10" s="1256"/>
      <c r="AB10" s="473">
        <v>0.21</v>
      </c>
    </row>
    <row r="11" spans="2:46" x14ac:dyDescent="0.3">
      <c r="C11" s="1253" t="s">
        <v>403</v>
      </c>
      <c r="D11" s="1254"/>
      <c r="E11" s="1255"/>
      <c r="F11" s="473">
        <v>0.21</v>
      </c>
      <c r="G11" s="658"/>
      <c r="H11" s="658"/>
      <c r="N11" s="1256" t="s">
        <v>403</v>
      </c>
      <c r="O11" s="1256"/>
      <c r="P11" s="1256"/>
      <c r="Q11" s="473">
        <v>0.21</v>
      </c>
      <c r="Y11" s="1256" t="s">
        <v>403</v>
      </c>
      <c r="Z11" s="1256"/>
      <c r="AA11" s="1256"/>
      <c r="AB11" s="473">
        <v>0.21</v>
      </c>
    </row>
    <row r="12" spans="2:46" x14ac:dyDescent="0.3">
      <c r="C12" s="1253" t="s">
        <v>404</v>
      </c>
      <c r="D12" s="1254"/>
      <c r="E12" s="1255"/>
      <c r="F12" s="473">
        <v>0.06</v>
      </c>
      <c r="N12" s="1256" t="s">
        <v>404</v>
      </c>
      <c r="O12" s="1256"/>
      <c r="P12" s="1256"/>
      <c r="Q12" s="473">
        <v>0.06</v>
      </c>
      <c r="Y12" s="1256" t="s">
        <v>404</v>
      </c>
      <c r="Z12" s="1256"/>
      <c r="AA12" s="1256"/>
      <c r="AB12" s="473">
        <v>0.06</v>
      </c>
    </row>
    <row r="13" spans="2:46" x14ac:dyDescent="0.3">
      <c r="B13" s="339"/>
      <c r="C13" s="635"/>
    </row>
    <row r="14" spans="2:46" x14ac:dyDescent="0.3">
      <c r="B14" s="307" t="s">
        <v>405</v>
      </c>
      <c r="C14" s="102" t="s">
        <v>406</v>
      </c>
      <c r="D14" s="338" t="s">
        <v>407</v>
      </c>
      <c r="E14" s="102" t="s">
        <v>408</v>
      </c>
      <c r="F14" s="338" t="s">
        <v>407</v>
      </c>
      <c r="G14" s="104" t="s">
        <v>409</v>
      </c>
      <c r="H14" s="338" t="s">
        <v>407</v>
      </c>
      <c r="I14" s="104" t="s">
        <v>410</v>
      </c>
      <c r="J14" s="338" t="s">
        <v>407</v>
      </c>
      <c r="K14" s="104" t="s">
        <v>411</v>
      </c>
      <c r="L14" s="338" t="s">
        <v>407</v>
      </c>
      <c r="M14" s="630"/>
      <c r="N14" s="102" t="s">
        <v>406</v>
      </c>
      <c r="O14" s="338" t="s">
        <v>407</v>
      </c>
      <c r="P14" s="102" t="s">
        <v>408</v>
      </c>
      <c r="Q14" s="338" t="s">
        <v>407</v>
      </c>
      <c r="R14" s="104" t="s">
        <v>409</v>
      </c>
      <c r="S14" s="338" t="s">
        <v>407</v>
      </c>
      <c r="T14" s="104" t="s">
        <v>410</v>
      </c>
      <c r="U14" s="338" t="s">
        <v>407</v>
      </c>
      <c r="V14" s="104" t="s">
        <v>411</v>
      </c>
      <c r="W14" s="338" t="s">
        <v>407</v>
      </c>
      <c r="X14" s="630"/>
      <c r="Y14" s="102" t="s">
        <v>406</v>
      </c>
      <c r="Z14" s="338" t="s">
        <v>407</v>
      </c>
      <c r="AA14" s="102" t="s">
        <v>408</v>
      </c>
      <c r="AB14" s="338" t="s">
        <v>407</v>
      </c>
      <c r="AC14" s="104" t="s">
        <v>409</v>
      </c>
      <c r="AD14" s="338" t="s">
        <v>407</v>
      </c>
      <c r="AE14" s="104" t="s">
        <v>410</v>
      </c>
      <c r="AF14" s="338" t="s">
        <v>407</v>
      </c>
      <c r="AG14" s="104" t="s">
        <v>411</v>
      </c>
      <c r="AH14" s="338" t="s">
        <v>407</v>
      </c>
      <c r="AN14" s="984" t="s">
        <v>412</v>
      </c>
      <c r="AO14" s="984" t="s">
        <v>413</v>
      </c>
      <c r="AP14" s="984" t="s">
        <v>414</v>
      </c>
    </row>
    <row r="15" spans="2:46" x14ac:dyDescent="0.3">
      <c r="B15" s="336" t="s">
        <v>415</v>
      </c>
      <c r="C15" s="663">
        <v>0</v>
      </c>
      <c r="D15" s="336"/>
      <c r="E15" s="663">
        <f>C15</f>
        <v>0</v>
      </c>
      <c r="F15" s="336"/>
      <c r="G15" s="664">
        <f>C15</f>
        <v>0</v>
      </c>
      <c r="H15" s="336"/>
      <c r="I15" s="664">
        <f>C15</f>
        <v>0</v>
      </c>
      <c r="J15" s="336"/>
      <c r="K15" s="663">
        <f>C15</f>
        <v>0</v>
      </c>
      <c r="L15" s="336"/>
      <c r="M15" s="23"/>
      <c r="N15" s="663">
        <v>0</v>
      </c>
      <c r="O15" s="336"/>
      <c r="P15" s="663">
        <f>N15</f>
        <v>0</v>
      </c>
      <c r="Q15" s="336"/>
      <c r="R15" s="664">
        <f>N15</f>
        <v>0</v>
      </c>
      <c r="S15" s="336"/>
      <c r="T15" s="664">
        <f>N15</f>
        <v>0</v>
      </c>
      <c r="U15" s="336"/>
      <c r="V15" s="663">
        <f>N15</f>
        <v>0</v>
      </c>
      <c r="W15" s="336"/>
      <c r="X15" s="644"/>
      <c r="Y15" s="663">
        <v>0</v>
      </c>
      <c r="Z15" s="336"/>
      <c r="AA15" s="663">
        <f>Y15</f>
        <v>0</v>
      </c>
      <c r="AB15" s="336"/>
      <c r="AC15" s="664">
        <f>Y15</f>
        <v>0</v>
      </c>
      <c r="AD15" s="336"/>
      <c r="AE15" s="664">
        <f>Y15</f>
        <v>0</v>
      </c>
      <c r="AF15" s="336"/>
      <c r="AG15" s="663">
        <f>Y15</f>
        <v>0</v>
      </c>
      <c r="AH15" s="336"/>
      <c r="AJ15" s="168" t="s">
        <v>416</v>
      </c>
      <c r="AL15" s="985">
        <f>AG15+V15+K15</f>
        <v>0</v>
      </c>
      <c r="AN15" s="620">
        <f>AKzondVERB!B13</f>
        <v>0</v>
      </c>
      <c r="AO15" s="620">
        <f>AKzondVERB!H13</f>
        <v>0</v>
      </c>
      <c r="AP15" s="620">
        <f>AKzondVERB!N13</f>
        <v>0</v>
      </c>
    </row>
    <row r="16" spans="2:46" outlineLevel="1" x14ac:dyDescent="0.3">
      <c r="B16" s="737" t="s">
        <v>417</v>
      </c>
      <c r="C16" s="738">
        <v>0</v>
      </c>
      <c r="D16" s="739"/>
      <c r="E16" s="738">
        <v>0</v>
      </c>
      <c r="F16" s="739"/>
      <c r="G16" s="738">
        <v>0</v>
      </c>
      <c r="H16" s="739"/>
      <c r="I16" s="738">
        <v>0</v>
      </c>
      <c r="J16" s="739"/>
      <c r="K16" s="738">
        <v>0</v>
      </c>
      <c r="L16" s="739"/>
      <c r="N16" s="738">
        <v>0</v>
      </c>
      <c r="O16" s="739"/>
      <c r="P16" s="738">
        <v>0</v>
      </c>
      <c r="Q16" s="739"/>
      <c r="R16" s="738">
        <v>0</v>
      </c>
      <c r="S16" s="739"/>
      <c r="T16" s="738">
        <v>0</v>
      </c>
      <c r="U16" s="739"/>
      <c r="V16" s="738">
        <v>0</v>
      </c>
      <c r="W16" s="739"/>
      <c r="Y16" s="738">
        <v>0</v>
      </c>
      <c r="Z16" s="739"/>
      <c r="AA16" s="738">
        <v>0</v>
      </c>
      <c r="AB16" s="739"/>
      <c r="AC16" s="738">
        <v>0</v>
      </c>
      <c r="AD16" s="739"/>
      <c r="AE16" s="738">
        <v>0</v>
      </c>
      <c r="AF16" s="739"/>
      <c r="AG16" s="738">
        <v>0</v>
      </c>
      <c r="AH16" s="739"/>
      <c r="AL16" s="985">
        <f t="shared" ref="AL16:AL80" si="0">AG16+V16+K16</f>
        <v>0</v>
      </c>
      <c r="AN16" s="620">
        <f t="shared" ref="AN16:AN50" si="1">IFERROR(K16*$AO$4/$AR$4,0)</f>
        <v>0</v>
      </c>
      <c r="AO16" s="620">
        <f t="shared" ref="AO16:AO50" si="2">IFERROR(K16*$AP$4/$AR$4,0)</f>
        <v>0</v>
      </c>
      <c r="AP16" s="620">
        <f t="shared" ref="AP16:AP50" si="3">IFERROR(K16*$AQ$4/$AR$4,0)</f>
        <v>0</v>
      </c>
    </row>
    <row r="17" spans="1:83" outlineLevel="1" x14ac:dyDescent="0.3">
      <c r="B17" s="737" t="s">
        <v>418</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985">
        <f t="shared" si="0"/>
        <v>0</v>
      </c>
      <c r="AN17" s="620">
        <f t="shared" si="1"/>
        <v>0</v>
      </c>
      <c r="AO17" s="620">
        <f t="shared" si="2"/>
        <v>0</v>
      </c>
      <c r="AP17" s="620">
        <f t="shared" si="3"/>
        <v>0</v>
      </c>
    </row>
    <row r="18" spans="1:83" outlineLevel="1" x14ac:dyDescent="0.3">
      <c r="B18" s="737" t="s">
        <v>419</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985">
        <f t="shared" si="0"/>
        <v>0</v>
      </c>
      <c r="AN18" s="620">
        <f t="shared" si="1"/>
        <v>0</v>
      </c>
      <c r="AO18" s="620">
        <f t="shared" si="2"/>
        <v>0</v>
      </c>
      <c r="AP18" s="620">
        <f t="shared" si="3"/>
        <v>0</v>
      </c>
    </row>
    <row r="19" spans="1:83" x14ac:dyDescent="0.3">
      <c r="B19" s="336" t="s">
        <v>420</v>
      </c>
      <c r="C19" s="663"/>
      <c r="D19" s="332"/>
      <c r="E19" s="663"/>
      <c r="F19" s="332"/>
      <c r="G19" s="664"/>
      <c r="H19" s="332"/>
      <c r="I19" s="664"/>
      <c r="J19" s="332"/>
      <c r="K19" s="663"/>
      <c r="L19" s="332"/>
      <c r="M19" s="51"/>
      <c r="N19" s="663"/>
      <c r="O19" s="332"/>
      <c r="P19" s="663"/>
      <c r="Q19" s="332"/>
      <c r="R19" s="664"/>
      <c r="S19" s="332"/>
      <c r="T19" s="664"/>
      <c r="U19" s="332"/>
      <c r="V19" s="663"/>
      <c r="W19" s="332"/>
      <c r="X19" s="645"/>
      <c r="Y19" s="663"/>
      <c r="Z19" s="332"/>
      <c r="AA19" s="663"/>
      <c r="AB19" s="332"/>
      <c r="AC19" s="664"/>
      <c r="AD19" s="332"/>
      <c r="AE19" s="664"/>
      <c r="AF19" s="332"/>
      <c r="AG19" s="663"/>
      <c r="AH19" s="332"/>
      <c r="AL19" s="985">
        <f t="shared" si="0"/>
        <v>0</v>
      </c>
      <c r="AN19" s="620">
        <f t="shared" si="1"/>
        <v>0</v>
      </c>
      <c r="AO19" s="620">
        <f t="shared" si="2"/>
        <v>0</v>
      </c>
      <c r="AP19" s="620">
        <f t="shared" si="3"/>
        <v>0</v>
      </c>
    </row>
    <row r="20" spans="1:83" s="168" customFormat="1" outlineLevel="1" x14ac:dyDescent="0.3">
      <c r="A20"/>
      <c r="B20" s="737" t="s">
        <v>421</v>
      </c>
      <c r="C20" s="738">
        <v>0</v>
      </c>
      <c r="D20" s="739"/>
      <c r="E20" s="738">
        <v>0</v>
      </c>
      <c r="F20" s="739"/>
      <c r="G20" s="738">
        <v>0</v>
      </c>
      <c r="H20" s="739"/>
      <c r="I20" s="738">
        <v>0</v>
      </c>
      <c r="J20" s="739"/>
      <c r="K20" s="738">
        <v>0</v>
      </c>
      <c r="L20" s="739"/>
      <c r="M20"/>
      <c r="N20" s="738">
        <v>0</v>
      </c>
      <c r="O20" s="739"/>
      <c r="P20" s="738">
        <v>0</v>
      </c>
      <c r="Q20" s="739"/>
      <c r="R20" s="738">
        <v>0</v>
      </c>
      <c r="S20" s="739"/>
      <c r="T20" s="738">
        <v>0</v>
      </c>
      <c r="U20" s="739"/>
      <c r="V20" s="738">
        <v>0</v>
      </c>
      <c r="W20" s="739"/>
      <c r="X20"/>
      <c r="Y20" s="738">
        <v>0</v>
      </c>
      <c r="Z20" s="739"/>
      <c r="AA20" s="738">
        <v>0</v>
      </c>
      <c r="AB20" s="739"/>
      <c r="AC20" s="738">
        <v>0</v>
      </c>
      <c r="AD20" s="739"/>
      <c r="AE20" s="738">
        <v>0</v>
      </c>
      <c r="AF20" s="739"/>
      <c r="AG20" s="738">
        <v>0</v>
      </c>
      <c r="AH20" s="739"/>
      <c r="AL20" s="985">
        <f t="shared" si="0"/>
        <v>0</v>
      </c>
      <c r="AN20" s="620">
        <f t="shared" si="1"/>
        <v>0</v>
      </c>
      <c r="AO20" s="620">
        <f t="shared" si="2"/>
        <v>0</v>
      </c>
      <c r="AP20" s="620">
        <f t="shared" si="3"/>
        <v>0</v>
      </c>
      <c r="CD20"/>
      <c r="CE20"/>
    </row>
    <row r="21" spans="1:83" s="168" customFormat="1" outlineLevel="1" x14ac:dyDescent="0.3">
      <c r="A21"/>
      <c r="B21" s="737" t="s">
        <v>422</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L21" s="985">
        <f t="shared" si="0"/>
        <v>0</v>
      </c>
      <c r="AN21" s="620">
        <f t="shared" si="1"/>
        <v>0</v>
      </c>
      <c r="AO21" s="620">
        <f t="shared" si="2"/>
        <v>0</v>
      </c>
      <c r="AP21" s="620">
        <f t="shared" si="3"/>
        <v>0</v>
      </c>
      <c r="CD21"/>
      <c r="CE21"/>
    </row>
    <row r="22" spans="1:83" s="168" customFormat="1" outlineLevel="1" x14ac:dyDescent="0.3">
      <c r="A22"/>
      <c r="B22" s="737" t="s">
        <v>423</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L22" s="985">
        <f t="shared" si="0"/>
        <v>0</v>
      </c>
      <c r="AN22" s="620">
        <f t="shared" si="1"/>
        <v>0</v>
      </c>
      <c r="AO22" s="620">
        <f t="shared" si="2"/>
        <v>0</v>
      </c>
      <c r="AP22" s="620">
        <f t="shared" si="3"/>
        <v>0</v>
      </c>
      <c r="CD22"/>
      <c r="CE22"/>
    </row>
    <row r="23" spans="1:83" s="168" customFormat="1" x14ac:dyDescent="0.3">
      <c r="A23"/>
      <c r="B23" s="336" t="s">
        <v>123</v>
      </c>
      <c r="C23" s="663">
        <v>0</v>
      </c>
      <c r="D23" s="335"/>
      <c r="E23" s="663">
        <f>C23</f>
        <v>0</v>
      </c>
      <c r="F23" s="335"/>
      <c r="G23" s="664"/>
      <c r="H23" s="335"/>
      <c r="I23" s="664"/>
      <c r="J23" s="335"/>
      <c r="K23" s="663"/>
      <c r="L23" s="335"/>
      <c r="M23" s="39"/>
      <c r="N23" s="663">
        <v>0</v>
      </c>
      <c r="O23" s="335"/>
      <c r="P23" s="663">
        <f>N23</f>
        <v>0</v>
      </c>
      <c r="Q23" s="335"/>
      <c r="R23" s="664"/>
      <c r="S23" s="335"/>
      <c r="T23" s="664"/>
      <c r="U23" s="335"/>
      <c r="V23" s="663"/>
      <c r="W23" s="335"/>
      <c r="X23" s="646"/>
      <c r="Y23" s="663">
        <v>0</v>
      </c>
      <c r="Z23" s="335"/>
      <c r="AA23" s="663">
        <f>Y23</f>
        <v>0</v>
      </c>
      <c r="AB23" s="335"/>
      <c r="AC23" s="664"/>
      <c r="AD23" s="335"/>
      <c r="AE23" s="664"/>
      <c r="AF23" s="335"/>
      <c r="AG23" s="663"/>
      <c r="AH23" s="335"/>
      <c r="AJ23" s="204" t="s">
        <v>424</v>
      </c>
      <c r="AL23" s="985">
        <f t="shared" si="0"/>
        <v>0</v>
      </c>
      <c r="AN23" s="620">
        <f t="shared" si="1"/>
        <v>0</v>
      </c>
      <c r="AO23" s="620">
        <f t="shared" si="2"/>
        <v>0</v>
      </c>
      <c r="AP23" s="620">
        <f t="shared" si="3"/>
        <v>0</v>
      </c>
      <c r="CD23"/>
      <c r="CE23"/>
    </row>
    <row r="24" spans="1:83" s="168" customFormat="1" outlineLevel="1" x14ac:dyDescent="0.3">
      <c r="A24"/>
      <c r="B24" s="737" t="s">
        <v>425</v>
      </c>
      <c r="C24" s="740">
        <v>0</v>
      </c>
      <c r="D24" s="741">
        <f t="shared" ref="D24:D29" si="4">$F$9</f>
        <v>0</v>
      </c>
      <c r="E24" s="740">
        <v>0</v>
      </c>
      <c r="F24" s="741">
        <f t="shared" ref="F24:F29" si="5">$F$9</f>
        <v>0</v>
      </c>
      <c r="G24" s="740">
        <v>0</v>
      </c>
      <c r="H24" s="741">
        <f t="shared" ref="H24:H29" si="6">$F$9</f>
        <v>0</v>
      </c>
      <c r="I24" s="740">
        <v>0</v>
      </c>
      <c r="J24" s="741">
        <f t="shared" ref="J24:J29" si="7">$F$9</f>
        <v>0</v>
      </c>
      <c r="K24" s="740">
        <v>0</v>
      </c>
      <c r="L24" s="741">
        <f t="shared" ref="L24:L29" si="8">$F$9</f>
        <v>0</v>
      </c>
      <c r="M24" s="629"/>
      <c r="N24" s="740">
        <v>0</v>
      </c>
      <c r="O24" s="741">
        <f>$Q$9</f>
        <v>0</v>
      </c>
      <c r="P24" s="740">
        <v>0</v>
      </c>
      <c r="Q24" s="741">
        <f>$AB$9</f>
        <v>0</v>
      </c>
      <c r="R24" s="740">
        <v>0</v>
      </c>
      <c r="S24" s="741">
        <f>$AB$9</f>
        <v>0</v>
      </c>
      <c r="T24" s="740">
        <v>0</v>
      </c>
      <c r="U24" s="741">
        <f>$AB$9</f>
        <v>0</v>
      </c>
      <c r="V24" s="740">
        <v>0</v>
      </c>
      <c r="W24" s="741">
        <f>$AB$9</f>
        <v>0</v>
      </c>
      <c r="X24" s="647"/>
      <c r="Y24" s="740">
        <v>0</v>
      </c>
      <c r="Z24" s="741">
        <f>$AB$9</f>
        <v>0</v>
      </c>
      <c r="AA24" s="740">
        <v>0</v>
      </c>
      <c r="AB24" s="741">
        <f>$AB$9</f>
        <v>0</v>
      </c>
      <c r="AC24" s="740">
        <v>0</v>
      </c>
      <c r="AD24" s="741">
        <f>$AB$9</f>
        <v>0</v>
      </c>
      <c r="AE24" s="740">
        <v>0</v>
      </c>
      <c r="AF24" s="741">
        <f>$AB$9</f>
        <v>0</v>
      </c>
      <c r="AG24" s="740">
        <v>0</v>
      </c>
      <c r="AH24" s="741">
        <f>$AB$9</f>
        <v>0</v>
      </c>
      <c r="AJ24" s="168" t="s">
        <v>426</v>
      </c>
      <c r="AL24" s="985">
        <f t="shared" si="0"/>
        <v>0</v>
      </c>
      <c r="AN24" s="620">
        <f t="shared" si="1"/>
        <v>0</v>
      </c>
      <c r="AO24" s="620">
        <f t="shared" si="2"/>
        <v>0</v>
      </c>
      <c r="AP24" s="620">
        <f t="shared" si="3"/>
        <v>0</v>
      </c>
      <c r="CD24"/>
      <c r="CE24"/>
    </row>
    <row r="25" spans="1:83" s="168" customFormat="1" outlineLevel="1" x14ac:dyDescent="0.3">
      <c r="A25"/>
      <c r="B25" s="737" t="s">
        <v>427</v>
      </c>
      <c r="C25" s="740">
        <v>0</v>
      </c>
      <c r="D25" s="741">
        <f t="shared" si="4"/>
        <v>0</v>
      </c>
      <c r="E25" s="740">
        <v>0</v>
      </c>
      <c r="F25" s="741">
        <f t="shared" si="5"/>
        <v>0</v>
      </c>
      <c r="G25" s="740">
        <v>0</v>
      </c>
      <c r="H25" s="741">
        <f t="shared" si="6"/>
        <v>0</v>
      </c>
      <c r="I25" s="740">
        <v>0</v>
      </c>
      <c r="J25" s="741">
        <f t="shared" si="7"/>
        <v>0</v>
      </c>
      <c r="K25" s="740">
        <v>0</v>
      </c>
      <c r="L25" s="741">
        <f t="shared" si="8"/>
        <v>0</v>
      </c>
      <c r="M25" s="629"/>
      <c r="N25" s="740">
        <v>0</v>
      </c>
      <c r="O25" s="741">
        <f t="shared" ref="O25:O29" si="9">$Q$9</f>
        <v>0</v>
      </c>
      <c r="P25" s="740">
        <v>0</v>
      </c>
      <c r="Q25" s="741">
        <f t="shared" ref="Q25:W29" si="10">$AB$9</f>
        <v>0</v>
      </c>
      <c r="R25" s="740">
        <v>0</v>
      </c>
      <c r="S25" s="741">
        <f t="shared" si="10"/>
        <v>0</v>
      </c>
      <c r="T25" s="740">
        <v>0</v>
      </c>
      <c r="U25" s="741">
        <f t="shared" si="10"/>
        <v>0</v>
      </c>
      <c r="V25" s="740">
        <v>0</v>
      </c>
      <c r="W25" s="741">
        <f t="shared" si="10"/>
        <v>0</v>
      </c>
      <c r="X25" s="647"/>
      <c r="Y25" s="740">
        <v>0</v>
      </c>
      <c r="Z25" s="741">
        <f t="shared" ref="Z25:Z29" si="11">$AB$9</f>
        <v>0</v>
      </c>
      <c r="AA25" s="740">
        <v>0</v>
      </c>
      <c r="AB25" s="741">
        <f t="shared" ref="AB25:AH29" si="12">$AB$9</f>
        <v>0</v>
      </c>
      <c r="AC25" s="740">
        <v>0</v>
      </c>
      <c r="AD25" s="741">
        <f t="shared" si="12"/>
        <v>0</v>
      </c>
      <c r="AE25" s="740">
        <v>0</v>
      </c>
      <c r="AF25" s="741">
        <f t="shared" si="12"/>
        <v>0</v>
      </c>
      <c r="AG25" s="740">
        <v>0</v>
      </c>
      <c r="AH25" s="741">
        <f t="shared" si="12"/>
        <v>0</v>
      </c>
      <c r="AL25" s="985">
        <f t="shared" si="0"/>
        <v>0</v>
      </c>
      <c r="AN25" s="620">
        <f t="shared" si="1"/>
        <v>0</v>
      </c>
      <c r="AO25" s="620">
        <f t="shared" si="2"/>
        <v>0</v>
      </c>
      <c r="AP25" s="620">
        <f t="shared" si="3"/>
        <v>0</v>
      </c>
      <c r="CD25"/>
      <c r="CE25"/>
    </row>
    <row r="26" spans="1:83" outlineLevel="1" x14ac:dyDescent="0.3">
      <c r="B26" s="737" t="s">
        <v>428</v>
      </c>
      <c r="C26" s="740">
        <v>0</v>
      </c>
      <c r="D26" s="741">
        <f t="shared" si="4"/>
        <v>0</v>
      </c>
      <c r="E26" s="740">
        <v>0</v>
      </c>
      <c r="F26" s="741">
        <f t="shared" si="5"/>
        <v>0</v>
      </c>
      <c r="G26" s="740">
        <v>0</v>
      </c>
      <c r="H26" s="741">
        <f t="shared" si="6"/>
        <v>0</v>
      </c>
      <c r="I26" s="740">
        <v>0</v>
      </c>
      <c r="J26" s="741">
        <f t="shared" si="7"/>
        <v>0</v>
      </c>
      <c r="K26" s="740">
        <v>0</v>
      </c>
      <c r="L26" s="741">
        <f t="shared" si="8"/>
        <v>0</v>
      </c>
      <c r="M26" s="629"/>
      <c r="N26" s="740">
        <v>0</v>
      </c>
      <c r="O26" s="741">
        <f t="shared" si="9"/>
        <v>0</v>
      </c>
      <c r="P26" s="740">
        <v>0</v>
      </c>
      <c r="Q26" s="741">
        <f t="shared" si="10"/>
        <v>0</v>
      </c>
      <c r="R26" s="740">
        <v>0</v>
      </c>
      <c r="S26" s="741">
        <f t="shared" si="10"/>
        <v>0</v>
      </c>
      <c r="T26" s="740">
        <v>0</v>
      </c>
      <c r="U26" s="741">
        <f t="shared" si="10"/>
        <v>0</v>
      </c>
      <c r="V26" s="740">
        <v>0</v>
      </c>
      <c r="W26" s="741">
        <f t="shared" si="10"/>
        <v>0</v>
      </c>
      <c r="X26" s="647"/>
      <c r="Y26" s="740">
        <v>0</v>
      </c>
      <c r="Z26" s="741">
        <f t="shared" si="11"/>
        <v>0</v>
      </c>
      <c r="AA26" s="740">
        <v>0</v>
      </c>
      <c r="AB26" s="741">
        <f t="shared" si="12"/>
        <v>0</v>
      </c>
      <c r="AC26" s="740">
        <v>0</v>
      </c>
      <c r="AD26" s="741">
        <f t="shared" si="12"/>
        <v>0</v>
      </c>
      <c r="AE26" s="740">
        <v>0</v>
      </c>
      <c r="AF26" s="741">
        <f t="shared" si="12"/>
        <v>0</v>
      </c>
      <c r="AG26" s="740">
        <v>0</v>
      </c>
      <c r="AH26" s="741">
        <f t="shared" si="12"/>
        <v>0</v>
      </c>
      <c r="AL26" s="985">
        <f t="shared" si="0"/>
        <v>0</v>
      </c>
      <c r="AN26" s="620">
        <f t="shared" si="1"/>
        <v>0</v>
      </c>
      <c r="AO26" s="620">
        <f t="shared" si="2"/>
        <v>0</v>
      </c>
      <c r="AP26" s="620">
        <f t="shared" si="3"/>
        <v>0</v>
      </c>
    </row>
    <row r="27" spans="1:83" outlineLevel="1" x14ac:dyDescent="0.3">
      <c r="B27" s="744" t="s">
        <v>497</v>
      </c>
      <c r="C27" s="740">
        <v>0</v>
      </c>
      <c r="D27" s="741">
        <f t="shared" si="4"/>
        <v>0</v>
      </c>
      <c r="E27" s="740">
        <v>0</v>
      </c>
      <c r="F27" s="741">
        <f t="shared" si="5"/>
        <v>0</v>
      </c>
      <c r="G27" s="740">
        <v>0</v>
      </c>
      <c r="H27" s="741">
        <f t="shared" si="6"/>
        <v>0</v>
      </c>
      <c r="I27" s="740">
        <v>0</v>
      </c>
      <c r="J27" s="741">
        <f t="shared" si="7"/>
        <v>0</v>
      </c>
      <c r="K27" s="740">
        <v>0</v>
      </c>
      <c r="L27" s="741">
        <f t="shared" si="8"/>
        <v>0</v>
      </c>
      <c r="M27" s="629"/>
      <c r="N27" s="740">
        <v>0</v>
      </c>
      <c r="O27" s="741">
        <f t="shared" si="9"/>
        <v>0</v>
      </c>
      <c r="P27" s="740">
        <v>0</v>
      </c>
      <c r="Q27" s="741">
        <f t="shared" si="10"/>
        <v>0</v>
      </c>
      <c r="R27" s="740">
        <v>0</v>
      </c>
      <c r="S27" s="741">
        <f t="shared" si="10"/>
        <v>0</v>
      </c>
      <c r="T27" s="740">
        <v>0</v>
      </c>
      <c r="U27" s="741">
        <f t="shared" si="10"/>
        <v>0</v>
      </c>
      <c r="V27" s="740">
        <v>0</v>
      </c>
      <c r="W27" s="741">
        <f t="shared" si="10"/>
        <v>0</v>
      </c>
      <c r="X27" s="647"/>
      <c r="Y27" s="740">
        <v>0</v>
      </c>
      <c r="Z27" s="741">
        <f t="shared" si="11"/>
        <v>0</v>
      </c>
      <c r="AA27" s="740">
        <v>0</v>
      </c>
      <c r="AB27" s="741">
        <f t="shared" si="12"/>
        <v>0</v>
      </c>
      <c r="AC27" s="740">
        <v>0</v>
      </c>
      <c r="AD27" s="741">
        <f t="shared" si="12"/>
        <v>0</v>
      </c>
      <c r="AE27" s="740">
        <v>0</v>
      </c>
      <c r="AF27" s="741">
        <f t="shared" si="12"/>
        <v>0</v>
      </c>
      <c r="AG27" s="740">
        <v>0</v>
      </c>
      <c r="AH27" s="741">
        <f t="shared" si="12"/>
        <v>0</v>
      </c>
      <c r="AL27" s="985">
        <f t="shared" si="0"/>
        <v>0</v>
      </c>
      <c r="AN27" s="620">
        <f t="shared" si="1"/>
        <v>0</v>
      </c>
      <c r="AO27" s="620">
        <f t="shared" si="2"/>
        <v>0</v>
      </c>
      <c r="AP27" s="620">
        <f t="shared" si="3"/>
        <v>0</v>
      </c>
    </row>
    <row r="28" spans="1:83" outlineLevel="1" x14ac:dyDescent="0.3">
      <c r="B28" s="737" t="s">
        <v>430</v>
      </c>
      <c r="C28" s="740">
        <v>0</v>
      </c>
      <c r="D28" s="741">
        <f t="shared" si="4"/>
        <v>0</v>
      </c>
      <c r="E28" s="740">
        <v>0</v>
      </c>
      <c r="F28" s="741">
        <f t="shared" si="5"/>
        <v>0</v>
      </c>
      <c r="G28" s="740">
        <v>0</v>
      </c>
      <c r="H28" s="741">
        <f t="shared" si="6"/>
        <v>0</v>
      </c>
      <c r="I28" s="740">
        <v>0</v>
      </c>
      <c r="J28" s="741">
        <f t="shared" si="7"/>
        <v>0</v>
      </c>
      <c r="K28" s="740">
        <v>0</v>
      </c>
      <c r="L28" s="741">
        <f t="shared" si="8"/>
        <v>0</v>
      </c>
      <c r="M28" s="629"/>
      <c r="N28" s="740">
        <v>0</v>
      </c>
      <c r="O28" s="741">
        <f t="shared" si="9"/>
        <v>0</v>
      </c>
      <c r="P28" s="740">
        <v>0</v>
      </c>
      <c r="Q28" s="741">
        <f t="shared" si="10"/>
        <v>0</v>
      </c>
      <c r="R28" s="740">
        <v>0</v>
      </c>
      <c r="S28" s="741">
        <f t="shared" si="10"/>
        <v>0</v>
      </c>
      <c r="T28" s="740">
        <v>0</v>
      </c>
      <c r="U28" s="741">
        <f t="shared" si="10"/>
        <v>0</v>
      </c>
      <c r="V28" s="740">
        <v>0</v>
      </c>
      <c r="W28" s="741">
        <f t="shared" si="10"/>
        <v>0</v>
      </c>
      <c r="X28" s="647"/>
      <c r="Y28" s="740">
        <v>0</v>
      </c>
      <c r="Z28" s="741">
        <f t="shared" si="11"/>
        <v>0</v>
      </c>
      <c r="AA28" s="740">
        <v>0</v>
      </c>
      <c r="AB28" s="741">
        <f t="shared" si="12"/>
        <v>0</v>
      </c>
      <c r="AC28" s="740">
        <v>0</v>
      </c>
      <c r="AD28" s="741">
        <f t="shared" si="12"/>
        <v>0</v>
      </c>
      <c r="AE28" s="740">
        <v>0</v>
      </c>
      <c r="AF28" s="741">
        <f t="shared" si="12"/>
        <v>0</v>
      </c>
      <c r="AG28" s="740">
        <v>0</v>
      </c>
      <c r="AH28" s="741">
        <f t="shared" si="12"/>
        <v>0</v>
      </c>
      <c r="AL28" s="985">
        <f t="shared" si="0"/>
        <v>0</v>
      </c>
      <c r="AN28" s="620">
        <f t="shared" si="1"/>
        <v>0</v>
      </c>
      <c r="AO28" s="620">
        <f t="shared" si="2"/>
        <v>0</v>
      </c>
      <c r="AP28" s="620">
        <f t="shared" si="3"/>
        <v>0</v>
      </c>
    </row>
    <row r="29" spans="1:83" outlineLevel="1" x14ac:dyDescent="0.3">
      <c r="B29" s="737" t="s">
        <v>431</v>
      </c>
      <c r="C29" s="740">
        <f>C23-SUM(C24:C28)</f>
        <v>0</v>
      </c>
      <c r="D29" s="741">
        <f t="shared" si="4"/>
        <v>0</v>
      </c>
      <c r="E29" s="740">
        <f>E23-SUM(E24:E28)</f>
        <v>0</v>
      </c>
      <c r="F29" s="741">
        <f t="shared" si="5"/>
        <v>0</v>
      </c>
      <c r="G29" s="740">
        <f>G23-SUM(G24:G28)</f>
        <v>0</v>
      </c>
      <c r="H29" s="741">
        <f t="shared" si="6"/>
        <v>0</v>
      </c>
      <c r="I29" s="740">
        <f>I23-SUM(I24:I28)</f>
        <v>0</v>
      </c>
      <c r="J29" s="741">
        <f t="shared" si="7"/>
        <v>0</v>
      </c>
      <c r="K29" s="740">
        <f>K23-SUM(K24:K28)</f>
        <v>0</v>
      </c>
      <c r="L29" s="741">
        <f t="shared" si="8"/>
        <v>0</v>
      </c>
      <c r="M29" s="629"/>
      <c r="N29" s="740">
        <f>N23-SUM(N24:N28)</f>
        <v>0</v>
      </c>
      <c r="O29" s="741">
        <f t="shared" si="9"/>
        <v>0</v>
      </c>
      <c r="P29" s="740">
        <f>P23-SUM(P24:P28)</f>
        <v>0</v>
      </c>
      <c r="Q29" s="741">
        <f t="shared" si="10"/>
        <v>0</v>
      </c>
      <c r="R29" s="740">
        <f>R23-SUM(R24:R28)</f>
        <v>0</v>
      </c>
      <c r="S29" s="741">
        <f t="shared" si="10"/>
        <v>0</v>
      </c>
      <c r="T29" s="740">
        <f>T23-SUM(T24:T28)</f>
        <v>0</v>
      </c>
      <c r="U29" s="741">
        <f t="shared" si="10"/>
        <v>0</v>
      </c>
      <c r="V29" s="740">
        <f>V23-SUM(V24:V28)</f>
        <v>0</v>
      </c>
      <c r="W29" s="741">
        <f t="shared" si="10"/>
        <v>0</v>
      </c>
      <c r="X29" s="647"/>
      <c r="Y29" s="740">
        <f>Y23-SUM(Y24:Y28)</f>
        <v>0</v>
      </c>
      <c r="Z29" s="741">
        <f t="shared" si="11"/>
        <v>0</v>
      </c>
      <c r="AA29" s="740">
        <f>AA23-SUM(AA24:AA28)</f>
        <v>0</v>
      </c>
      <c r="AB29" s="741">
        <f t="shared" si="12"/>
        <v>0</v>
      </c>
      <c r="AC29" s="740">
        <f>AC23-SUM(AC24:AC28)</f>
        <v>0</v>
      </c>
      <c r="AD29" s="741">
        <f t="shared" si="12"/>
        <v>0</v>
      </c>
      <c r="AE29" s="740">
        <f>AE23-SUM(AE24:AE28)</f>
        <v>0</v>
      </c>
      <c r="AF29" s="741">
        <f t="shared" si="12"/>
        <v>0</v>
      </c>
      <c r="AG29" s="740">
        <f>AG23-SUM(AG24:AG28)</f>
        <v>0</v>
      </c>
      <c r="AH29" s="741">
        <f t="shared" si="12"/>
        <v>0</v>
      </c>
      <c r="AJ29" s="168" t="s">
        <v>432</v>
      </c>
      <c r="AL29" s="985">
        <f t="shared" si="0"/>
        <v>0</v>
      </c>
      <c r="AN29" s="620">
        <f t="shared" si="1"/>
        <v>0</v>
      </c>
      <c r="AO29" s="620">
        <f t="shared" si="2"/>
        <v>0</v>
      </c>
      <c r="AP29" s="620">
        <f t="shared" si="3"/>
        <v>0</v>
      </c>
    </row>
    <row r="30" spans="1:83" x14ac:dyDescent="0.3">
      <c r="B30" s="336" t="s">
        <v>124</v>
      </c>
      <c r="C30" s="663">
        <v>0</v>
      </c>
      <c r="D30" s="335"/>
      <c r="E30" s="663">
        <f>C30</f>
        <v>0</v>
      </c>
      <c r="F30" s="335"/>
      <c r="G30" s="664"/>
      <c r="H30" s="335"/>
      <c r="I30" s="664"/>
      <c r="J30" s="335"/>
      <c r="K30" s="663"/>
      <c r="L30" s="335"/>
      <c r="M30" s="629"/>
      <c r="N30" s="663">
        <v>0</v>
      </c>
      <c r="O30" s="335"/>
      <c r="P30" s="663">
        <f>N30</f>
        <v>0</v>
      </c>
      <c r="Q30" s="335"/>
      <c r="R30" s="664"/>
      <c r="S30" s="335"/>
      <c r="T30" s="664"/>
      <c r="U30" s="335"/>
      <c r="V30" s="663"/>
      <c r="W30" s="335"/>
      <c r="X30" s="647"/>
      <c r="Y30" s="663">
        <v>0</v>
      </c>
      <c r="Z30" s="335"/>
      <c r="AA30" s="663">
        <f>Y30</f>
        <v>0</v>
      </c>
      <c r="AB30" s="335"/>
      <c r="AC30" s="664"/>
      <c r="AD30" s="335"/>
      <c r="AE30" s="664"/>
      <c r="AF30" s="335"/>
      <c r="AG30" s="663"/>
      <c r="AH30" s="335"/>
      <c r="AL30" s="985">
        <f t="shared" si="0"/>
        <v>0</v>
      </c>
      <c r="AN30" s="620">
        <f t="shared" si="1"/>
        <v>0</v>
      </c>
      <c r="AO30" s="620">
        <f t="shared" si="2"/>
        <v>0</v>
      </c>
      <c r="AP30" s="620">
        <f t="shared" si="3"/>
        <v>0</v>
      </c>
    </row>
    <row r="31" spans="1:83" outlineLevel="1" x14ac:dyDescent="0.3">
      <c r="B31" s="737" t="s">
        <v>433</v>
      </c>
      <c r="C31" s="740">
        <v>0</v>
      </c>
      <c r="D31" s="741">
        <f t="shared" ref="D31:D37" si="13">$F$9</f>
        <v>0</v>
      </c>
      <c r="E31" s="740">
        <v>0</v>
      </c>
      <c r="F31" s="741">
        <f t="shared" ref="F31:F37" si="14">$F$9</f>
        <v>0</v>
      </c>
      <c r="G31" s="740">
        <v>0</v>
      </c>
      <c r="H31" s="741">
        <f t="shared" ref="H31:H37" si="15">$F$9</f>
        <v>0</v>
      </c>
      <c r="I31" s="740">
        <v>0</v>
      </c>
      <c r="J31" s="741">
        <f t="shared" ref="J31:J37" si="16">$F$9</f>
        <v>0</v>
      </c>
      <c r="K31" s="740">
        <v>0</v>
      </c>
      <c r="L31" s="741">
        <f t="shared" ref="L31:L37" si="17">$F$9</f>
        <v>0</v>
      </c>
      <c r="M31" s="629"/>
      <c r="N31" s="740">
        <v>0</v>
      </c>
      <c r="O31" s="741">
        <f>$Q$9</f>
        <v>0</v>
      </c>
      <c r="P31" s="740">
        <v>0</v>
      </c>
      <c r="Q31" s="741">
        <f>$AB$9</f>
        <v>0</v>
      </c>
      <c r="R31" s="740">
        <v>0</v>
      </c>
      <c r="S31" s="741">
        <f>$AB$9</f>
        <v>0</v>
      </c>
      <c r="T31" s="740">
        <v>0</v>
      </c>
      <c r="U31" s="741">
        <f>$AB$9</f>
        <v>0</v>
      </c>
      <c r="V31" s="740">
        <v>0</v>
      </c>
      <c r="W31" s="741">
        <f>$AB$9</f>
        <v>0</v>
      </c>
      <c r="X31" s="647"/>
      <c r="Y31" s="740">
        <v>0</v>
      </c>
      <c r="Z31" s="741">
        <f>$AB$9</f>
        <v>0</v>
      </c>
      <c r="AA31" s="740">
        <v>0</v>
      </c>
      <c r="AB31" s="741">
        <f>$AB$9</f>
        <v>0</v>
      </c>
      <c r="AC31" s="740">
        <v>0</v>
      </c>
      <c r="AD31" s="741">
        <f>$AB$9</f>
        <v>0</v>
      </c>
      <c r="AE31" s="740">
        <v>0</v>
      </c>
      <c r="AF31" s="741">
        <f>$AB$9</f>
        <v>0</v>
      </c>
      <c r="AG31" s="740">
        <v>0</v>
      </c>
      <c r="AH31" s="741">
        <f>$AB$9</f>
        <v>0</v>
      </c>
      <c r="AL31" s="985">
        <f t="shared" si="0"/>
        <v>0</v>
      </c>
      <c r="AN31" s="620">
        <f t="shared" si="1"/>
        <v>0</v>
      </c>
      <c r="AO31" s="620">
        <f t="shared" si="2"/>
        <v>0</v>
      </c>
      <c r="AP31" s="620">
        <f t="shared" si="3"/>
        <v>0</v>
      </c>
    </row>
    <row r="32" spans="1:83" outlineLevel="1" x14ac:dyDescent="0.3">
      <c r="B32" s="737" t="s">
        <v>434</v>
      </c>
      <c r="C32" s="740">
        <v>0</v>
      </c>
      <c r="D32" s="741">
        <f t="shared" si="13"/>
        <v>0</v>
      </c>
      <c r="E32" s="740">
        <v>0</v>
      </c>
      <c r="F32" s="741">
        <f t="shared" si="14"/>
        <v>0</v>
      </c>
      <c r="G32" s="740">
        <v>0</v>
      </c>
      <c r="H32" s="741">
        <f t="shared" si="15"/>
        <v>0</v>
      </c>
      <c r="I32" s="740">
        <v>0</v>
      </c>
      <c r="J32" s="741">
        <f t="shared" si="16"/>
        <v>0</v>
      </c>
      <c r="K32" s="740">
        <v>0</v>
      </c>
      <c r="L32" s="741">
        <f t="shared" si="17"/>
        <v>0</v>
      </c>
      <c r="M32" s="629"/>
      <c r="N32" s="740">
        <v>0</v>
      </c>
      <c r="O32" s="741">
        <f t="shared" ref="O32:O36" si="18">$Q$9</f>
        <v>0</v>
      </c>
      <c r="P32" s="740">
        <v>0</v>
      </c>
      <c r="Q32" s="741">
        <f t="shared" ref="Q32:W37" si="19">$AB$9</f>
        <v>0</v>
      </c>
      <c r="R32" s="740">
        <v>0</v>
      </c>
      <c r="S32" s="741">
        <f t="shared" si="19"/>
        <v>0</v>
      </c>
      <c r="T32" s="740">
        <v>0</v>
      </c>
      <c r="U32" s="741">
        <f t="shared" si="19"/>
        <v>0</v>
      </c>
      <c r="V32" s="740">
        <v>0</v>
      </c>
      <c r="W32" s="741">
        <f t="shared" si="19"/>
        <v>0</v>
      </c>
      <c r="X32" s="647"/>
      <c r="Y32" s="740">
        <v>0</v>
      </c>
      <c r="Z32" s="741">
        <f t="shared" ref="Z32:Z37" si="20">$AB$9</f>
        <v>0</v>
      </c>
      <c r="AA32" s="740">
        <v>0</v>
      </c>
      <c r="AB32" s="741">
        <f t="shared" ref="AB32:AH37" si="21">$AB$9</f>
        <v>0</v>
      </c>
      <c r="AC32" s="740">
        <v>0</v>
      </c>
      <c r="AD32" s="741">
        <f t="shared" si="21"/>
        <v>0</v>
      </c>
      <c r="AE32" s="740">
        <v>0</v>
      </c>
      <c r="AF32" s="741">
        <f t="shared" si="21"/>
        <v>0</v>
      </c>
      <c r="AG32" s="740">
        <v>0</v>
      </c>
      <c r="AH32" s="741">
        <f t="shared" si="21"/>
        <v>0</v>
      </c>
      <c r="AL32" s="985">
        <f t="shared" si="0"/>
        <v>0</v>
      </c>
      <c r="AN32" s="620">
        <f t="shared" si="1"/>
        <v>0</v>
      </c>
      <c r="AO32" s="620">
        <f t="shared" si="2"/>
        <v>0</v>
      </c>
      <c r="AP32" s="620">
        <f t="shared" si="3"/>
        <v>0</v>
      </c>
    </row>
    <row r="33" spans="2:42" outlineLevel="1" x14ac:dyDescent="0.3">
      <c r="B33" s="737" t="s">
        <v>435</v>
      </c>
      <c r="C33" s="740">
        <v>0</v>
      </c>
      <c r="D33" s="741">
        <f t="shared" si="13"/>
        <v>0</v>
      </c>
      <c r="E33" s="740">
        <v>0</v>
      </c>
      <c r="F33" s="741">
        <f t="shared" si="14"/>
        <v>0</v>
      </c>
      <c r="G33" s="740">
        <v>0</v>
      </c>
      <c r="H33" s="741">
        <f t="shared" si="15"/>
        <v>0</v>
      </c>
      <c r="I33" s="740">
        <v>0</v>
      </c>
      <c r="J33" s="741">
        <f t="shared" si="16"/>
        <v>0</v>
      </c>
      <c r="K33" s="740">
        <v>0</v>
      </c>
      <c r="L33" s="741">
        <f t="shared" si="17"/>
        <v>0</v>
      </c>
      <c r="M33" s="629"/>
      <c r="N33" s="740">
        <v>0</v>
      </c>
      <c r="O33" s="741">
        <f t="shared" si="18"/>
        <v>0</v>
      </c>
      <c r="P33" s="740">
        <v>0</v>
      </c>
      <c r="Q33" s="741">
        <f t="shared" si="19"/>
        <v>0</v>
      </c>
      <c r="R33" s="740">
        <v>0</v>
      </c>
      <c r="S33" s="741">
        <f t="shared" si="19"/>
        <v>0</v>
      </c>
      <c r="T33" s="740">
        <v>0</v>
      </c>
      <c r="U33" s="741">
        <f t="shared" si="19"/>
        <v>0</v>
      </c>
      <c r="V33" s="740">
        <v>0</v>
      </c>
      <c r="W33" s="741">
        <f t="shared" si="19"/>
        <v>0</v>
      </c>
      <c r="X33" s="647"/>
      <c r="Y33" s="740">
        <v>0</v>
      </c>
      <c r="Z33" s="741">
        <f t="shared" si="20"/>
        <v>0</v>
      </c>
      <c r="AA33" s="740">
        <v>0</v>
      </c>
      <c r="AB33" s="741">
        <f t="shared" si="21"/>
        <v>0</v>
      </c>
      <c r="AC33" s="740">
        <v>0</v>
      </c>
      <c r="AD33" s="741">
        <f t="shared" si="21"/>
        <v>0</v>
      </c>
      <c r="AE33" s="740">
        <v>0</v>
      </c>
      <c r="AF33" s="741">
        <f t="shared" si="21"/>
        <v>0</v>
      </c>
      <c r="AG33" s="740">
        <v>0</v>
      </c>
      <c r="AH33" s="741">
        <f t="shared" si="21"/>
        <v>0</v>
      </c>
      <c r="AL33" s="985">
        <f t="shared" si="0"/>
        <v>0</v>
      </c>
      <c r="AN33" s="620">
        <f t="shared" si="1"/>
        <v>0</v>
      </c>
      <c r="AO33" s="620">
        <f t="shared" si="2"/>
        <v>0</v>
      </c>
      <c r="AP33" s="620">
        <f t="shared" si="3"/>
        <v>0</v>
      </c>
    </row>
    <row r="34" spans="2:42" outlineLevel="1" x14ac:dyDescent="0.3">
      <c r="B34" s="744" t="s">
        <v>436</v>
      </c>
      <c r="C34" s="740">
        <v>0</v>
      </c>
      <c r="D34" s="741">
        <f t="shared" si="13"/>
        <v>0</v>
      </c>
      <c r="E34" s="740">
        <v>0</v>
      </c>
      <c r="F34" s="741">
        <f t="shared" si="14"/>
        <v>0</v>
      </c>
      <c r="G34" s="740">
        <v>0</v>
      </c>
      <c r="H34" s="741">
        <f t="shared" si="15"/>
        <v>0</v>
      </c>
      <c r="I34" s="740">
        <v>0</v>
      </c>
      <c r="J34" s="741">
        <f t="shared" si="16"/>
        <v>0</v>
      </c>
      <c r="K34" s="740">
        <v>0</v>
      </c>
      <c r="L34" s="741">
        <f t="shared" si="17"/>
        <v>0</v>
      </c>
      <c r="M34" s="629"/>
      <c r="N34" s="740">
        <v>0</v>
      </c>
      <c r="O34" s="741">
        <f t="shared" si="18"/>
        <v>0</v>
      </c>
      <c r="P34" s="740">
        <v>0</v>
      </c>
      <c r="Q34" s="741">
        <f t="shared" si="19"/>
        <v>0</v>
      </c>
      <c r="R34" s="740">
        <v>0</v>
      </c>
      <c r="S34" s="741">
        <f t="shared" si="19"/>
        <v>0</v>
      </c>
      <c r="T34" s="740">
        <v>0</v>
      </c>
      <c r="U34" s="741">
        <f t="shared" si="19"/>
        <v>0</v>
      </c>
      <c r="V34" s="740">
        <v>0</v>
      </c>
      <c r="W34" s="741">
        <f t="shared" si="19"/>
        <v>0</v>
      </c>
      <c r="X34" s="647"/>
      <c r="Y34" s="740">
        <v>0</v>
      </c>
      <c r="Z34" s="741">
        <f t="shared" si="20"/>
        <v>0</v>
      </c>
      <c r="AA34" s="740">
        <v>0</v>
      </c>
      <c r="AB34" s="741">
        <f t="shared" si="21"/>
        <v>0</v>
      </c>
      <c r="AC34" s="740">
        <v>0</v>
      </c>
      <c r="AD34" s="741">
        <f t="shared" si="21"/>
        <v>0</v>
      </c>
      <c r="AE34" s="740">
        <v>0</v>
      </c>
      <c r="AF34" s="741">
        <f t="shared" si="21"/>
        <v>0</v>
      </c>
      <c r="AG34" s="740">
        <v>0</v>
      </c>
      <c r="AH34" s="741">
        <f t="shared" si="21"/>
        <v>0</v>
      </c>
      <c r="AL34" s="985">
        <f t="shared" si="0"/>
        <v>0</v>
      </c>
      <c r="AN34" s="620">
        <f t="shared" si="1"/>
        <v>0</v>
      </c>
      <c r="AO34" s="620">
        <f t="shared" si="2"/>
        <v>0</v>
      </c>
      <c r="AP34" s="620">
        <f t="shared" si="3"/>
        <v>0</v>
      </c>
    </row>
    <row r="35" spans="2:42" outlineLevel="1" x14ac:dyDescent="0.3">
      <c r="B35" s="744" t="s">
        <v>429</v>
      </c>
      <c r="C35" s="740">
        <v>0</v>
      </c>
      <c r="D35" s="741">
        <f t="shared" si="13"/>
        <v>0</v>
      </c>
      <c r="E35" s="740">
        <v>0</v>
      </c>
      <c r="F35" s="741">
        <f t="shared" si="14"/>
        <v>0</v>
      </c>
      <c r="G35" s="740">
        <v>0</v>
      </c>
      <c r="H35" s="741">
        <f t="shared" si="15"/>
        <v>0</v>
      </c>
      <c r="I35" s="740">
        <v>0</v>
      </c>
      <c r="J35" s="741">
        <f t="shared" si="16"/>
        <v>0</v>
      </c>
      <c r="K35" s="740">
        <v>0</v>
      </c>
      <c r="L35" s="741">
        <f t="shared" si="17"/>
        <v>0</v>
      </c>
      <c r="M35" s="629"/>
      <c r="N35" s="740">
        <v>0</v>
      </c>
      <c r="O35" s="741">
        <f t="shared" si="18"/>
        <v>0</v>
      </c>
      <c r="P35" s="740">
        <v>0</v>
      </c>
      <c r="Q35" s="741">
        <f t="shared" si="19"/>
        <v>0</v>
      </c>
      <c r="R35" s="740">
        <v>0</v>
      </c>
      <c r="S35" s="741">
        <f t="shared" si="19"/>
        <v>0</v>
      </c>
      <c r="T35" s="740">
        <v>0</v>
      </c>
      <c r="U35" s="741">
        <f t="shared" si="19"/>
        <v>0</v>
      </c>
      <c r="V35" s="740">
        <v>0</v>
      </c>
      <c r="W35" s="741">
        <f t="shared" si="19"/>
        <v>0</v>
      </c>
      <c r="X35" s="647"/>
      <c r="Y35" s="740">
        <v>0</v>
      </c>
      <c r="Z35" s="741">
        <f t="shared" si="20"/>
        <v>0</v>
      </c>
      <c r="AA35" s="740">
        <v>0</v>
      </c>
      <c r="AB35" s="741">
        <f t="shared" si="21"/>
        <v>0</v>
      </c>
      <c r="AC35" s="740">
        <v>0</v>
      </c>
      <c r="AD35" s="741">
        <f t="shared" si="21"/>
        <v>0</v>
      </c>
      <c r="AE35" s="740">
        <v>0</v>
      </c>
      <c r="AF35" s="741">
        <f t="shared" si="21"/>
        <v>0</v>
      </c>
      <c r="AG35" s="740">
        <v>0</v>
      </c>
      <c r="AH35" s="741">
        <f t="shared" si="21"/>
        <v>0</v>
      </c>
      <c r="AL35" s="985">
        <f t="shared" si="0"/>
        <v>0</v>
      </c>
      <c r="AN35" s="620">
        <f t="shared" si="1"/>
        <v>0</v>
      </c>
      <c r="AO35" s="620">
        <f t="shared" si="2"/>
        <v>0</v>
      </c>
      <c r="AP35" s="620">
        <f t="shared" si="3"/>
        <v>0</v>
      </c>
    </row>
    <row r="36" spans="2:42" outlineLevel="1" x14ac:dyDescent="0.3">
      <c r="B36" s="737" t="s">
        <v>430</v>
      </c>
      <c r="C36" s="740">
        <v>0</v>
      </c>
      <c r="D36" s="741">
        <f t="shared" si="13"/>
        <v>0</v>
      </c>
      <c r="E36" s="740">
        <v>0</v>
      </c>
      <c r="F36" s="741">
        <f t="shared" si="14"/>
        <v>0</v>
      </c>
      <c r="G36" s="740">
        <v>0</v>
      </c>
      <c r="H36" s="741">
        <f t="shared" si="15"/>
        <v>0</v>
      </c>
      <c r="I36" s="740">
        <v>0</v>
      </c>
      <c r="J36" s="741">
        <f t="shared" si="16"/>
        <v>0</v>
      </c>
      <c r="K36" s="740">
        <v>0</v>
      </c>
      <c r="L36" s="741">
        <f t="shared" si="17"/>
        <v>0</v>
      </c>
      <c r="M36" s="629"/>
      <c r="N36" s="740">
        <v>0</v>
      </c>
      <c r="O36" s="741">
        <f t="shared" si="18"/>
        <v>0</v>
      </c>
      <c r="P36" s="740">
        <v>0</v>
      </c>
      <c r="Q36" s="741">
        <f t="shared" si="19"/>
        <v>0</v>
      </c>
      <c r="R36" s="740">
        <v>0</v>
      </c>
      <c r="S36" s="741">
        <f t="shared" si="19"/>
        <v>0</v>
      </c>
      <c r="T36" s="740">
        <v>0</v>
      </c>
      <c r="U36" s="741">
        <f t="shared" si="19"/>
        <v>0</v>
      </c>
      <c r="V36" s="740">
        <v>0</v>
      </c>
      <c r="W36" s="741">
        <f t="shared" si="19"/>
        <v>0</v>
      </c>
      <c r="X36" s="647"/>
      <c r="Y36" s="740">
        <v>0</v>
      </c>
      <c r="Z36" s="741">
        <f t="shared" si="20"/>
        <v>0</v>
      </c>
      <c r="AA36" s="740">
        <v>0</v>
      </c>
      <c r="AB36" s="741">
        <f t="shared" si="21"/>
        <v>0</v>
      </c>
      <c r="AC36" s="740">
        <v>0</v>
      </c>
      <c r="AD36" s="741">
        <f t="shared" si="21"/>
        <v>0</v>
      </c>
      <c r="AE36" s="740">
        <v>0</v>
      </c>
      <c r="AF36" s="741">
        <f t="shared" si="21"/>
        <v>0</v>
      </c>
      <c r="AG36" s="740">
        <v>0</v>
      </c>
      <c r="AH36" s="741">
        <f t="shared" si="21"/>
        <v>0</v>
      </c>
      <c r="AL36" s="985">
        <f t="shared" si="0"/>
        <v>0</v>
      </c>
      <c r="AN36" s="620">
        <f t="shared" si="1"/>
        <v>0</v>
      </c>
      <c r="AO36" s="620">
        <f t="shared" si="2"/>
        <v>0</v>
      </c>
      <c r="AP36" s="620">
        <f t="shared" si="3"/>
        <v>0</v>
      </c>
    </row>
    <row r="37" spans="2:42" outlineLevel="1" x14ac:dyDescent="0.3">
      <c r="B37" s="745" t="s">
        <v>431</v>
      </c>
      <c r="C37" s="740">
        <f>C30-SUM(C31:C36)</f>
        <v>0</v>
      </c>
      <c r="D37" s="741">
        <f t="shared" si="13"/>
        <v>0</v>
      </c>
      <c r="E37" s="740">
        <f>E30-SUM(E31:E36)</f>
        <v>0</v>
      </c>
      <c r="F37" s="741">
        <f t="shared" si="14"/>
        <v>0</v>
      </c>
      <c r="G37" s="740">
        <f>G30-SUM(G31:G36)</f>
        <v>0</v>
      </c>
      <c r="H37" s="741">
        <f t="shared" si="15"/>
        <v>0</v>
      </c>
      <c r="I37" s="740">
        <f>I30-SUM(I31:I36)</f>
        <v>0</v>
      </c>
      <c r="J37" s="741">
        <f t="shared" si="16"/>
        <v>0</v>
      </c>
      <c r="K37" s="740">
        <f>K30-SUM(K31:K36)</f>
        <v>0</v>
      </c>
      <c r="L37" s="741">
        <f t="shared" si="17"/>
        <v>0</v>
      </c>
      <c r="M37" s="629"/>
      <c r="N37" s="740">
        <f>N30-SUM(N31:N36)</f>
        <v>0</v>
      </c>
      <c r="O37" s="741">
        <f>$Q$9</f>
        <v>0</v>
      </c>
      <c r="P37" s="740">
        <f>P30-SUM(P31:P36)</f>
        <v>0</v>
      </c>
      <c r="Q37" s="741">
        <f t="shared" si="19"/>
        <v>0</v>
      </c>
      <c r="R37" s="740">
        <f>R30-SUM(R31:R36)</f>
        <v>0</v>
      </c>
      <c r="S37" s="741">
        <f t="shared" si="19"/>
        <v>0</v>
      </c>
      <c r="T37" s="740">
        <f>T30-SUM(T31:T36)</f>
        <v>0</v>
      </c>
      <c r="U37" s="741">
        <f t="shared" si="19"/>
        <v>0</v>
      </c>
      <c r="V37" s="740">
        <f>V30-SUM(V31:V36)</f>
        <v>0</v>
      </c>
      <c r="W37" s="741">
        <f t="shared" si="19"/>
        <v>0</v>
      </c>
      <c r="X37" s="647"/>
      <c r="Y37" s="740">
        <f>Y30-SUM(Y31:Y36)</f>
        <v>0</v>
      </c>
      <c r="Z37" s="741">
        <f t="shared" si="20"/>
        <v>0</v>
      </c>
      <c r="AA37" s="740">
        <f>AA30-SUM(AA31:AA36)</f>
        <v>0</v>
      </c>
      <c r="AB37" s="741">
        <f t="shared" si="21"/>
        <v>0</v>
      </c>
      <c r="AC37" s="740">
        <f>AC30-SUM(AC31:AC36)</f>
        <v>0</v>
      </c>
      <c r="AD37" s="741">
        <f t="shared" si="21"/>
        <v>0</v>
      </c>
      <c r="AE37" s="740">
        <f>AE30-SUM(AE31:AE36)</f>
        <v>0</v>
      </c>
      <c r="AF37" s="741">
        <f t="shared" si="21"/>
        <v>0</v>
      </c>
      <c r="AG37" s="740">
        <f>AG30-SUM(AG31:AG36)</f>
        <v>0</v>
      </c>
      <c r="AH37" s="741">
        <f t="shared" si="21"/>
        <v>0</v>
      </c>
      <c r="AL37" s="985">
        <f t="shared" si="0"/>
        <v>0</v>
      </c>
      <c r="AN37" s="620">
        <f t="shared" si="1"/>
        <v>0</v>
      </c>
      <c r="AO37" s="620">
        <f t="shared" si="2"/>
        <v>0</v>
      </c>
      <c r="AP37" s="620">
        <f t="shared" si="3"/>
        <v>0</v>
      </c>
    </row>
    <row r="38" spans="2:42" x14ac:dyDescent="0.3">
      <c r="B38" s="336" t="s">
        <v>125</v>
      </c>
      <c r="C38" s="663">
        <v>0</v>
      </c>
      <c r="D38" s="335"/>
      <c r="E38" s="663">
        <f>C38</f>
        <v>0</v>
      </c>
      <c r="F38" s="335"/>
      <c r="G38" s="664"/>
      <c r="H38" s="335"/>
      <c r="I38" s="664"/>
      <c r="J38" s="335"/>
      <c r="K38" s="663"/>
      <c r="L38" s="335"/>
      <c r="M38" s="629"/>
      <c r="N38" s="663">
        <v>0</v>
      </c>
      <c r="O38" s="335"/>
      <c r="P38" s="663">
        <f>N38</f>
        <v>0</v>
      </c>
      <c r="Q38" s="335"/>
      <c r="R38" s="664"/>
      <c r="S38" s="335"/>
      <c r="T38" s="664"/>
      <c r="U38" s="335"/>
      <c r="V38" s="663"/>
      <c r="W38" s="335"/>
      <c r="X38" s="647"/>
      <c r="Y38" s="663">
        <v>0</v>
      </c>
      <c r="Z38" s="335"/>
      <c r="AA38" s="663">
        <f>Y38</f>
        <v>0</v>
      </c>
      <c r="AB38" s="335"/>
      <c r="AC38" s="664"/>
      <c r="AD38" s="335"/>
      <c r="AE38" s="664"/>
      <c r="AF38" s="335"/>
      <c r="AG38" s="663"/>
      <c r="AH38" s="335"/>
      <c r="AL38" s="985">
        <f t="shared" si="0"/>
        <v>0</v>
      </c>
      <c r="AN38" s="620">
        <f t="shared" si="1"/>
        <v>0</v>
      </c>
      <c r="AO38" s="620">
        <f t="shared" si="2"/>
        <v>0</v>
      </c>
      <c r="AP38" s="620">
        <f t="shared" si="3"/>
        <v>0</v>
      </c>
    </row>
    <row r="39" spans="2:42" outlineLevel="1" x14ac:dyDescent="0.3">
      <c r="B39" s="737" t="s">
        <v>437</v>
      </c>
      <c r="C39" s="740">
        <v>0</v>
      </c>
      <c r="D39" s="741">
        <f t="shared" ref="D39:L46" si="22">$F$9</f>
        <v>0</v>
      </c>
      <c r="E39" s="740">
        <v>0</v>
      </c>
      <c r="F39" s="741">
        <f t="shared" si="22"/>
        <v>0</v>
      </c>
      <c r="G39" s="740">
        <v>0</v>
      </c>
      <c r="H39" s="741">
        <f t="shared" si="22"/>
        <v>0</v>
      </c>
      <c r="I39" s="740">
        <v>0</v>
      </c>
      <c r="J39" s="741">
        <f t="shared" si="22"/>
        <v>0</v>
      </c>
      <c r="K39" s="740">
        <v>0</v>
      </c>
      <c r="L39" s="741">
        <f t="shared" si="22"/>
        <v>0</v>
      </c>
      <c r="M39" s="629"/>
      <c r="N39" s="740">
        <v>0</v>
      </c>
      <c r="O39" s="741">
        <f>$Q$9</f>
        <v>0</v>
      </c>
      <c r="P39" s="740">
        <v>0</v>
      </c>
      <c r="Q39" s="741">
        <f>$AB$9</f>
        <v>0</v>
      </c>
      <c r="R39" s="740">
        <v>0</v>
      </c>
      <c r="S39" s="741">
        <f>$AB$9</f>
        <v>0</v>
      </c>
      <c r="T39" s="740">
        <v>0</v>
      </c>
      <c r="U39" s="741">
        <f>$AB$9</f>
        <v>0</v>
      </c>
      <c r="V39" s="740">
        <v>0</v>
      </c>
      <c r="W39" s="741">
        <f>$AB$9</f>
        <v>0</v>
      </c>
      <c r="X39" s="647"/>
      <c r="Y39" s="740">
        <v>0</v>
      </c>
      <c r="Z39" s="741">
        <f>$AB$9</f>
        <v>0</v>
      </c>
      <c r="AA39" s="740">
        <v>0</v>
      </c>
      <c r="AB39" s="741">
        <f>$AB$9</f>
        <v>0</v>
      </c>
      <c r="AC39" s="740">
        <v>0</v>
      </c>
      <c r="AD39" s="741">
        <f>$AB$9</f>
        <v>0</v>
      </c>
      <c r="AE39" s="740">
        <v>0</v>
      </c>
      <c r="AF39" s="741">
        <f>$AB$9</f>
        <v>0</v>
      </c>
      <c r="AG39" s="740">
        <v>0</v>
      </c>
      <c r="AH39" s="741">
        <f>$AB$9</f>
        <v>0</v>
      </c>
      <c r="AL39" s="985">
        <f t="shared" si="0"/>
        <v>0</v>
      </c>
      <c r="AN39" s="620">
        <f t="shared" si="1"/>
        <v>0</v>
      </c>
      <c r="AO39" s="620">
        <f t="shared" si="2"/>
        <v>0</v>
      </c>
      <c r="AP39" s="620">
        <f t="shared" si="3"/>
        <v>0</v>
      </c>
    </row>
    <row r="40" spans="2:42" outlineLevel="1" x14ac:dyDescent="0.3">
      <c r="B40" s="737" t="s">
        <v>438</v>
      </c>
      <c r="C40" s="740">
        <v>0</v>
      </c>
      <c r="D40" s="741">
        <f t="shared" si="22"/>
        <v>0</v>
      </c>
      <c r="E40" s="740">
        <v>0</v>
      </c>
      <c r="F40" s="741">
        <f t="shared" si="22"/>
        <v>0</v>
      </c>
      <c r="G40" s="740">
        <v>0</v>
      </c>
      <c r="H40" s="741">
        <f t="shared" si="22"/>
        <v>0</v>
      </c>
      <c r="I40" s="740">
        <v>0</v>
      </c>
      <c r="J40" s="741">
        <f t="shared" si="22"/>
        <v>0</v>
      </c>
      <c r="K40" s="740">
        <v>0</v>
      </c>
      <c r="L40" s="741">
        <f t="shared" si="22"/>
        <v>0</v>
      </c>
      <c r="M40" s="629"/>
      <c r="N40" s="740">
        <v>0</v>
      </c>
      <c r="O40" s="741">
        <f t="shared" ref="O40:O44" si="23">$Q$9</f>
        <v>0</v>
      </c>
      <c r="P40" s="740">
        <v>0</v>
      </c>
      <c r="Q40" s="741">
        <f t="shared" ref="Q40:W46" si="24">$AB$9</f>
        <v>0</v>
      </c>
      <c r="R40" s="740">
        <v>0</v>
      </c>
      <c r="S40" s="741">
        <f t="shared" si="24"/>
        <v>0</v>
      </c>
      <c r="T40" s="740">
        <v>0</v>
      </c>
      <c r="U40" s="741">
        <f t="shared" si="24"/>
        <v>0</v>
      </c>
      <c r="V40" s="740">
        <v>0</v>
      </c>
      <c r="W40" s="741">
        <f t="shared" si="24"/>
        <v>0</v>
      </c>
      <c r="X40" s="647"/>
      <c r="Y40" s="740">
        <v>0</v>
      </c>
      <c r="Z40" s="741">
        <f t="shared" ref="Z40:Z46" si="25">$AB$9</f>
        <v>0</v>
      </c>
      <c r="AA40" s="740">
        <v>0</v>
      </c>
      <c r="AB40" s="741">
        <f t="shared" ref="AB40:AH46" si="26">$AB$9</f>
        <v>0</v>
      </c>
      <c r="AC40" s="740">
        <v>0</v>
      </c>
      <c r="AD40" s="741">
        <f t="shared" si="26"/>
        <v>0</v>
      </c>
      <c r="AE40" s="740">
        <v>0</v>
      </c>
      <c r="AF40" s="741">
        <f t="shared" si="26"/>
        <v>0</v>
      </c>
      <c r="AG40" s="740">
        <v>0</v>
      </c>
      <c r="AH40" s="741">
        <f t="shared" si="26"/>
        <v>0</v>
      </c>
      <c r="AL40" s="985">
        <f t="shared" si="0"/>
        <v>0</v>
      </c>
      <c r="AN40" s="620">
        <f t="shared" si="1"/>
        <v>0</v>
      </c>
      <c r="AO40" s="620">
        <f t="shared" si="2"/>
        <v>0</v>
      </c>
      <c r="AP40" s="620">
        <f t="shared" si="3"/>
        <v>0</v>
      </c>
    </row>
    <row r="41" spans="2:42" outlineLevel="1" x14ac:dyDescent="0.3">
      <c r="B41" s="737" t="s">
        <v>439</v>
      </c>
      <c r="C41" s="740">
        <v>0</v>
      </c>
      <c r="D41" s="741">
        <f t="shared" si="22"/>
        <v>0</v>
      </c>
      <c r="E41" s="740">
        <v>0</v>
      </c>
      <c r="F41" s="741">
        <f t="shared" si="22"/>
        <v>0</v>
      </c>
      <c r="G41" s="740">
        <v>0</v>
      </c>
      <c r="H41" s="741">
        <f t="shared" si="22"/>
        <v>0</v>
      </c>
      <c r="I41" s="740">
        <v>0</v>
      </c>
      <c r="J41" s="741">
        <f t="shared" si="22"/>
        <v>0</v>
      </c>
      <c r="K41" s="740">
        <v>0</v>
      </c>
      <c r="L41" s="741">
        <f t="shared" si="22"/>
        <v>0</v>
      </c>
      <c r="M41" s="629"/>
      <c r="N41" s="740">
        <v>0</v>
      </c>
      <c r="O41" s="741">
        <f t="shared" si="23"/>
        <v>0</v>
      </c>
      <c r="P41" s="740">
        <v>0</v>
      </c>
      <c r="Q41" s="741">
        <f t="shared" si="24"/>
        <v>0</v>
      </c>
      <c r="R41" s="740">
        <v>0</v>
      </c>
      <c r="S41" s="741">
        <f t="shared" si="24"/>
        <v>0</v>
      </c>
      <c r="T41" s="740">
        <v>0</v>
      </c>
      <c r="U41" s="741">
        <f t="shared" si="24"/>
        <v>0</v>
      </c>
      <c r="V41" s="740">
        <v>0</v>
      </c>
      <c r="W41" s="741">
        <f t="shared" si="24"/>
        <v>0</v>
      </c>
      <c r="X41" s="647"/>
      <c r="Y41" s="740">
        <v>0</v>
      </c>
      <c r="Z41" s="741">
        <f t="shared" si="25"/>
        <v>0</v>
      </c>
      <c r="AA41" s="740">
        <v>0</v>
      </c>
      <c r="AB41" s="741">
        <f t="shared" si="26"/>
        <v>0</v>
      </c>
      <c r="AC41" s="740">
        <v>0</v>
      </c>
      <c r="AD41" s="741">
        <f t="shared" si="26"/>
        <v>0</v>
      </c>
      <c r="AE41" s="740">
        <v>0</v>
      </c>
      <c r="AF41" s="741">
        <f t="shared" si="26"/>
        <v>0</v>
      </c>
      <c r="AG41" s="740">
        <v>0</v>
      </c>
      <c r="AH41" s="741">
        <f t="shared" si="26"/>
        <v>0</v>
      </c>
      <c r="AL41" s="985">
        <f t="shared" si="0"/>
        <v>0</v>
      </c>
      <c r="AN41" s="620">
        <f t="shared" si="1"/>
        <v>0</v>
      </c>
      <c r="AO41" s="620">
        <f t="shared" si="2"/>
        <v>0</v>
      </c>
      <c r="AP41" s="620">
        <f t="shared" si="3"/>
        <v>0</v>
      </c>
    </row>
    <row r="42" spans="2:42" outlineLevel="1" x14ac:dyDescent="0.3">
      <c r="B42" s="744" t="s">
        <v>440</v>
      </c>
      <c r="C42" s="740">
        <v>0</v>
      </c>
      <c r="D42" s="741">
        <f t="shared" si="22"/>
        <v>0</v>
      </c>
      <c r="E42" s="740">
        <v>0</v>
      </c>
      <c r="F42" s="741">
        <f t="shared" si="22"/>
        <v>0</v>
      </c>
      <c r="G42" s="740">
        <v>0</v>
      </c>
      <c r="H42" s="741">
        <f t="shared" si="22"/>
        <v>0</v>
      </c>
      <c r="I42" s="740">
        <v>0</v>
      </c>
      <c r="J42" s="741">
        <f t="shared" si="22"/>
        <v>0</v>
      </c>
      <c r="K42" s="740">
        <v>0</v>
      </c>
      <c r="L42" s="741">
        <f t="shared" si="22"/>
        <v>0</v>
      </c>
      <c r="M42" s="629"/>
      <c r="N42" s="740">
        <v>0</v>
      </c>
      <c r="O42" s="741">
        <f t="shared" si="23"/>
        <v>0</v>
      </c>
      <c r="P42" s="740">
        <v>0</v>
      </c>
      <c r="Q42" s="741">
        <f t="shared" si="24"/>
        <v>0</v>
      </c>
      <c r="R42" s="740">
        <v>0</v>
      </c>
      <c r="S42" s="741">
        <f t="shared" si="24"/>
        <v>0</v>
      </c>
      <c r="T42" s="740">
        <v>0</v>
      </c>
      <c r="U42" s="741">
        <f t="shared" si="24"/>
        <v>0</v>
      </c>
      <c r="V42" s="740">
        <v>0</v>
      </c>
      <c r="W42" s="741">
        <f t="shared" si="24"/>
        <v>0</v>
      </c>
      <c r="X42" s="647"/>
      <c r="Y42" s="740">
        <v>0</v>
      </c>
      <c r="Z42" s="741">
        <f t="shared" si="25"/>
        <v>0</v>
      </c>
      <c r="AA42" s="740">
        <v>0</v>
      </c>
      <c r="AB42" s="741">
        <f t="shared" si="26"/>
        <v>0</v>
      </c>
      <c r="AC42" s="740">
        <v>0</v>
      </c>
      <c r="AD42" s="741">
        <f t="shared" si="26"/>
        <v>0</v>
      </c>
      <c r="AE42" s="740">
        <v>0</v>
      </c>
      <c r="AF42" s="741">
        <f t="shared" si="26"/>
        <v>0</v>
      </c>
      <c r="AG42" s="740">
        <v>0</v>
      </c>
      <c r="AH42" s="741">
        <f t="shared" si="26"/>
        <v>0</v>
      </c>
      <c r="AL42" s="985">
        <f t="shared" si="0"/>
        <v>0</v>
      </c>
      <c r="AN42" s="620">
        <f t="shared" si="1"/>
        <v>0</v>
      </c>
      <c r="AO42" s="620">
        <f t="shared" si="2"/>
        <v>0</v>
      </c>
      <c r="AP42" s="620">
        <f t="shared" si="3"/>
        <v>0</v>
      </c>
    </row>
    <row r="43" spans="2:42" outlineLevel="1" x14ac:dyDescent="0.3">
      <c r="B43" s="744" t="s">
        <v>441</v>
      </c>
      <c r="C43" s="740">
        <v>0</v>
      </c>
      <c r="D43" s="741">
        <f t="shared" si="22"/>
        <v>0</v>
      </c>
      <c r="E43" s="740">
        <v>0</v>
      </c>
      <c r="F43" s="741">
        <f t="shared" si="22"/>
        <v>0</v>
      </c>
      <c r="G43" s="740">
        <v>0</v>
      </c>
      <c r="H43" s="741">
        <f t="shared" si="22"/>
        <v>0</v>
      </c>
      <c r="I43" s="740">
        <v>0</v>
      </c>
      <c r="J43" s="741">
        <f t="shared" si="22"/>
        <v>0</v>
      </c>
      <c r="K43" s="740">
        <v>0</v>
      </c>
      <c r="L43" s="741">
        <f t="shared" si="22"/>
        <v>0</v>
      </c>
      <c r="M43" s="629"/>
      <c r="N43" s="740">
        <v>0</v>
      </c>
      <c r="O43" s="741">
        <f t="shared" si="23"/>
        <v>0</v>
      </c>
      <c r="P43" s="740">
        <v>0</v>
      </c>
      <c r="Q43" s="741">
        <f t="shared" si="24"/>
        <v>0</v>
      </c>
      <c r="R43" s="740">
        <v>0</v>
      </c>
      <c r="S43" s="741">
        <f t="shared" si="24"/>
        <v>0</v>
      </c>
      <c r="T43" s="740">
        <v>0</v>
      </c>
      <c r="U43" s="741">
        <f t="shared" si="24"/>
        <v>0</v>
      </c>
      <c r="V43" s="740">
        <v>0</v>
      </c>
      <c r="W43" s="741">
        <f t="shared" si="24"/>
        <v>0</v>
      </c>
      <c r="X43" s="647"/>
      <c r="Y43" s="740">
        <v>0</v>
      </c>
      <c r="Z43" s="741">
        <f t="shared" si="25"/>
        <v>0</v>
      </c>
      <c r="AA43" s="740">
        <v>0</v>
      </c>
      <c r="AB43" s="741">
        <f t="shared" si="26"/>
        <v>0</v>
      </c>
      <c r="AC43" s="740">
        <v>0</v>
      </c>
      <c r="AD43" s="741">
        <f t="shared" si="26"/>
        <v>0</v>
      </c>
      <c r="AE43" s="740">
        <v>0</v>
      </c>
      <c r="AF43" s="741">
        <f t="shared" si="26"/>
        <v>0</v>
      </c>
      <c r="AG43" s="740">
        <v>0</v>
      </c>
      <c r="AH43" s="741">
        <f t="shared" si="26"/>
        <v>0</v>
      </c>
      <c r="AL43" s="985">
        <f t="shared" si="0"/>
        <v>0</v>
      </c>
      <c r="AN43" s="620">
        <f t="shared" si="1"/>
        <v>0</v>
      </c>
      <c r="AO43" s="620">
        <f t="shared" si="2"/>
        <v>0</v>
      </c>
      <c r="AP43" s="620">
        <f t="shared" si="3"/>
        <v>0</v>
      </c>
    </row>
    <row r="44" spans="2:42" outlineLevel="1" x14ac:dyDescent="0.3">
      <c r="B44" s="737" t="s">
        <v>496</v>
      </c>
      <c r="C44" s="740">
        <v>0</v>
      </c>
      <c r="D44" s="741">
        <f t="shared" si="22"/>
        <v>0</v>
      </c>
      <c r="E44" s="740">
        <v>0</v>
      </c>
      <c r="F44" s="741">
        <f t="shared" si="22"/>
        <v>0</v>
      </c>
      <c r="G44" s="740">
        <v>0</v>
      </c>
      <c r="H44" s="741">
        <f t="shared" si="22"/>
        <v>0</v>
      </c>
      <c r="I44" s="740">
        <v>0</v>
      </c>
      <c r="J44" s="741">
        <f t="shared" si="22"/>
        <v>0</v>
      </c>
      <c r="K44" s="740">
        <v>0</v>
      </c>
      <c r="L44" s="741">
        <f t="shared" si="22"/>
        <v>0</v>
      </c>
      <c r="M44" s="629"/>
      <c r="N44" s="740">
        <v>0</v>
      </c>
      <c r="O44" s="741">
        <f t="shared" si="23"/>
        <v>0</v>
      </c>
      <c r="P44" s="740">
        <v>0</v>
      </c>
      <c r="Q44" s="741">
        <f t="shared" si="24"/>
        <v>0</v>
      </c>
      <c r="R44" s="740">
        <v>0</v>
      </c>
      <c r="S44" s="741">
        <f t="shared" si="24"/>
        <v>0</v>
      </c>
      <c r="T44" s="740">
        <v>0</v>
      </c>
      <c r="U44" s="741">
        <f t="shared" si="24"/>
        <v>0</v>
      </c>
      <c r="V44" s="740">
        <v>0</v>
      </c>
      <c r="W44" s="741">
        <f t="shared" si="24"/>
        <v>0</v>
      </c>
      <c r="X44" s="647"/>
      <c r="Y44" s="740">
        <v>0</v>
      </c>
      <c r="Z44" s="741">
        <f t="shared" si="25"/>
        <v>0</v>
      </c>
      <c r="AA44" s="740">
        <v>0</v>
      </c>
      <c r="AB44" s="741">
        <f t="shared" si="26"/>
        <v>0</v>
      </c>
      <c r="AC44" s="740">
        <v>0</v>
      </c>
      <c r="AD44" s="741">
        <f t="shared" si="26"/>
        <v>0</v>
      </c>
      <c r="AE44" s="740">
        <v>0</v>
      </c>
      <c r="AF44" s="741">
        <f t="shared" si="26"/>
        <v>0</v>
      </c>
      <c r="AG44" s="740">
        <v>0</v>
      </c>
      <c r="AH44" s="741">
        <f t="shared" si="26"/>
        <v>0</v>
      </c>
      <c r="AL44" s="985">
        <f t="shared" si="0"/>
        <v>0</v>
      </c>
      <c r="AN44" s="620">
        <f t="shared" si="1"/>
        <v>0</v>
      </c>
      <c r="AO44" s="620">
        <f t="shared" si="2"/>
        <v>0</v>
      </c>
      <c r="AP44" s="620">
        <f t="shared" si="3"/>
        <v>0</v>
      </c>
    </row>
    <row r="45" spans="2:42" outlineLevel="1" x14ac:dyDescent="0.3">
      <c r="B45" s="737" t="s">
        <v>430</v>
      </c>
      <c r="C45" s="740">
        <v>0</v>
      </c>
      <c r="D45" s="741">
        <f t="shared" si="22"/>
        <v>0</v>
      </c>
      <c r="E45" s="740">
        <v>0</v>
      </c>
      <c r="F45" s="741">
        <f t="shared" si="22"/>
        <v>0</v>
      </c>
      <c r="G45" s="740">
        <v>0</v>
      </c>
      <c r="H45" s="741">
        <f t="shared" si="22"/>
        <v>0</v>
      </c>
      <c r="I45" s="740">
        <v>0</v>
      </c>
      <c r="J45" s="741">
        <f t="shared" si="22"/>
        <v>0</v>
      </c>
      <c r="K45" s="740">
        <v>0</v>
      </c>
      <c r="L45" s="741">
        <f t="shared" si="22"/>
        <v>0</v>
      </c>
      <c r="M45" s="629"/>
      <c r="N45" s="740">
        <v>0</v>
      </c>
      <c r="O45" s="741">
        <f>$Q$9</f>
        <v>0</v>
      </c>
      <c r="P45" s="740">
        <v>0</v>
      </c>
      <c r="Q45" s="741">
        <f t="shared" si="24"/>
        <v>0</v>
      </c>
      <c r="R45" s="740">
        <v>0</v>
      </c>
      <c r="S45" s="741">
        <f t="shared" si="24"/>
        <v>0</v>
      </c>
      <c r="T45" s="740">
        <v>0</v>
      </c>
      <c r="U45" s="741">
        <f t="shared" si="24"/>
        <v>0</v>
      </c>
      <c r="V45" s="740">
        <v>0</v>
      </c>
      <c r="W45" s="741">
        <f t="shared" si="24"/>
        <v>0</v>
      </c>
      <c r="X45" s="647"/>
      <c r="Y45" s="740">
        <v>0</v>
      </c>
      <c r="Z45" s="741">
        <f t="shared" si="25"/>
        <v>0</v>
      </c>
      <c r="AA45" s="740">
        <v>0</v>
      </c>
      <c r="AB45" s="741">
        <f t="shared" si="26"/>
        <v>0</v>
      </c>
      <c r="AC45" s="740">
        <v>0</v>
      </c>
      <c r="AD45" s="741">
        <f t="shared" si="26"/>
        <v>0</v>
      </c>
      <c r="AE45" s="740">
        <v>0</v>
      </c>
      <c r="AF45" s="741">
        <f t="shared" si="26"/>
        <v>0</v>
      </c>
      <c r="AG45" s="740">
        <v>0</v>
      </c>
      <c r="AH45" s="741">
        <f t="shared" si="26"/>
        <v>0</v>
      </c>
      <c r="AL45" s="985">
        <f t="shared" si="0"/>
        <v>0</v>
      </c>
      <c r="AN45" s="620">
        <f t="shared" si="1"/>
        <v>0</v>
      </c>
      <c r="AO45" s="620">
        <f t="shared" si="2"/>
        <v>0</v>
      </c>
      <c r="AP45" s="620">
        <f t="shared" si="3"/>
        <v>0</v>
      </c>
    </row>
    <row r="46" spans="2:42" outlineLevel="1" x14ac:dyDescent="0.3">
      <c r="B46" s="745" t="s">
        <v>431</v>
      </c>
      <c r="C46" s="740">
        <f>C38-SUM(C39:C45)</f>
        <v>0</v>
      </c>
      <c r="D46" s="741">
        <f t="shared" si="22"/>
        <v>0</v>
      </c>
      <c r="E46" s="740">
        <f>E38-SUM(E39:E45)</f>
        <v>0</v>
      </c>
      <c r="F46" s="741">
        <f t="shared" si="22"/>
        <v>0</v>
      </c>
      <c r="G46" s="740">
        <f>G38-SUM(G39:G45)</f>
        <v>0</v>
      </c>
      <c r="H46" s="741">
        <f t="shared" si="22"/>
        <v>0</v>
      </c>
      <c r="I46" s="740">
        <f>I38-SUM(I39:I45)</f>
        <v>0</v>
      </c>
      <c r="J46" s="741">
        <f t="shared" si="22"/>
        <v>0</v>
      </c>
      <c r="K46" s="740">
        <f>K38-SUM(K39:K45)</f>
        <v>0</v>
      </c>
      <c r="L46" s="741">
        <f t="shared" si="22"/>
        <v>0</v>
      </c>
      <c r="M46" s="629"/>
      <c r="N46" s="740">
        <f>N38-SUM(N39:N45)</f>
        <v>0</v>
      </c>
      <c r="O46" s="741">
        <f>$Q$9</f>
        <v>0</v>
      </c>
      <c r="P46" s="740">
        <f>P38-SUM(P39:P45)</f>
        <v>0</v>
      </c>
      <c r="Q46" s="741">
        <f t="shared" si="24"/>
        <v>0</v>
      </c>
      <c r="R46" s="740">
        <f>R38-SUM(R39:R45)</f>
        <v>0</v>
      </c>
      <c r="S46" s="741">
        <f t="shared" si="24"/>
        <v>0</v>
      </c>
      <c r="T46" s="740">
        <f>T38-SUM(T39:T45)</f>
        <v>0</v>
      </c>
      <c r="U46" s="741">
        <f t="shared" si="24"/>
        <v>0</v>
      </c>
      <c r="V46" s="740">
        <f>V38-SUM(V39:V45)</f>
        <v>0</v>
      </c>
      <c r="W46" s="741">
        <f t="shared" si="24"/>
        <v>0</v>
      </c>
      <c r="X46" s="647"/>
      <c r="Y46" s="740">
        <f>Y38-SUM(Y39:Y45)</f>
        <v>0</v>
      </c>
      <c r="Z46" s="741">
        <f t="shared" si="25"/>
        <v>0</v>
      </c>
      <c r="AA46" s="740">
        <f>AA38-SUM(AA39:AA45)</f>
        <v>0</v>
      </c>
      <c r="AB46" s="741">
        <f t="shared" si="26"/>
        <v>0</v>
      </c>
      <c r="AC46" s="740">
        <f>AC38-SUM(AC39:AC45)</f>
        <v>0</v>
      </c>
      <c r="AD46" s="741">
        <f t="shared" si="26"/>
        <v>0</v>
      </c>
      <c r="AE46" s="740">
        <f>AE38-SUM(AE39:AE45)</f>
        <v>0</v>
      </c>
      <c r="AF46" s="741">
        <f t="shared" si="26"/>
        <v>0</v>
      </c>
      <c r="AG46" s="740">
        <f>AG38-SUM(AG39:AG45)</f>
        <v>0</v>
      </c>
      <c r="AH46" s="741">
        <f t="shared" si="26"/>
        <v>0</v>
      </c>
      <c r="AJ46" s="993"/>
      <c r="AL46" s="985">
        <f t="shared" si="0"/>
        <v>0</v>
      </c>
      <c r="AN46" s="620">
        <f t="shared" si="1"/>
        <v>0</v>
      </c>
      <c r="AO46" s="620">
        <f t="shared" si="2"/>
        <v>0</v>
      </c>
      <c r="AP46" s="620">
        <f t="shared" si="3"/>
        <v>0</v>
      </c>
    </row>
    <row r="47" spans="2:42" x14ac:dyDescent="0.3">
      <c r="B47" s="328" t="s">
        <v>126</v>
      </c>
      <c r="C47" s="670">
        <f>C23+C30+C38</f>
        <v>0</v>
      </c>
      <c r="D47" s="327"/>
      <c r="E47" s="670">
        <f>E23+E30+E38</f>
        <v>0</v>
      </c>
      <c r="F47" s="688"/>
      <c r="G47" s="671">
        <f>G23+G30+G38</f>
        <v>0</v>
      </c>
      <c r="H47" s="688"/>
      <c r="I47" s="671">
        <f>I23+I30+I38</f>
        <v>0</v>
      </c>
      <c r="J47" s="688"/>
      <c r="K47" s="670">
        <f>K23+K30+K38</f>
        <v>0</v>
      </c>
      <c r="L47" s="688"/>
      <c r="M47" s="39"/>
      <c r="N47" s="670">
        <f>N23+N30+N38</f>
        <v>0</v>
      </c>
      <c r="O47" s="327"/>
      <c r="P47" s="670">
        <f>P23+P30+P38</f>
        <v>0</v>
      </c>
      <c r="Q47" s="688"/>
      <c r="R47" s="671">
        <f>R23+R30+R38</f>
        <v>0</v>
      </c>
      <c r="S47" s="688"/>
      <c r="T47" s="671">
        <f>T23+T30+T38</f>
        <v>0</v>
      </c>
      <c r="U47" s="688"/>
      <c r="V47" s="670">
        <f>V23+V30+V38</f>
        <v>0</v>
      </c>
      <c r="W47" s="688"/>
      <c r="X47" s="646"/>
      <c r="Y47" s="670">
        <f>Y23+Y30+Y38</f>
        <v>0</v>
      </c>
      <c r="Z47" s="327"/>
      <c r="AA47" s="670">
        <f>AA23+AA30+AA38</f>
        <v>0</v>
      </c>
      <c r="AB47" s="688"/>
      <c r="AC47" s="671">
        <f>AC23+AC30+AC38</f>
        <v>0</v>
      </c>
      <c r="AD47" s="688"/>
      <c r="AE47" s="671">
        <f>AE23+AE30+AE38</f>
        <v>0</v>
      </c>
      <c r="AF47" s="688"/>
      <c r="AG47" s="670">
        <f>AG23+AG30+AG38</f>
        <v>0</v>
      </c>
      <c r="AH47" s="688"/>
      <c r="AJ47" s="168" t="s">
        <v>442</v>
      </c>
      <c r="AL47" s="985">
        <f t="shared" si="0"/>
        <v>0</v>
      </c>
      <c r="AN47" s="620">
        <f t="shared" si="1"/>
        <v>0</v>
      </c>
      <c r="AO47" s="620">
        <f t="shared" si="2"/>
        <v>0</v>
      </c>
      <c r="AP47" s="620">
        <f t="shared" si="3"/>
        <v>0</v>
      </c>
    </row>
    <row r="48" spans="2:42" x14ac:dyDescent="0.3">
      <c r="B48" s="333" t="s">
        <v>127</v>
      </c>
      <c r="C48" s="663">
        <v>0</v>
      </c>
      <c r="D48" s="331">
        <f>$F$10</f>
        <v>0.21</v>
      </c>
      <c r="E48" s="663">
        <f>C48</f>
        <v>0</v>
      </c>
      <c r="F48" s="331">
        <f>$AB$10</f>
        <v>0.21</v>
      </c>
      <c r="G48" s="663"/>
      <c r="H48" s="331">
        <f>$AB$10</f>
        <v>0.21</v>
      </c>
      <c r="I48" s="663"/>
      <c r="J48" s="331">
        <f>$AB$10</f>
        <v>0.21</v>
      </c>
      <c r="K48" s="663"/>
      <c r="L48" s="331">
        <f>$AB$10</f>
        <v>0.21</v>
      </c>
      <c r="M48" s="39"/>
      <c r="N48" s="663">
        <v>0</v>
      </c>
      <c r="O48" s="331">
        <f>$Q$10</f>
        <v>0.21</v>
      </c>
      <c r="P48" s="663">
        <f>N48</f>
        <v>0</v>
      </c>
      <c r="Q48" s="331">
        <f>$AB$10</f>
        <v>0.21</v>
      </c>
      <c r="R48" s="663"/>
      <c r="S48" s="331">
        <f>$AB$10</f>
        <v>0.21</v>
      </c>
      <c r="T48" s="663"/>
      <c r="U48" s="331">
        <f>$AB$10</f>
        <v>0.21</v>
      </c>
      <c r="V48" s="663"/>
      <c r="W48" s="331">
        <f>$AB$10</f>
        <v>0.21</v>
      </c>
      <c r="X48" s="646"/>
      <c r="Y48" s="663">
        <v>0</v>
      </c>
      <c r="Z48" s="331">
        <f>$AB$10</f>
        <v>0.21</v>
      </c>
      <c r="AA48" s="663">
        <f>Y48</f>
        <v>0</v>
      </c>
      <c r="AB48" s="331">
        <f>$AB$10</f>
        <v>0.21</v>
      </c>
      <c r="AC48" s="663"/>
      <c r="AD48" s="331">
        <f>$AB$10</f>
        <v>0.21</v>
      </c>
      <c r="AE48" s="663"/>
      <c r="AF48" s="331">
        <f>$AB$10</f>
        <v>0.21</v>
      </c>
      <c r="AG48" s="663"/>
      <c r="AH48" s="331">
        <f>$AB$10</f>
        <v>0.21</v>
      </c>
      <c r="AL48" s="985">
        <f t="shared" si="0"/>
        <v>0</v>
      </c>
      <c r="AN48" s="620">
        <f t="shared" si="1"/>
        <v>0</v>
      </c>
      <c r="AO48" s="620">
        <f t="shared" si="2"/>
        <v>0</v>
      </c>
      <c r="AP48" s="620">
        <f t="shared" si="3"/>
        <v>0</v>
      </c>
    </row>
    <row r="49" spans="1:117" x14ac:dyDescent="0.3">
      <c r="B49" s="328" t="s">
        <v>443</v>
      </c>
      <c r="C49" s="670">
        <f>SUM(C47+C48)</f>
        <v>0</v>
      </c>
      <c r="D49" s="327"/>
      <c r="E49" s="670">
        <f>SUM(E47+E48)</f>
        <v>0</v>
      </c>
      <c r="F49" s="688"/>
      <c r="G49" s="671">
        <f>SUM(G47+G48)</f>
        <v>0</v>
      </c>
      <c r="H49" s="688"/>
      <c r="I49" s="671">
        <f>SUM(I47:I48)</f>
        <v>0</v>
      </c>
      <c r="J49" s="688"/>
      <c r="K49" s="670">
        <f>SUM(K47:K48)</f>
        <v>0</v>
      </c>
      <c r="L49" s="327"/>
      <c r="M49" s="39"/>
      <c r="N49" s="670">
        <f>SUM(N47+N48)</f>
        <v>0</v>
      </c>
      <c r="O49" s="327"/>
      <c r="P49" s="670">
        <f>SUM(P47+P48)</f>
        <v>0</v>
      </c>
      <c r="Q49" s="688"/>
      <c r="R49" s="671">
        <f>SUM(R47+R48)</f>
        <v>0</v>
      </c>
      <c r="S49" s="688"/>
      <c r="T49" s="671">
        <f>SUM(T47:T48)</f>
        <v>0</v>
      </c>
      <c r="U49" s="688"/>
      <c r="V49" s="670">
        <f>SUM(V47:V48)</f>
        <v>0</v>
      </c>
      <c r="W49" s="327"/>
      <c r="X49" s="646"/>
      <c r="Y49" s="670">
        <f>SUM(Y47+Y48)</f>
        <v>0</v>
      </c>
      <c r="Z49" s="327"/>
      <c r="AA49" s="670">
        <f>SUM(AA47+AA48)</f>
        <v>0</v>
      </c>
      <c r="AB49" s="688"/>
      <c r="AC49" s="671">
        <f>SUM(AC47+AC48)</f>
        <v>0</v>
      </c>
      <c r="AD49" s="688"/>
      <c r="AE49" s="671">
        <f>SUM(AE47:AE48)</f>
        <v>0</v>
      </c>
      <c r="AF49" s="688"/>
      <c r="AG49" s="670">
        <f>SUM(AG47:AG48)</f>
        <v>0</v>
      </c>
      <c r="AH49" s="327"/>
      <c r="AL49" s="985">
        <f t="shared" si="0"/>
        <v>0</v>
      </c>
      <c r="AN49" s="620">
        <f t="shared" si="1"/>
        <v>0</v>
      </c>
      <c r="AO49" s="620">
        <f t="shared" si="2"/>
        <v>0</v>
      </c>
      <c r="AP49" s="620">
        <f t="shared" si="3"/>
        <v>0</v>
      </c>
    </row>
    <row r="50" spans="1:117" x14ac:dyDescent="0.3">
      <c r="B50" s="333" t="s">
        <v>444</v>
      </c>
      <c r="C50" s="665">
        <v>0</v>
      </c>
      <c r="D50" s="656">
        <f>$F$9</f>
        <v>0</v>
      </c>
      <c r="E50" s="663">
        <f t="shared" ref="E50:E57" si="27">C50</f>
        <v>0</v>
      </c>
      <c r="F50" s="656">
        <f>$F$9</f>
        <v>0</v>
      </c>
      <c r="G50" s="665">
        <f>SUM(G51:G52)</f>
        <v>0</v>
      </c>
      <c r="H50" s="656">
        <f>$F$9</f>
        <v>0</v>
      </c>
      <c r="I50" s="665">
        <f>SUM(I51:I52)</f>
        <v>0</v>
      </c>
      <c r="J50" s="656">
        <f>$F$9</f>
        <v>0</v>
      </c>
      <c r="K50" s="665">
        <f>SUM(K51:K52)</f>
        <v>0</v>
      </c>
      <c r="L50" s="656">
        <f>$F$9</f>
        <v>0</v>
      </c>
      <c r="M50" s="628"/>
      <c r="N50" s="665">
        <v>0</v>
      </c>
      <c r="O50" s="656">
        <f>$Q$9</f>
        <v>0</v>
      </c>
      <c r="P50" s="663">
        <f t="shared" ref="P50:P57" si="28">N50</f>
        <v>0</v>
      </c>
      <c r="Q50" s="656">
        <f>$AB$9</f>
        <v>0</v>
      </c>
      <c r="R50" s="665">
        <f>SUM(R51:R52)</f>
        <v>0</v>
      </c>
      <c r="S50" s="656">
        <f>$F$9</f>
        <v>0</v>
      </c>
      <c r="T50" s="665">
        <f>SUM(T51:T52)</f>
        <v>0</v>
      </c>
      <c r="U50" s="656">
        <f>$F$9</f>
        <v>0</v>
      </c>
      <c r="V50" s="665">
        <f>SUM(V51:V52)</f>
        <v>0</v>
      </c>
      <c r="W50" s="656">
        <f>$AB$9</f>
        <v>0</v>
      </c>
      <c r="X50" s="648"/>
      <c r="Y50" s="665">
        <v>0</v>
      </c>
      <c r="Z50" s="656">
        <f>$AB$9</f>
        <v>0</v>
      </c>
      <c r="AA50" s="663">
        <f t="shared" ref="AA50:AA57" si="29">Y50</f>
        <v>0</v>
      </c>
      <c r="AB50" s="656">
        <f>$AB$9</f>
        <v>0</v>
      </c>
      <c r="AC50" s="665">
        <f>SUM(AC51:AC52)</f>
        <v>0</v>
      </c>
      <c r="AD50" s="656">
        <f>$F$9</f>
        <v>0</v>
      </c>
      <c r="AE50" s="665">
        <f>SUM(AE51:AE52)</f>
        <v>0</v>
      </c>
      <c r="AF50" s="656">
        <f>$F$9</f>
        <v>0</v>
      </c>
      <c r="AG50" s="665">
        <f>SUM(AG51:AG52)</f>
        <v>0</v>
      </c>
      <c r="AH50" s="656">
        <f>$AB$9</f>
        <v>0</v>
      </c>
      <c r="AL50" s="985">
        <f t="shared" si="0"/>
        <v>0</v>
      </c>
      <c r="AN50" s="620">
        <f t="shared" si="1"/>
        <v>0</v>
      </c>
      <c r="AO50" s="620">
        <f t="shared" si="2"/>
        <v>0</v>
      </c>
      <c r="AP50" s="620">
        <f t="shared" si="3"/>
        <v>0</v>
      </c>
    </row>
    <row r="51" spans="1:117" x14ac:dyDescent="0.3">
      <c r="B51" s="746" t="s">
        <v>445</v>
      </c>
      <c r="C51" s="740">
        <v>0</v>
      </c>
      <c r="D51" s="743">
        <f>$F$9</f>
        <v>0</v>
      </c>
      <c r="E51" s="740">
        <f t="shared" si="27"/>
        <v>0</v>
      </c>
      <c r="F51" s="743">
        <f>$F$9</f>
        <v>0</v>
      </c>
      <c r="G51" s="740">
        <v>0</v>
      </c>
      <c r="H51" s="743">
        <f>$F$9</f>
        <v>0</v>
      </c>
      <c r="I51" s="740">
        <v>0</v>
      </c>
      <c r="J51" s="743">
        <f>$F$9</f>
        <v>0</v>
      </c>
      <c r="K51" s="740">
        <v>0</v>
      </c>
      <c r="L51" s="743">
        <f>$F$9</f>
        <v>0</v>
      </c>
      <c r="M51" s="628"/>
      <c r="N51" s="742"/>
      <c r="O51" s="743">
        <f t="shared" ref="O51:O53" si="30">$Q$9</f>
        <v>0</v>
      </c>
      <c r="P51" s="740">
        <f t="shared" si="28"/>
        <v>0</v>
      </c>
      <c r="Q51" s="743">
        <f t="shared" ref="Q51:W53" si="31">$AB$9</f>
        <v>0</v>
      </c>
      <c r="R51" s="740">
        <v>0</v>
      </c>
      <c r="S51" s="743"/>
      <c r="T51" s="740">
        <v>0</v>
      </c>
      <c r="U51" s="743"/>
      <c r="V51" s="740">
        <v>0</v>
      </c>
      <c r="W51" s="743">
        <f t="shared" si="31"/>
        <v>0</v>
      </c>
      <c r="X51" s="648"/>
      <c r="Y51" s="742"/>
      <c r="Z51" s="743">
        <f t="shared" ref="Z51:Z53" si="32">$AB$9</f>
        <v>0</v>
      </c>
      <c r="AA51" s="740">
        <f t="shared" si="29"/>
        <v>0</v>
      </c>
      <c r="AB51" s="743">
        <f t="shared" ref="AB51:AH53" si="33">$AB$9</f>
        <v>0</v>
      </c>
      <c r="AC51" s="740">
        <v>0</v>
      </c>
      <c r="AD51" s="743"/>
      <c r="AE51" s="740">
        <v>0</v>
      </c>
      <c r="AF51" s="743"/>
      <c r="AG51" s="740">
        <v>0</v>
      </c>
      <c r="AH51" s="743">
        <f t="shared" si="33"/>
        <v>0</v>
      </c>
      <c r="AL51" s="985">
        <f t="shared" si="0"/>
        <v>0</v>
      </c>
      <c r="AN51" s="620"/>
      <c r="AO51" s="620"/>
      <c r="AP51" s="620"/>
    </row>
    <row r="52" spans="1:117" x14ac:dyDescent="0.3">
      <c r="B52" s="746" t="s">
        <v>446</v>
      </c>
      <c r="C52" s="740">
        <v>0</v>
      </c>
      <c r="D52" s="743">
        <f>$F$9</f>
        <v>0</v>
      </c>
      <c r="E52" s="740">
        <f t="shared" si="27"/>
        <v>0</v>
      </c>
      <c r="F52" s="743">
        <f>$F$9</f>
        <v>0</v>
      </c>
      <c r="G52" s="740">
        <v>0</v>
      </c>
      <c r="H52" s="743">
        <f>$F$9</f>
        <v>0</v>
      </c>
      <c r="I52" s="740">
        <v>0</v>
      </c>
      <c r="J52" s="743">
        <f>$F$9</f>
        <v>0</v>
      </c>
      <c r="K52" s="740">
        <v>0</v>
      </c>
      <c r="L52" s="743">
        <f>$F$9</f>
        <v>0</v>
      </c>
      <c r="M52" s="628"/>
      <c r="N52" s="742"/>
      <c r="O52" s="743">
        <f t="shared" si="30"/>
        <v>0</v>
      </c>
      <c r="P52" s="740">
        <f t="shared" si="28"/>
        <v>0</v>
      </c>
      <c r="Q52" s="743">
        <f t="shared" si="31"/>
        <v>0</v>
      </c>
      <c r="R52" s="740">
        <v>0</v>
      </c>
      <c r="S52" s="743"/>
      <c r="T52" s="740">
        <v>0</v>
      </c>
      <c r="U52" s="743"/>
      <c r="V52" s="740">
        <v>0</v>
      </c>
      <c r="W52" s="743">
        <f t="shared" si="31"/>
        <v>0</v>
      </c>
      <c r="X52" s="648"/>
      <c r="Y52" s="742"/>
      <c r="Z52" s="743">
        <f t="shared" si="32"/>
        <v>0</v>
      </c>
      <c r="AA52" s="740">
        <f t="shared" si="29"/>
        <v>0</v>
      </c>
      <c r="AB52" s="743">
        <f t="shared" si="33"/>
        <v>0</v>
      </c>
      <c r="AC52" s="740">
        <v>0</v>
      </c>
      <c r="AD52" s="743"/>
      <c r="AE52" s="740">
        <v>0</v>
      </c>
      <c r="AF52" s="743"/>
      <c r="AG52" s="740">
        <v>0</v>
      </c>
      <c r="AH52" s="743">
        <f t="shared" si="33"/>
        <v>0</v>
      </c>
      <c r="AL52" s="985">
        <f t="shared" si="0"/>
        <v>0</v>
      </c>
      <c r="AN52" s="620"/>
      <c r="AO52" s="620"/>
      <c r="AP52" s="620"/>
    </row>
    <row r="53" spans="1:117" x14ac:dyDescent="0.3">
      <c r="B53" s="333" t="s">
        <v>447</v>
      </c>
      <c r="C53" s="665">
        <v>0</v>
      </c>
      <c r="D53" s="656">
        <f>$F$9</f>
        <v>0</v>
      </c>
      <c r="E53" s="663">
        <f t="shared" si="27"/>
        <v>0</v>
      </c>
      <c r="F53" s="656">
        <f>$F$9</f>
        <v>0</v>
      </c>
      <c r="G53" s="665">
        <v>0</v>
      </c>
      <c r="H53" s="656">
        <f>$F$9</f>
        <v>0</v>
      </c>
      <c r="I53" s="665">
        <v>0</v>
      </c>
      <c r="J53" s="656">
        <f>$F$9</f>
        <v>0</v>
      </c>
      <c r="K53" s="665">
        <v>0</v>
      </c>
      <c r="L53" s="656">
        <f>$F$9</f>
        <v>0</v>
      </c>
      <c r="M53" s="628"/>
      <c r="N53" s="665">
        <v>0</v>
      </c>
      <c r="O53" s="656">
        <f t="shared" si="30"/>
        <v>0</v>
      </c>
      <c r="P53" s="663">
        <f t="shared" si="28"/>
        <v>0</v>
      </c>
      <c r="Q53" s="656">
        <f t="shared" si="31"/>
        <v>0</v>
      </c>
      <c r="R53" s="665">
        <v>0</v>
      </c>
      <c r="S53" s="656">
        <f>$F$9</f>
        <v>0</v>
      </c>
      <c r="T53" s="665">
        <v>0</v>
      </c>
      <c r="U53" s="656">
        <f>$F$9</f>
        <v>0</v>
      </c>
      <c r="V53" s="665">
        <v>0</v>
      </c>
      <c r="W53" s="656">
        <f t="shared" si="31"/>
        <v>0</v>
      </c>
      <c r="X53" s="648"/>
      <c r="Y53" s="665">
        <v>0</v>
      </c>
      <c r="Z53" s="656">
        <f t="shared" si="32"/>
        <v>0</v>
      </c>
      <c r="AA53" s="663">
        <f t="shared" si="29"/>
        <v>0</v>
      </c>
      <c r="AB53" s="656">
        <f t="shared" si="33"/>
        <v>0</v>
      </c>
      <c r="AC53" s="665">
        <v>0</v>
      </c>
      <c r="AD53" s="656">
        <f>$F$9</f>
        <v>0</v>
      </c>
      <c r="AE53" s="665">
        <v>0</v>
      </c>
      <c r="AF53" s="656">
        <f>$F$9</f>
        <v>0</v>
      </c>
      <c r="AG53" s="665">
        <v>0</v>
      </c>
      <c r="AH53" s="656">
        <f t="shared" si="33"/>
        <v>0</v>
      </c>
      <c r="AL53" s="985">
        <f t="shared" si="0"/>
        <v>0</v>
      </c>
      <c r="AN53" s="620"/>
      <c r="AO53" s="620"/>
      <c r="AP53" s="620"/>
    </row>
    <row r="54" spans="1:117" x14ac:dyDescent="0.3">
      <c r="B54" s="333" t="s">
        <v>335</v>
      </c>
      <c r="C54" s="665">
        <f ca="1">IFERROR(kunst!$B$11*('Overzicht BTA'!$D$16/'Overzicht project'!$E$66),0)</f>
        <v>0</v>
      </c>
      <c r="D54" s="335">
        <f>$F$12</f>
        <v>0.06</v>
      </c>
      <c r="E54" s="665">
        <f t="shared" ca="1" si="27"/>
        <v>0</v>
      </c>
      <c r="F54" s="335">
        <f>$F$12</f>
        <v>0.06</v>
      </c>
      <c r="G54" s="665">
        <v>0</v>
      </c>
      <c r="H54" s="335">
        <f>$F$12</f>
        <v>0.06</v>
      </c>
      <c r="I54" s="665">
        <v>0</v>
      </c>
      <c r="J54" s="335">
        <f>$F$12</f>
        <v>0.06</v>
      </c>
      <c r="K54" s="665">
        <v>0</v>
      </c>
      <c r="L54" s="335">
        <f>$F$12</f>
        <v>0.06</v>
      </c>
      <c r="M54" s="629"/>
      <c r="N54" s="665">
        <f ca="1">IFERROR(kunst!$B$11*('Overzicht BTA'!$J$16/'Overzicht project'!$E$66),0)</f>
        <v>0</v>
      </c>
      <c r="O54" s="335">
        <f>$Q$12</f>
        <v>0.06</v>
      </c>
      <c r="P54" s="665">
        <f t="shared" ca="1" si="28"/>
        <v>0</v>
      </c>
      <c r="Q54" s="335">
        <f>$AB$12</f>
        <v>0.06</v>
      </c>
      <c r="R54" s="665">
        <v>0</v>
      </c>
      <c r="S54" s="335">
        <f>$F$12</f>
        <v>0.06</v>
      </c>
      <c r="T54" s="665">
        <v>0</v>
      </c>
      <c r="U54" s="335">
        <f>$F$12</f>
        <v>0.06</v>
      </c>
      <c r="V54" s="665">
        <v>0</v>
      </c>
      <c r="W54" s="335">
        <f>$AB$12</f>
        <v>0.06</v>
      </c>
      <c r="X54" s="647"/>
      <c r="Y54" s="665">
        <f ca="1">IFERROR(kunst!$B$11*('Overzicht BTA'!$P$16/'Overzicht project'!$E$66),0)</f>
        <v>0</v>
      </c>
      <c r="Z54" s="335">
        <f>$AB$12</f>
        <v>0.06</v>
      </c>
      <c r="AA54" s="665">
        <f t="shared" ca="1" si="29"/>
        <v>0</v>
      </c>
      <c r="AB54" s="335">
        <f>$AB$12</f>
        <v>0.06</v>
      </c>
      <c r="AC54" s="665">
        <v>0</v>
      </c>
      <c r="AD54" s="335">
        <f>$F$12</f>
        <v>0.06</v>
      </c>
      <c r="AE54" s="665">
        <v>0</v>
      </c>
      <c r="AF54" s="335">
        <f>$F$12</f>
        <v>0.06</v>
      </c>
      <c r="AG54" s="665">
        <v>0</v>
      </c>
      <c r="AH54" s="335">
        <f>$AB$12</f>
        <v>0.06</v>
      </c>
      <c r="AL54" s="985">
        <f t="shared" si="0"/>
        <v>0</v>
      </c>
      <c r="AN54" s="620">
        <f t="shared" ref="AN54" si="34">IFERROR(K54*$AO$4/$AR$4,0)</f>
        <v>0</v>
      </c>
      <c r="AO54" s="620">
        <f t="shared" ref="AO54" si="35">IFERROR(K54*$AP$4/$AR$4,0)</f>
        <v>0</v>
      </c>
      <c r="AP54" s="620">
        <f t="shared" ref="AP54" si="36">IFERROR(K54*$AQ$4/$AR$4,0)</f>
        <v>0</v>
      </c>
      <c r="AZ54" s="620">
        <f t="shared" ref="AZ54" si="37">IFERROR(H54*$AZ$4/$BC$4,0)</f>
        <v>0</v>
      </c>
      <c r="BA54" s="620">
        <f t="shared" ref="BA54" si="38">IFERROR(H54*$BA$4/$BC$4,0)</f>
        <v>0</v>
      </c>
      <c r="BB54" s="620">
        <f t="shared" ref="BB54" si="39">IFERROR(H54*$BB$4/$BC$4,0)</f>
        <v>0</v>
      </c>
    </row>
    <row r="55" spans="1:117" s="669" customFormat="1" x14ac:dyDescent="0.3">
      <c r="A55"/>
      <c r="B55" s="333" t="s">
        <v>448</v>
      </c>
      <c r="C55" s="665">
        <v>0</v>
      </c>
      <c r="D55" s="656">
        <f>$F$10</f>
        <v>0.21</v>
      </c>
      <c r="E55" s="663">
        <f t="shared" si="27"/>
        <v>0</v>
      </c>
      <c r="F55" s="656">
        <f>$F$10</f>
        <v>0.21</v>
      </c>
      <c r="G55" s="665">
        <v>0</v>
      </c>
      <c r="H55" s="656">
        <f>$F$10</f>
        <v>0.21</v>
      </c>
      <c r="I55" s="665">
        <v>0</v>
      </c>
      <c r="J55" s="656">
        <f>$F$10</f>
        <v>0.21</v>
      </c>
      <c r="K55" s="665">
        <v>0</v>
      </c>
      <c r="L55" s="656">
        <f>$F$10</f>
        <v>0.21</v>
      </c>
      <c r="M55" s="629"/>
      <c r="N55" s="665">
        <v>0</v>
      </c>
      <c r="O55" s="656">
        <f t="shared" ref="O55" si="40">$Q$10</f>
        <v>0.21</v>
      </c>
      <c r="P55" s="663">
        <f t="shared" si="28"/>
        <v>0</v>
      </c>
      <c r="Q55" s="656">
        <f t="shared" ref="Q55:W55" si="41">$AB$10</f>
        <v>0.21</v>
      </c>
      <c r="R55" s="665">
        <v>0</v>
      </c>
      <c r="S55" s="656">
        <f>$F$10</f>
        <v>0.21</v>
      </c>
      <c r="T55" s="665">
        <v>0</v>
      </c>
      <c r="U55" s="656">
        <f>$F$10</f>
        <v>0.21</v>
      </c>
      <c r="V55" s="665">
        <v>0</v>
      </c>
      <c r="W55" s="656">
        <f t="shared" si="41"/>
        <v>0.21</v>
      </c>
      <c r="X55" s="647"/>
      <c r="Y55" s="665">
        <v>0</v>
      </c>
      <c r="Z55" s="656">
        <f t="shared" ref="Z55" si="42">$AB$10</f>
        <v>0.21</v>
      </c>
      <c r="AA55" s="663">
        <f t="shared" si="29"/>
        <v>0</v>
      </c>
      <c r="AB55" s="656">
        <f t="shared" ref="AB55:AH55" si="43">$AB$10</f>
        <v>0.21</v>
      </c>
      <c r="AC55" s="665">
        <v>0</v>
      </c>
      <c r="AD55" s="656">
        <f>$F$10</f>
        <v>0.21</v>
      </c>
      <c r="AE55" s="665">
        <v>0</v>
      </c>
      <c r="AF55" s="656">
        <f>$F$10</f>
        <v>0.21</v>
      </c>
      <c r="AG55" s="665">
        <v>0</v>
      </c>
      <c r="AH55" s="656">
        <f t="shared" si="43"/>
        <v>0.21</v>
      </c>
      <c r="AI55" s="168"/>
      <c r="AJ55" s="168"/>
      <c r="AK55" s="168"/>
      <c r="AL55" s="985"/>
      <c r="AM55" s="168"/>
      <c r="AN55" s="620"/>
      <c r="AO55" s="620"/>
      <c r="AP55" s="620"/>
      <c r="AQ55" s="168"/>
      <c r="AR55" s="168"/>
      <c r="AS55" s="168"/>
      <c r="AT55" s="168"/>
      <c r="AU55" s="168"/>
      <c r="AV55" s="168"/>
      <c r="AW55" s="168"/>
      <c r="AX55" s="168"/>
      <c r="AY55" s="168"/>
      <c r="AZ55" s="168"/>
      <c r="BA55" s="168"/>
      <c r="BB55" s="168"/>
      <c r="BC55" s="168"/>
      <c r="BD55" s="168"/>
      <c r="BE55" s="168"/>
      <c r="BF55" s="168"/>
      <c r="BG55" s="168"/>
      <c r="BH55" s="168"/>
      <c r="BI55" s="168"/>
      <c r="BJ55" s="168"/>
      <c r="BK55" s="168"/>
      <c r="BL55" s="168"/>
      <c r="BM55" s="168"/>
      <c r="BN55" s="168"/>
      <c r="BO55" s="168"/>
      <c r="BP55" s="168"/>
      <c r="BQ55" s="168"/>
      <c r="BR55" s="168"/>
      <c r="BS55" s="168"/>
      <c r="BT55" s="168"/>
      <c r="BU55" s="168"/>
      <c r="BV55" s="168"/>
      <c r="BW55" s="168"/>
      <c r="BX55" s="168"/>
      <c r="BY55" s="168"/>
      <c r="BZ55" s="168"/>
      <c r="CA55" s="168"/>
      <c r="CB55" s="168"/>
      <c r="CC55" s="168"/>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row>
    <row r="56" spans="1:117" s="669" customFormat="1" ht="27.6" x14ac:dyDescent="0.3">
      <c r="A56"/>
      <c r="B56" s="333" t="s">
        <v>1456</v>
      </c>
      <c r="C56" s="665"/>
      <c r="D56" s="656">
        <f>$F$9</f>
        <v>0</v>
      </c>
      <c r="E56" s="663">
        <f t="shared" si="27"/>
        <v>0</v>
      </c>
      <c r="F56" s="656">
        <f>$F$9</f>
        <v>0</v>
      </c>
      <c r="G56" s="665">
        <v>0</v>
      </c>
      <c r="H56" s="656">
        <f>$F$9</f>
        <v>0</v>
      </c>
      <c r="I56" s="665">
        <v>0</v>
      </c>
      <c r="J56" s="656">
        <f>$F$9</f>
        <v>0</v>
      </c>
      <c r="K56" s="665">
        <v>0</v>
      </c>
      <c r="L56" s="656">
        <f>$F$9</f>
        <v>0</v>
      </c>
      <c r="M56" s="628"/>
      <c r="N56" s="665">
        <v>0</v>
      </c>
      <c r="O56" s="656">
        <f t="shared" ref="O56" si="44">$Q$9</f>
        <v>0</v>
      </c>
      <c r="P56" s="663">
        <f t="shared" si="28"/>
        <v>0</v>
      </c>
      <c r="Q56" s="656">
        <f t="shared" ref="Q56:W56" si="45">$AB$9</f>
        <v>0</v>
      </c>
      <c r="R56" s="665">
        <v>0</v>
      </c>
      <c r="S56" s="656">
        <f>$F$9</f>
        <v>0</v>
      </c>
      <c r="T56" s="665">
        <v>0</v>
      </c>
      <c r="U56" s="656">
        <f>$F$9</f>
        <v>0</v>
      </c>
      <c r="V56" s="665">
        <v>0</v>
      </c>
      <c r="W56" s="656">
        <f t="shared" si="45"/>
        <v>0</v>
      </c>
      <c r="X56" s="648"/>
      <c r="Y56" s="665">
        <v>0</v>
      </c>
      <c r="Z56" s="656">
        <f t="shared" ref="Z56" si="46">$AB$9</f>
        <v>0</v>
      </c>
      <c r="AA56" s="663">
        <f t="shared" si="29"/>
        <v>0</v>
      </c>
      <c r="AB56" s="656">
        <f t="shared" ref="AB56" si="47">$AB$9</f>
        <v>0</v>
      </c>
      <c r="AC56" s="665"/>
      <c r="AD56" s="656"/>
      <c r="AE56" s="665"/>
      <c r="AF56" s="656"/>
      <c r="AG56" s="665"/>
      <c r="AH56" s="656"/>
      <c r="AI56" s="168"/>
      <c r="AJ56" s="168"/>
      <c r="AK56" s="168"/>
      <c r="AL56" s="985"/>
      <c r="AM56" s="168"/>
      <c r="AN56" s="620"/>
      <c r="AO56" s="620"/>
      <c r="AP56" s="620"/>
      <c r="AQ56" s="168"/>
      <c r="AR56" s="168"/>
      <c r="AS56" s="168"/>
      <c r="AT56" s="168"/>
      <c r="AU56" s="168"/>
      <c r="AV56" s="168"/>
      <c r="AW56" s="168"/>
      <c r="AX56" s="168"/>
      <c r="AY56" s="168"/>
      <c r="AZ56" s="168"/>
      <c r="BA56" s="168"/>
      <c r="BB56" s="168"/>
      <c r="BC56" s="168"/>
      <c r="BD56" s="168"/>
      <c r="BE56" s="168"/>
      <c r="BF56" s="168"/>
      <c r="BG56" s="168"/>
      <c r="BH56" s="168"/>
      <c r="BI56" s="168"/>
      <c r="BJ56" s="168"/>
      <c r="BK56" s="168"/>
      <c r="BL56" s="168"/>
      <c r="BM56" s="168"/>
      <c r="BN56" s="168"/>
      <c r="BO56" s="168"/>
      <c r="BP56" s="168"/>
      <c r="BQ56" s="168"/>
      <c r="BR56" s="168"/>
      <c r="BS56" s="168"/>
      <c r="BT56" s="168"/>
      <c r="BU56" s="168"/>
      <c r="BV56" s="168"/>
      <c r="BW56" s="168"/>
      <c r="BX56" s="168"/>
      <c r="BY56" s="168"/>
      <c r="BZ56" s="168"/>
      <c r="CA56" s="168"/>
      <c r="CB56" s="168"/>
      <c r="CC56" s="168"/>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x14ac:dyDescent="0.3">
      <c r="B57" s="747" t="s">
        <v>450</v>
      </c>
      <c r="C57" s="740">
        <v>0</v>
      </c>
      <c r="D57" s="743">
        <f>$F$9</f>
        <v>0</v>
      </c>
      <c r="E57" s="740">
        <f t="shared" si="27"/>
        <v>0</v>
      </c>
      <c r="F57" s="743">
        <f>$F$9</f>
        <v>0</v>
      </c>
      <c r="G57" s="740">
        <v>0</v>
      </c>
      <c r="H57" s="741">
        <v>0.21</v>
      </c>
      <c r="I57" s="740">
        <v>0</v>
      </c>
      <c r="J57" s="741">
        <v>0.21</v>
      </c>
      <c r="K57" s="740">
        <v>0</v>
      </c>
      <c r="L57" s="743">
        <f>$F$9</f>
        <v>0</v>
      </c>
      <c r="M57" s="629"/>
      <c r="N57" s="740">
        <v>0</v>
      </c>
      <c r="O57" s="743">
        <f>$Q$9</f>
        <v>0</v>
      </c>
      <c r="P57" s="740">
        <f t="shared" si="28"/>
        <v>0</v>
      </c>
      <c r="Q57" s="743">
        <f>$AB$9</f>
        <v>0</v>
      </c>
      <c r="R57" s="740">
        <v>0</v>
      </c>
      <c r="S57" s="741">
        <v>0.21</v>
      </c>
      <c r="T57" s="740">
        <v>0</v>
      </c>
      <c r="U57" s="741">
        <v>0.21</v>
      </c>
      <c r="V57" s="740">
        <v>0</v>
      </c>
      <c r="W57" s="743">
        <f>$AB$9</f>
        <v>0</v>
      </c>
      <c r="X57" s="647"/>
      <c r="Y57" s="740"/>
      <c r="Z57" s="743">
        <f>$AB$9</f>
        <v>0</v>
      </c>
      <c r="AA57" s="740">
        <f t="shared" si="29"/>
        <v>0</v>
      </c>
      <c r="AB57" s="743">
        <f>$AB$9</f>
        <v>0</v>
      </c>
      <c r="AC57" s="740">
        <v>0</v>
      </c>
      <c r="AD57" s="741">
        <v>0.21</v>
      </c>
      <c r="AE57" s="740">
        <v>0</v>
      </c>
      <c r="AF57" s="741">
        <v>0.21</v>
      </c>
      <c r="AG57" s="740">
        <v>0</v>
      </c>
      <c r="AH57" s="743">
        <f>$AB$9</f>
        <v>0</v>
      </c>
      <c r="AL57" s="985">
        <f t="shared" si="0"/>
        <v>0</v>
      </c>
      <c r="AN57" s="620">
        <f t="shared" ref="AN57:AN64" si="48">IFERROR(K57*$AO$4/$AR$4,0)</f>
        <v>0</v>
      </c>
      <c r="AO57" s="620">
        <f t="shared" ref="AO57:AO64" si="49">IFERROR(K57*$AP$4/$AR$4,0)</f>
        <v>0</v>
      </c>
      <c r="AP57" s="620">
        <f t="shared" ref="AP57:AP64" si="50">IFERROR(K57*$AQ$4/$AR$4,0)</f>
        <v>0</v>
      </c>
    </row>
    <row r="58" spans="1:117" x14ac:dyDescent="0.3">
      <c r="B58" s="747" t="s">
        <v>451</v>
      </c>
      <c r="C58" s="740">
        <v>0</v>
      </c>
      <c r="D58" s="741">
        <f>$F$9</f>
        <v>0</v>
      </c>
      <c r="E58" s="740">
        <f t="shared" ref="E58:E59" si="51">C58</f>
        <v>0</v>
      </c>
      <c r="F58" s="741">
        <f>$F$9</f>
        <v>0</v>
      </c>
      <c r="G58" s="740">
        <v>0</v>
      </c>
      <c r="H58" s="741">
        <f>$F$9</f>
        <v>0</v>
      </c>
      <c r="I58" s="740">
        <v>0</v>
      </c>
      <c r="J58" s="741">
        <f>$F$9</f>
        <v>0</v>
      </c>
      <c r="K58" s="740">
        <v>0</v>
      </c>
      <c r="L58" s="741">
        <f>$F$9</f>
        <v>0</v>
      </c>
      <c r="M58" s="629"/>
      <c r="N58" s="740"/>
      <c r="O58" s="741">
        <f>$F$9</f>
        <v>0</v>
      </c>
      <c r="P58" s="740">
        <f t="shared" ref="P58:P59" si="52">N58</f>
        <v>0</v>
      </c>
      <c r="Q58" s="743">
        <f t="shared" ref="Q58:W59" si="53">$AB$9</f>
        <v>0</v>
      </c>
      <c r="R58" s="740">
        <v>0</v>
      </c>
      <c r="S58" s="741">
        <f>$F$9</f>
        <v>0</v>
      </c>
      <c r="T58" s="740">
        <v>0</v>
      </c>
      <c r="U58" s="741">
        <f>$F$9</f>
        <v>0</v>
      </c>
      <c r="V58" s="740">
        <v>0</v>
      </c>
      <c r="W58" s="743">
        <f t="shared" si="53"/>
        <v>0</v>
      </c>
      <c r="X58" s="647"/>
      <c r="Y58" s="740"/>
      <c r="Z58" s="743">
        <f t="shared" ref="Z58:Z59" si="54">$AB$9</f>
        <v>0</v>
      </c>
      <c r="AA58" s="740">
        <f t="shared" ref="AA58:AA59" si="55">Y58</f>
        <v>0</v>
      </c>
      <c r="AB58" s="743">
        <f t="shared" ref="AB58:AH59" si="56">$AB$9</f>
        <v>0</v>
      </c>
      <c r="AC58" s="740">
        <v>0</v>
      </c>
      <c r="AD58" s="741">
        <f>$F$9</f>
        <v>0</v>
      </c>
      <c r="AE58" s="740">
        <v>0</v>
      </c>
      <c r="AF58" s="741">
        <f>$F$9</f>
        <v>0</v>
      </c>
      <c r="AG58" s="740">
        <v>0</v>
      </c>
      <c r="AH58" s="743">
        <f t="shared" si="56"/>
        <v>0</v>
      </c>
      <c r="AL58" s="985">
        <f t="shared" si="0"/>
        <v>0</v>
      </c>
      <c r="AN58" s="620">
        <f t="shared" si="48"/>
        <v>0</v>
      </c>
      <c r="AO58" s="620">
        <f t="shared" si="49"/>
        <v>0</v>
      </c>
      <c r="AP58" s="620">
        <f t="shared" si="50"/>
        <v>0</v>
      </c>
    </row>
    <row r="59" spans="1:117" x14ac:dyDescent="0.3">
      <c r="B59" s="747" t="s">
        <v>452</v>
      </c>
      <c r="C59" s="740">
        <v>0</v>
      </c>
      <c r="D59" s="741">
        <f>$F$9</f>
        <v>0</v>
      </c>
      <c r="E59" s="740">
        <f t="shared" si="51"/>
        <v>0</v>
      </c>
      <c r="F59" s="741">
        <f>$F$9</f>
        <v>0</v>
      </c>
      <c r="G59" s="740">
        <v>0</v>
      </c>
      <c r="H59" s="741">
        <f>$F$9</f>
        <v>0</v>
      </c>
      <c r="I59" s="740">
        <v>0</v>
      </c>
      <c r="J59" s="741">
        <f>$F$9</f>
        <v>0</v>
      </c>
      <c r="K59" s="740">
        <v>0</v>
      </c>
      <c r="L59" s="741">
        <f>$F$9</f>
        <v>0</v>
      </c>
      <c r="M59" s="629"/>
      <c r="N59" s="740"/>
      <c r="O59" s="741">
        <f>$F$9</f>
        <v>0</v>
      </c>
      <c r="P59" s="740">
        <f t="shared" si="52"/>
        <v>0</v>
      </c>
      <c r="Q59" s="743">
        <f t="shared" si="53"/>
        <v>0</v>
      </c>
      <c r="R59" s="740">
        <v>0</v>
      </c>
      <c r="S59" s="741">
        <f>$F$9</f>
        <v>0</v>
      </c>
      <c r="T59" s="740">
        <v>0</v>
      </c>
      <c r="U59" s="741">
        <f>$F$9</f>
        <v>0</v>
      </c>
      <c r="V59" s="740">
        <v>0</v>
      </c>
      <c r="W59" s="743">
        <f t="shared" si="53"/>
        <v>0</v>
      </c>
      <c r="X59" s="647"/>
      <c r="Y59" s="740"/>
      <c r="Z59" s="743">
        <f t="shared" si="54"/>
        <v>0</v>
      </c>
      <c r="AA59" s="740">
        <f t="shared" si="55"/>
        <v>0</v>
      </c>
      <c r="AB59" s="743">
        <f t="shared" si="56"/>
        <v>0</v>
      </c>
      <c r="AC59" s="740">
        <v>0</v>
      </c>
      <c r="AD59" s="741">
        <f>$F$9</f>
        <v>0</v>
      </c>
      <c r="AE59" s="740">
        <v>0</v>
      </c>
      <c r="AF59" s="741">
        <f>$F$9</f>
        <v>0</v>
      </c>
      <c r="AG59" s="740">
        <v>0</v>
      </c>
      <c r="AH59" s="743">
        <f t="shared" si="56"/>
        <v>0</v>
      </c>
      <c r="AL59" s="985">
        <f t="shared" si="0"/>
        <v>0</v>
      </c>
      <c r="AN59" s="620">
        <f t="shared" si="48"/>
        <v>0</v>
      </c>
      <c r="AO59" s="620">
        <f t="shared" si="49"/>
        <v>0</v>
      </c>
      <c r="AP59" s="620">
        <f t="shared" si="50"/>
        <v>0</v>
      </c>
    </row>
    <row r="60" spans="1:117" x14ac:dyDescent="0.3">
      <c r="B60" s="328" t="s">
        <v>282</v>
      </c>
      <c r="C60" s="670">
        <f ca="1">C49+C50+C53+C54+C55+C56+C57+C58+C59</f>
        <v>0</v>
      </c>
      <c r="D60" s="327"/>
      <c r="E60" s="670">
        <f ca="1">E49+E50+E53+E54+E55+E56+E57+E58+E59</f>
        <v>0</v>
      </c>
      <c r="F60" s="670"/>
      <c r="G60" s="670">
        <f>G49+G50+G53+G54+G55+G56+G57+G58+G59</f>
        <v>0</v>
      </c>
      <c r="H60" s="670"/>
      <c r="I60" s="670">
        <f>I49+I50+I53+I54+I55+I56+I57+I58+I59</f>
        <v>0</v>
      </c>
      <c r="J60" s="670"/>
      <c r="K60" s="670">
        <f>K49+K50+K53+K54+K55+K56+K57+K58+K59</f>
        <v>0</v>
      </c>
      <c r="L60" s="670"/>
      <c r="M60" s="39"/>
      <c r="N60" s="670">
        <f ca="1">N49+N50+N53+N54+N55+N56+N57+N58+N59</f>
        <v>0</v>
      </c>
      <c r="O60" s="327"/>
      <c r="P60" s="670">
        <f ca="1">P49+P50+P53+P54+P55+P56+P57+P58+P59</f>
        <v>0</v>
      </c>
      <c r="Q60" s="670"/>
      <c r="R60" s="670">
        <f>R49+R50+R53+R54+R55+R56+R57+R58+R59</f>
        <v>0</v>
      </c>
      <c r="S60" s="670"/>
      <c r="T60" s="670">
        <f>T49+T50+T53+T54+T55+T56+T57+T58+T59</f>
        <v>0</v>
      </c>
      <c r="U60" s="670"/>
      <c r="V60" s="670">
        <f>V49+V50+V53+V54+V55+V56+V57+V58+V59</f>
        <v>0</v>
      </c>
      <c r="W60" s="670"/>
      <c r="X60" s="646"/>
      <c r="Y60" s="670">
        <f ca="1">Y49+Y50+Y53+Y54+Y55+Y56+Y57+Y58+Y59</f>
        <v>0</v>
      </c>
      <c r="Z60" s="327"/>
      <c r="AA60" s="670">
        <f ca="1">AA49+AA50+AA53+AA54+AA55+AA56+AA57+AA58+AA59</f>
        <v>0</v>
      </c>
      <c r="AB60" s="670"/>
      <c r="AC60" s="670">
        <f>AC49+AC50+AC53+AC54+AC55+AC56+AC57+AC58+AC59</f>
        <v>0</v>
      </c>
      <c r="AD60" s="670"/>
      <c r="AE60" s="670">
        <f>AE49+AE50+AE53+AE54+AE55+AE56+AE57+AE58+AE59</f>
        <v>0</v>
      </c>
      <c r="AF60" s="670"/>
      <c r="AG60" s="670">
        <f>AG49+AG50+AG53+AG54+AG55+AG56+AG57+AG58+AG59</f>
        <v>0</v>
      </c>
      <c r="AH60" s="670"/>
      <c r="AL60" s="985">
        <f t="shared" si="0"/>
        <v>0</v>
      </c>
      <c r="AN60" s="620">
        <f t="shared" si="48"/>
        <v>0</v>
      </c>
      <c r="AO60" s="620">
        <f t="shared" si="49"/>
        <v>0</v>
      </c>
      <c r="AP60" s="620">
        <f t="shared" si="50"/>
        <v>0</v>
      </c>
    </row>
    <row r="61" spans="1:117" x14ac:dyDescent="0.3">
      <c r="B61" s="18"/>
      <c r="C61" s="666"/>
      <c r="D61" s="18"/>
      <c r="E61" s="666"/>
      <c r="F61" s="18"/>
      <c r="G61" s="666"/>
      <c r="H61" s="18"/>
      <c r="I61" s="666"/>
      <c r="J61" s="18"/>
      <c r="K61" s="666"/>
      <c r="L61" s="18"/>
      <c r="M61" s="18"/>
      <c r="N61" s="666"/>
      <c r="O61" s="18"/>
      <c r="P61" s="666"/>
      <c r="Q61" s="18"/>
      <c r="R61" s="666"/>
      <c r="S61" s="18"/>
      <c r="T61" s="666"/>
      <c r="U61" s="18"/>
      <c r="V61" s="666"/>
      <c r="W61" s="18"/>
      <c r="X61" s="18"/>
      <c r="Y61" s="666"/>
      <c r="Z61" s="18"/>
      <c r="AA61" s="666"/>
      <c r="AB61" s="18"/>
      <c r="AC61" s="666"/>
      <c r="AD61" s="18"/>
      <c r="AE61" s="666"/>
      <c r="AF61" s="18"/>
      <c r="AG61" s="666"/>
      <c r="AH61" s="18"/>
      <c r="AJ61" s="994"/>
      <c r="AL61" s="985">
        <f t="shared" si="0"/>
        <v>0</v>
      </c>
      <c r="AN61" s="620">
        <f t="shared" si="48"/>
        <v>0</v>
      </c>
      <c r="AO61" s="620">
        <f t="shared" si="49"/>
        <v>0</v>
      </c>
      <c r="AP61" s="620">
        <f t="shared" si="50"/>
        <v>0</v>
      </c>
    </row>
    <row r="62" spans="1:117" x14ac:dyDescent="0.3">
      <c r="B62" s="328" t="s">
        <v>453</v>
      </c>
      <c r="C62" s="667">
        <f>0.1*(C50+C49)</f>
        <v>0</v>
      </c>
      <c r="D62" s="327"/>
      <c r="E62" s="667">
        <f>C62</f>
        <v>0</v>
      </c>
      <c r="F62" s="327"/>
      <c r="G62" s="667">
        <v>0</v>
      </c>
      <c r="H62" s="327"/>
      <c r="I62" s="667">
        <v>0</v>
      </c>
      <c r="J62" s="327"/>
      <c r="K62" s="611">
        <f>C62</f>
        <v>0</v>
      </c>
      <c r="L62" s="327"/>
      <c r="M62" s="39"/>
      <c r="N62" s="667">
        <f>0.1*(N50+N49)</f>
        <v>0</v>
      </c>
      <c r="O62" s="327"/>
      <c r="P62" s="667">
        <f>N62</f>
        <v>0</v>
      </c>
      <c r="Q62" s="327"/>
      <c r="R62" s="667">
        <v>0</v>
      </c>
      <c r="S62" s="327"/>
      <c r="T62" s="667">
        <v>0</v>
      </c>
      <c r="U62" s="327"/>
      <c r="V62" s="611">
        <f>N62</f>
        <v>0</v>
      </c>
      <c r="W62" s="327"/>
      <c r="X62" s="646"/>
      <c r="Y62" s="667">
        <v>0</v>
      </c>
      <c r="Z62" s="327"/>
      <c r="AA62" s="667">
        <f>Y62</f>
        <v>0</v>
      </c>
      <c r="AB62" s="327"/>
      <c r="AC62" s="667">
        <v>0</v>
      </c>
      <c r="AD62" s="327"/>
      <c r="AE62" s="667">
        <v>0</v>
      </c>
      <c r="AF62" s="327"/>
      <c r="AG62" s="611">
        <f>Y62</f>
        <v>0</v>
      </c>
      <c r="AH62" s="327"/>
      <c r="AI62" s="167"/>
      <c r="AJ62" s="167" t="s">
        <v>454</v>
      </c>
      <c r="AL62" s="985">
        <f t="shared" si="0"/>
        <v>0</v>
      </c>
      <c r="AN62" s="620">
        <f t="shared" si="48"/>
        <v>0</v>
      </c>
      <c r="AO62" s="620">
        <f t="shared" si="49"/>
        <v>0</v>
      </c>
      <c r="AP62" s="620">
        <f t="shared" si="50"/>
        <v>0</v>
      </c>
    </row>
    <row r="63" spans="1:117" x14ac:dyDescent="0.3">
      <c r="B63" s="748" t="s">
        <v>455</v>
      </c>
      <c r="C63" s="740">
        <v>0</v>
      </c>
      <c r="D63" s="741">
        <f t="shared" ref="D63:D78" si="57">$F$11</f>
        <v>0.21</v>
      </c>
      <c r="E63" s="740">
        <f>C63</f>
        <v>0</v>
      </c>
      <c r="F63" s="741">
        <f>$AB$11</f>
        <v>0.21</v>
      </c>
      <c r="G63" s="740">
        <v>0</v>
      </c>
      <c r="H63" s="741">
        <f>$AB$11</f>
        <v>0.21</v>
      </c>
      <c r="I63" s="740">
        <v>0</v>
      </c>
      <c r="J63" s="741">
        <f>$AB$11</f>
        <v>0.21</v>
      </c>
      <c r="K63" s="740">
        <v>0</v>
      </c>
      <c r="L63" s="741">
        <f>$AB$11</f>
        <v>0.21</v>
      </c>
      <c r="M63" s="629"/>
      <c r="N63" s="740">
        <v>0</v>
      </c>
      <c r="O63" s="741">
        <f>$Q$11</f>
        <v>0.21</v>
      </c>
      <c r="P63" s="740">
        <f>N63</f>
        <v>0</v>
      </c>
      <c r="Q63" s="741">
        <f>$AB$11</f>
        <v>0.21</v>
      </c>
      <c r="R63" s="740">
        <v>0</v>
      </c>
      <c r="S63" s="741">
        <f>$AB$11</f>
        <v>0.21</v>
      </c>
      <c r="T63" s="740">
        <v>0</v>
      </c>
      <c r="U63" s="741">
        <f>$AB$11</f>
        <v>0.21</v>
      </c>
      <c r="V63" s="740">
        <v>0</v>
      </c>
      <c r="W63" s="741">
        <f>$AB$11</f>
        <v>0.21</v>
      </c>
      <c r="X63" s="647"/>
      <c r="Y63" s="740">
        <v>0</v>
      </c>
      <c r="Z63" s="741">
        <f>$AB$11</f>
        <v>0.21</v>
      </c>
      <c r="AA63" s="740">
        <f>Y63</f>
        <v>0</v>
      </c>
      <c r="AB63" s="741">
        <f>$AB$11</f>
        <v>0.21</v>
      </c>
      <c r="AC63" s="740">
        <v>0</v>
      </c>
      <c r="AD63" s="741">
        <f>$AB$11</f>
        <v>0.21</v>
      </c>
      <c r="AE63" s="740">
        <v>0</v>
      </c>
      <c r="AF63" s="741">
        <f>$AB$11</f>
        <v>0.21</v>
      </c>
      <c r="AG63" s="740">
        <v>0</v>
      </c>
      <c r="AH63" s="741">
        <f>$AB$11</f>
        <v>0.21</v>
      </c>
      <c r="AI63" s="167"/>
      <c r="AJ63" s="167"/>
      <c r="AL63" s="985">
        <f t="shared" si="0"/>
        <v>0</v>
      </c>
      <c r="AN63" s="620">
        <f t="shared" si="48"/>
        <v>0</v>
      </c>
      <c r="AO63" s="620">
        <f t="shared" si="49"/>
        <v>0</v>
      </c>
      <c r="AP63" s="620">
        <f t="shared" si="50"/>
        <v>0</v>
      </c>
    </row>
    <row r="64" spans="1:117" x14ac:dyDescent="0.3">
      <c r="B64" s="749" t="s">
        <v>456</v>
      </c>
      <c r="C64" s="740">
        <v>0</v>
      </c>
      <c r="D64" s="741">
        <f t="shared" si="57"/>
        <v>0.21</v>
      </c>
      <c r="E64" s="740">
        <f t="shared" ref="E64:E77" si="58">C64</f>
        <v>0</v>
      </c>
      <c r="F64" s="741">
        <f t="shared" ref="F64:L78" si="59">$AB$11</f>
        <v>0.21</v>
      </c>
      <c r="G64" s="740">
        <v>0</v>
      </c>
      <c r="H64" s="741">
        <f t="shared" si="59"/>
        <v>0.21</v>
      </c>
      <c r="I64" s="740">
        <v>0</v>
      </c>
      <c r="J64" s="741">
        <f t="shared" si="59"/>
        <v>0.21</v>
      </c>
      <c r="K64" s="740">
        <v>0</v>
      </c>
      <c r="L64" s="741">
        <f t="shared" si="59"/>
        <v>0.21</v>
      </c>
      <c r="M64" s="629"/>
      <c r="N64" s="740">
        <v>0</v>
      </c>
      <c r="O64" s="741">
        <f t="shared" ref="O64:O78" si="60">$Q$11</f>
        <v>0.21</v>
      </c>
      <c r="P64" s="740">
        <f t="shared" ref="P64:P77" si="61">N64</f>
        <v>0</v>
      </c>
      <c r="Q64" s="741">
        <f t="shared" ref="Q64:W78" si="62">$AB$11</f>
        <v>0.21</v>
      </c>
      <c r="R64" s="740">
        <v>0</v>
      </c>
      <c r="S64" s="741">
        <f t="shared" si="62"/>
        <v>0.21</v>
      </c>
      <c r="T64" s="740">
        <v>0</v>
      </c>
      <c r="U64" s="741">
        <f t="shared" si="62"/>
        <v>0.21</v>
      </c>
      <c r="V64" s="740">
        <v>0</v>
      </c>
      <c r="W64" s="741">
        <f t="shared" si="62"/>
        <v>0.21</v>
      </c>
      <c r="X64" s="647"/>
      <c r="Y64" s="740">
        <v>0</v>
      </c>
      <c r="Z64" s="741">
        <f t="shared" ref="Z64:Z78" si="63">$AB$11</f>
        <v>0.21</v>
      </c>
      <c r="AA64" s="740">
        <f t="shared" ref="AA64:AA77" si="64">Y64</f>
        <v>0</v>
      </c>
      <c r="AB64" s="741">
        <f t="shared" ref="AB64:AH78" si="65">$AB$11</f>
        <v>0.21</v>
      </c>
      <c r="AC64" s="740">
        <v>0</v>
      </c>
      <c r="AD64" s="741">
        <f t="shared" si="65"/>
        <v>0.21</v>
      </c>
      <c r="AE64" s="740">
        <v>0</v>
      </c>
      <c r="AF64" s="741">
        <f t="shared" si="65"/>
        <v>0.21</v>
      </c>
      <c r="AG64" s="740">
        <v>0</v>
      </c>
      <c r="AH64" s="741">
        <f t="shared" si="65"/>
        <v>0.21</v>
      </c>
      <c r="AI64" s="167"/>
      <c r="AJ64" s="167"/>
      <c r="AL64" s="985">
        <f t="shared" si="0"/>
        <v>0</v>
      </c>
      <c r="AN64" s="620">
        <f t="shared" si="48"/>
        <v>0</v>
      </c>
      <c r="AO64" s="620">
        <f t="shared" si="49"/>
        <v>0</v>
      </c>
      <c r="AP64" s="620">
        <f t="shared" si="50"/>
        <v>0</v>
      </c>
    </row>
    <row r="65" spans="2:42" x14ac:dyDescent="0.3">
      <c r="B65" s="749" t="s">
        <v>457</v>
      </c>
      <c r="C65" s="740">
        <v>0</v>
      </c>
      <c r="D65" s="741">
        <f t="shared" si="57"/>
        <v>0.21</v>
      </c>
      <c r="E65" s="740">
        <f t="shared" si="58"/>
        <v>0</v>
      </c>
      <c r="F65" s="741">
        <f t="shared" si="59"/>
        <v>0.21</v>
      </c>
      <c r="G65" s="740">
        <v>0</v>
      </c>
      <c r="H65" s="741">
        <f t="shared" si="59"/>
        <v>0.21</v>
      </c>
      <c r="I65" s="740">
        <v>0</v>
      </c>
      <c r="J65" s="741">
        <f t="shared" si="59"/>
        <v>0.21</v>
      </c>
      <c r="K65" s="740">
        <v>0</v>
      </c>
      <c r="L65" s="741">
        <f t="shared" si="59"/>
        <v>0.21</v>
      </c>
      <c r="M65" s="629"/>
      <c r="N65" s="740">
        <v>0</v>
      </c>
      <c r="O65" s="741">
        <f t="shared" si="60"/>
        <v>0.21</v>
      </c>
      <c r="P65" s="740">
        <f t="shared" si="61"/>
        <v>0</v>
      </c>
      <c r="Q65" s="741">
        <f t="shared" si="62"/>
        <v>0.21</v>
      </c>
      <c r="R65" s="740">
        <v>0</v>
      </c>
      <c r="S65" s="741">
        <f t="shared" si="62"/>
        <v>0.21</v>
      </c>
      <c r="T65" s="740">
        <v>0</v>
      </c>
      <c r="U65" s="741">
        <f t="shared" si="62"/>
        <v>0.21</v>
      </c>
      <c r="V65" s="740">
        <v>0</v>
      </c>
      <c r="W65" s="741">
        <f t="shared" si="62"/>
        <v>0.21</v>
      </c>
      <c r="X65" s="647"/>
      <c r="Y65" s="740">
        <v>0</v>
      </c>
      <c r="Z65" s="741">
        <f t="shared" si="63"/>
        <v>0.21</v>
      </c>
      <c r="AA65" s="740">
        <f t="shared" si="64"/>
        <v>0</v>
      </c>
      <c r="AB65" s="741">
        <f t="shared" si="65"/>
        <v>0.21</v>
      </c>
      <c r="AC65" s="740">
        <v>0</v>
      </c>
      <c r="AD65" s="741">
        <f t="shared" si="65"/>
        <v>0.21</v>
      </c>
      <c r="AE65" s="740">
        <v>0</v>
      </c>
      <c r="AF65" s="741">
        <f t="shared" si="65"/>
        <v>0.21</v>
      </c>
      <c r="AG65" s="740">
        <v>0</v>
      </c>
      <c r="AH65" s="741">
        <f t="shared" si="65"/>
        <v>0.21</v>
      </c>
      <c r="AI65" s="167"/>
      <c r="AJ65" s="167"/>
      <c r="AL65" s="985">
        <f t="shared" si="0"/>
        <v>0</v>
      </c>
      <c r="AN65" s="620"/>
      <c r="AO65" s="620"/>
      <c r="AP65" s="620"/>
    </row>
    <row r="66" spans="2:42" x14ac:dyDescent="0.3">
      <c r="B66" s="748" t="s">
        <v>458</v>
      </c>
      <c r="C66" s="740">
        <v>0</v>
      </c>
      <c r="D66" s="741">
        <f t="shared" si="57"/>
        <v>0.21</v>
      </c>
      <c r="E66" s="740">
        <f t="shared" si="58"/>
        <v>0</v>
      </c>
      <c r="F66" s="741">
        <f t="shared" si="59"/>
        <v>0.21</v>
      </c>
      <c r="G66" s="740">
        <v>0</v>
      </c>
      <c r="H66" s="741">
        <f t="shared" si="59"/>
        <v>0.21</v>
      </c>
      <c r="I66" s="740">
        <v>0</v>
      </c>
      <c r="J66" s="741">
        <f t="shared" si="59"/>
        <v>0.21</v>
      </c>
      <c r="K66" s="740">
        <v>0</v>
      </c>
      <c r="L66" s="741">
        <f t="shared" si="59"/>
        <v>0.21</v>
      </c>
      <c r="M66" s="629"/>
      <c r="N66" s="740">
        <v>0</v>
      </c>
      <c r="O66" s="741">
        <f t="shared" si="60"/>
        <v>0.21</v>
      </c>
      <c r="P66" s="740">
        <f t="shared" si="61"/>
        <v>0</v>
      </c>
      <c r="Q66" s="741">
        <f t="shared" si="62"/>
        <v>0.21</v>
      </c>
      <c r="R66" s="740">
        <v>0</v>
      </c>
      <c r="S66" s="741">
        <f t="shared" si="62"/>
        <v>0.21</v>
      </c>
      <c r="T66" s="740">
        <v>0</v>
      </c>
      <c r="U66" s="741">
        <f t="shared" si="62"/>
        <v>0.21</v>
      </c>
      <c r="V66" s="740">
        <v>0</v>
      </c>
      <c r="W66" s="741">
        <f t="shared" si="62"/>
        <v>0.21</v>
      </c>
      <c r="X66" s="647"/>
      <c r="Y66" s="740">
        <v>0</v>
      </c>
      <c r="Z66" s="741">
        <f t="shared" si="63"/>
        <v>0.21</v>
      </c>
      <c r="AA66" s="740">
        <f t="shared" si="64"/>
        <v>0</v>
      </c>
      <c r="AB66" s="741">
        <f t="shared" si="65"/>
        <v>0.21</v>
      </c>
      <c r="AC66" s="740">
        <v>0</v>
      </c>
      <c r="AD66" s="741">
        <f t="shared" si="65"/>
        <v>0.21</v>
      </c>
      <c r="AE66" s="740">
        <v>0</v>
      </c>
      <c r="AF66" s="741">
        <f t="shared" si="65"/>
        <v>0.21</v>
      </c>
      <c r="AG66" s="740">
        <v>0</v>
      </c>
      <c r="AH66" s="741">
        <f t="shared" si="65"/>
        <v>0.21</v>
      </c>
      <c r="AI66" s="167"/>
      <c r="AJ66" s="167"/>
      <c r="AL66" s="985">
        <f t="shared" si="0"/>
        <v>0</v>
      </c>
      <c r="AN66" s="620"/>
      <c r="AO66" s="620"/>
      <c r="AP66" s="620"/>
    </row>
    <row r="67" spans="2:42" x14ac:dyDescent="0.3">
      <c r="B67" s="748" t="s">
        <v>459</v>
      </c>
      <c r="C67" s="740">
        <v>0</v>
      </c>
      <c r="D67" s="741">
        <f t="shared" si="57"/>
        <v>0.21</v>
      </c>
      <c r="E67" s="740">
        <f t="shared" si="58"/>
        <v>0</v>
      </c>
      <c r="F67" s="741">
        <f t="shared" si="59"/>
        <v>0.21</v>
      </c>
      <c r="G67" s="740">
        <v>0</v>
      </c>
      <c r="H67" s="741">
        <f t="shared" si="59"/>
        <v>0.21</v>
      </c>
      <c r="I67" s="740">
        <v>0</v>
      </c>
      <c r="J67" s="741">
        <f t="shared" si="59"/>
        <v>0.21</v>
      </c>
      <c r="K67" s="740">
        <v>0</v>
      </c>
      <c r="L67" s="741">
        <f t="shared" si="59"/>
        <v>0.21</v>
      </c>
      <c r="M67" s="629"/>
      <c r="N67" s="740">
        <v>0</v>
      </c>
      <c r="O67" s="741">
        <f t="shared" si="60"/>
        <v>0.21</v>
      </c>
      <c r="P67" s="740">
        <f t="shared" si="61"/>
        <v>0</v>
      </c>
      <c r="Q67" s="741">
        <f t="shared" si="62"/>
        <v>0.21</v>
      </c>
      <c r="R67" s="740">
        <v>0</v>
      </c>
      <c r="S67" s="741">
        <f t="shared" si="62"/>
        <v>0.21</v>
      </c>
      <c r="T67" s="740">
        <v>0</v>
      </c>
      <c r="U67" s="741">
        <f t="shared" si="62"/>
        <v>0.21</v>
      </c>
      <c r="V67" s="740">
        <v>0</v>
      </c>
      <c r="W67" s="741">
        <f t="shared" si="62"/>
        <v>0.21</v>
      </c>
      <c r="X67" s="647"/>
      <c r="Y67" s="740">
        <v>0</v>
      </c>
      <c r="Z67" s="741">
        <f t="shared" si="63"/>
        <v>0.21</v>
      </c>
      <c r="AA67" s="740">
        <f t="shared" si="64"/>
        <v>0</v>
      </c>
      <c r="AB67" s="741">
        <f t="shared" si="65"/>
        <v>0.21</v>
      </c>
      <c r="AC67" s="740">
        <v>0</v>
      </c>
      <c r="AD67" s="741">
        <f t="shared" si="65"/>
        <v>0.21</v>
      </c>
      <c r="AE67" s="740">
        <v>0</v>
      </c>
      <c r="AF67" s="741">
        <f t="shared" si="65"/>
        <v>0.21</v>
      </c>
      <c r="AG67" s="740">
        <v>0</v>
      </c>
      <c r="AH67" s="741">
        <f t="shared" si="65"/>
        <v>0.21</v>
      </c>
      <c r="AI67" s="167"/>
      <c r="AJ67" s="167"/>
      <c r="AL67" s="985">
        <f t="shared" si="0"/>
        <v>0</v>
      </c>
      <c r="AN67" s="620">
        <f>IFERROR(K67*$AO$4/$AR$4,0)</f>
        <v>0</v>
      </c>
      <c r="AO67" s="620">
        <f>IFERROR(K67*$AP$4/$AR$4,0)</f>
        <v>0</v>
      </c>
      <c r="AP67" s="620">
        <f>IFERROR(K67*$AQ$4/$AR$4,0)</f>
        <v>0</v>
      </c>
    </row>
    <row r="68" spans="2:42" x14ac:dyDescent="0.3">
      <c r="B68" s="748" t="s">
        <v>460</v>
      </c>
      <c r="C68" s="740">
        <v>0</v>
      </c>
      <c r="D68" s="741">
        <f t="shared" si="57"/>
        <v>0.21</v>
      </c>
      <c r="E68" s="740">
        <f t="shared" si="58"/>
        <v>0</v>
      </c>
      <c r="F68" s="741">
        <f t="shared" si="59"/>
        <v>0.21</v>
      </c>
      <c r="G68" s="740">
        <v>0</v>
      </c>
      <c r="H68" s="741">
        <f t="shared" si="59"/>
        <v>0.21</v>
      </c>
      <c r="I68" s="740">
        <v>0</v>
      </c>
      <c r="J68" s="741">
        <f t="shared" si="59"/>
        <v>0.21</v>
      </c>
      <c r="K68" s="740">
        <v>0</v>
      </c>
      <c r="L68" s="741">
        <f t="shared" si="59"/>
        <v>0.21</v>
      </c>
      <c r="M68" s="629"/>
      <c r="N68" s="740">
        <v>0</v>
      </c>
      <c r="O68" s="741">
        <f t="shared" si="60"/>
        <v>0.21</v>
      </c>
      <c r="P68" s="740">
        <f t="shared" si="61"/>
        <v>0</v>
      </c>
      <c r="Q68" s="741">
        <f t="shared" si="62"/>
        <v>0.21</v>
      </c>
      <c r="R68" s="740">
        <v>0</v>
      </c>
      <c r="S68" s="741">
        <f t="shared" si="62"/>
        <v>0.21</v>
      </c>
      <c r="T68" s="740">
        <v>0</v>
      </c>
      <c r="U68" s="741">
        <f t="shared" si="62"/>
        <v>0.21</v>
      </c>
      <c r="V68" s="740">
        <v>0</v>
      </c>
      <c r="W68" s="741">
        <f t="shared" si="62"/>
        <v>0.21</v>
      </c>
      <c r="X68" s="647"/>
      <c r="Y68" s="740">
        <v>0</v>
      </c>
      <c r="Z68" s="741">
        <f t="shared" si="63"/>
        <v>0.21</v>
      </c>
      <c r="AA68" s="740">
        <f t="shared" si="64"/>
        <v>0</v>
      </c>
      <c r="AB68" s="741">
        <f t="shared" si="65"/>
        <v>0.21</v>
      </c>
      <c r="AC68" s="740">
        <v>0</v>
      </c>
      <c r="AD68" s="741">
        <f t="shared" si="65"/>
        <v>0.21</v>
      </c>
      <c r="AE68" s="740">
        <v>0</v>
      </c>
      <c r="AF68" s="741">
        <f t="shared" si="65"/>
        <v>0.21</v>
      </c>
      <c r="AG68" s="740">
        <v>0</v>
      </c>
      <c r="AH68" s="741">
        <f t="shared" si="65"/>
        <v>0.21</v>
      </c>
      <c r="AI68" s="167"/>
      <c r="AJ68" s="167"/>
      <c r="AL68" s="985">
        <f t="shared" si="0"/>
        <v>0</v>
      </c>
      <c r="AN68" s="620">
        <f>IFERROR(K68*$AO$4/$AR$4,0)</f>
        <v>0</v>
      </c>
      <c r="AO68" s="620">
        <f>IFERROR(K68*$AP$4/$AR$4,0)</f>
        <v>0</v>
      </c>
      <c r="AP68" s="620">
        <f>IFERROR(K68*$AQ$4/$AR$4,0)</f>
        <v>0</v>
      </c>
    </row>
    <row r="69" spans="2:42" x14ac:dyDescent="0.3">
      <c r="B69" s="749" t="s">
        <v>461</v>
      </c>
      <c r="C69" s="740">
        <v>0</v>
      </c>
      <c r="D69" s="741">
        <f t="shared" si="57"/>
        <v>0.21</v>
      </c>
      <c r="E69" s="740">
        <f t="shared" si="58"/>
        <v>0</v>
      </c>
      <c r="F69" s="741">
        <f t="shared" si="59"/>
        <v>0.21</v>
      </c>
      <c r="G69" s="740">
        <v>0</v>
      </c>
      <c r="H69" s="741">
        <f t="shared" si="59"/>
        <v>0.21</v>
      </c>
      <c r="I69" s="740">
        <v>0</v>
      </c>
      <c r="J69" s="741">
        <f t="shared" si="59"/>
        <v>0.21</v>
      </c>
      <c r="K69" s="740">
        <v>0</v>
      </c>
      <c r="L69" s="741">
        <f t="shared" si="59"/>
        <v>0.21</v>
      </c>
      <c r="M69" s="629"/>
      <c r="N69" s="740">
        <v>0</v>
      </c>
      <c r="O69" s="741">
        <f t="shared" si="60"/>
        <v>0.21</v>
      </c>
      <c r="P69" s="740">
        <f t="shared" si="61"/>
        <v>0</v>
      </c>
      <c r="Q69" s="741">
        <f t="shared" si="62"/>
        <v>0.21</v>
      </c>
      <c r="R69" s="740">
        <v>0</v>
      </c>
      <c r="S69" s="741">
        <f t="shared" si="62"/>
        <v>0.21</v>
      </c>
      <c r="T69" s="740">
        <v>0</v>
      </c>
      <c r="U69" s="741">
        <f t="shared" si="62"/>
        <v>0.21</v>
      </c>
      <c r="V69" s="740">
        <v>0</v>
      </c>
      <c r="W69" s="741">
        <f t="shared" si="62"/>
        <v>0.21</v>
      </c>
      <c r="X69" s="647"/>
      <c r="Y69" s="740">
        <v>0</v>
      </c>
      <c r="Z69" s="741">
        <f t="shared" si="63"/>
        <v>0.21</v>
      </c>
      <c r="AA69" s="740">
        <f t="shared" si="64"/>
        <v>0</v>
      </c>
      <c r="AB69" s="741">
        <f t="shared" si="65"/>
        <v>0.21</v>
      </c>
      <c r="AC69" s="740">
        <v>0</v>
      </c>
      <c r="AD69" s="741">
        <f t="shared" si="65"/>
        <v>0.21</v>
      </c>
      <c r="AE69" s="740">
        <v>0</v>
      </c>
      <c r="AF69" s="741">
        <f t="shared" si="65"/>
        <v>0.21</v>
      </c>
      <c r="AG69" s="740">
        <v>0</v>
      </c>
      <c r="AH69" s="741">
        <f t="shared" si="65"/>
        <v>0.21</v>
      </c>
      <c r="AI69" s="167"/>
      <c r="AJ69" s="167"/>
      <c r="AL69" s="985">
        <f t="shared" si="0"/>
        <v>0</v>
      </c>
      <c r="AN69" s="620">
        <f>IFERROR(K69*$AO$4/$AR$4,0)</f>
        <v>0</v>
      </c>
      <c r="AO69" s="620">
        <f>IFERROR(K69*$AP$4/$AR$4,0)</f>
        <v>0</v>
      </c>
      <c r="AP69" s="620">
        <f>IFERROR(K69*$AQ$4/$AR$4,0)</f>
        <v>0</v>
      </c>
    </row>
    <row r="70" spans="2:42" x14ac:dyDescent="0.3">
      <c r="B70" s="748" t="s">
        <v>462</v>
      </c>
      <c r="C70" s="740">
        <v>0</v>
      </c>
      <c r="D70" s="741">
        <f t="shared" si="57"/>
        <v>0.21</v>
      </c>
      <c r="E70" s="740">
        <f t="shared" si="58"/>
        <v>0</v>
      </c>
      <c r="F70" s="741">
        <f t="shared" si="59"/>
        <v>0.21</v>
      </c>
      <c r="G70" s="740">
        <v>0</v>
      </c>
      <c r="H70" s="741">
        <f t="shared" si="59"/>
        <v>0.21</v>
      </c>
      <c r="I70" s="740">
        <v>0</v>
      </c>
      <c r="J70" s="741">
        <f t="shared" si="59"/>
        <v>0.21</v>
      </c>
      <c r="K70" s="740">
        <v>0</v>
      </c>
      <c r="L70" s="741">
        <f t="shared" si="59"/>
        <v>0.21</v>
      </c>
      <c r="M70" s="629"/>
      <c r="N70" s="740">
        <v>0</v>
      </c>
      <c r="O70" s="741">
        <f t="shared" si="60"/>
        <v>0.21</v>
      </c>
      <c r="P70" s="740">
        <f t="shared" si="61"/>
        <v>0</v>
      </c>
      <c r="Q70" s="741">
        <f t="shared" si="62"/>
        <v>0.21</v>
      </c>
      <c r="R70" s="740">
        <v>0</v>
      </c>
      <c r="S70" s="741">
        <f t="shared" si="62"/>
        <v>0.21</v>
      </c>
      <c r="T70" s="740">
        <v>0</v>
      </c>
      <c r="U70" s="741">
        <f t="shared" si="62"/>
        <v>0.21</v>
      </c>
      <c r="V70" s="740">
        <v>0</v>
      </c>
      <c r="W70" s="741">
        <f t="shared" si="62"/>
        <v>0.21</v>
      </c>
      <c r="X70" s="647"/>
      <c r="Y70" s="740">
        <v>0</v>
      </c>
      <c r="Z70" s="741">
        <f t="shared" si="63"/>
        <v>0.21</v>
      </c>
      <c r="AA70" s="740">
        <f t="shared" si="64"/>
        <v>0</v>
      </c>
      <c r="AB70" s="741">
        <f t="shared" si="65"/>
        <v>0.21</v>
      </c>
      <c r="AC70" s="740">
        <v>0</v>
      </c>
      <c r="AD70" s="741">
        <f t="shared" si="65"/>
        <v>0.21</v>
      </c>
      <c r="AE70" s="740">
        <v>0</v>
      </c>
      <c r="AF70" s="741">
        <f t="shared" si="65"/>
        <v>0.21</v>
      </c>
      <c r="AG70" s="740">
        <v>0</v>
      </c>
      <c r="AH70" s="741">
        <f t="shared" si="65"/>
        <v>0.21</v>
      </c>
      <c r="AI70" s="167"/>
      <c r="AJ70" s="167"/>
      <c r="AL70" s="985">
        <f t="shared" si="0"/>
        <v>0</v>
      </c>
      <c r="AN70" s="620"/>
      <c r="AO70" s="620"/>
      <c r="AP70" s="620"/>
    </row>
    <row r="71" spans="2:42" x14ac:dyDescent="0.3">
      <c r="B71" s="749" t="s">
        <v>463</v>
      </c>
      <c r="C71" s="740">
        <v>0</v>
      </c>
      <c r="D71" s="741">
        <f t="shared" si="57"/>
        <v>0.21</v>
      </c>
      <c r="E71" s="740">
        <f t="shared" si="58"/>
        <v>0</v>
      </c>
      <c r="F71" s="741">
        <f t="shared" si="59"/>
        <v>0.21</v>
      </c>
      <c r="G71" s="740">
        <v>0</v>
      </c>
      <c r="H71" s="741">
        <f t="shared" si="59"/>
        <v>0.21</v>
      </c>
      <c r="I71" s="740">
        <v>0</v>
      </c>
      <c r="J71" s="741">
        <f t="shared" si="59"/>
        <v>0.21</v>
      </c>
      <c r="K71" s="740">
        <v>0</v>
      </c>
      <c r="L71" s="741">
        <f t="shared" si="59"/>
        <v>0.21</v>
      </c>
      <c r="M71" s="629"/>
      <c r="N71" s="740">
        <v>0</v>
      </c>
      <c r="O71" s="741">
        <f t="shared" si="60"/>
        <v>0.21</v>
      </c>
      <c r="P71" s="740">
        <f t="shared" si="61"/>
        <v>0</v>
      </c>
      <c r="Q71" s="741">
        <f t="shared" si="62"/>
        <v>0.21</v>
      </c>
      <c r="R71" s="740">
        <v>0</v>
      </c>
      <c r="S71" s="741">
        <f t="shared" si="62"/>
        <v>0.21</v>
      </c>
      <c r="T71" s="740">
        <v>0</v>
      </c>
      <c r="U71" s="741">
        <f t="shared" si="62"/>
        <v>0.21</v>
      </c>
      <c r="V71" s="740">
        <v>0</v>
      </c>
      <c r="W71" s="741">
        <f t="shared" si="62"/>
        <v>0.21</v>
      </c>
      <c r="X71" s="647"/>
      <c r="Y71" s="740">
        <v>0</v>
      </c>
      <c r="Z71" s="741">
        <f t="shared" si="63"/>
        <v>0.21</v>
      </c>
      <c r="AA71" s="740">
        <f t="shared" si="64"/>
        <v>0</v>
      </c>
      <c r="AB71" s="741">
        <f t="shared" si="65"/>
        <v>0.21</v>
      </c>
      <c r="AC71" s="740">
        <v>0</v>
      </c>
      <c r="AD71" s="741">
        <f t="shared" si="65"/>
        <v>0.21</v>
      </c>
      <c r="AE71" s="740">
        <v>0</v>
      </c>
      <c r="AF71" s="741">
        <f t="shared" si="65"/>
        <v>0.21</v>
      </c>
      <c r="AG71" s="740">
        <v>0</v>
      </c>
      <c r="AH71" s="741">
        <f t="shared" si="65"/>
        <v>0.21</v>
      </c>
      <c r="AI71" s="167"/>
      <c r="AJ71" s="167"/>
      <c r="AL71" s="985">
        <f t="shared" si="0"/>
        <v>0</v>
      </c>
      <c r="AN71" s="620">
        <f>IFERROR(K71*$AO$4/$AR$4,0)</f>
        <v>0</v>
      </c>
      <c r="AO71" s="620">
        <f>IFERROR(K71*$AP$4/$AR$4,0)</f>
        <v>0</v>
      </c>
      <c r="AP71" s="620">
        <f>IFERROR(K71*$AQ$4/$AR$4,0)</f>
        <v>0</v>
      </c>
    </row>
    <row r="72" spans="2:42" x14ac:dyDescent="0.3">
      <c r="B72" s="749" t="s">
        <v>464</v>
      </c>
      <c r="C72" s="740">
        <v>0</v>
      </c>
      <c r="D72" s="741">
        <f t="shared" si="57"/>
        <v>0.21</v>
      </c>
      <c r="E72" s="740">
        <f t="shared" si="58"/>
        <v>0</v>
      </c>
      <c r="F72" s="741">
        <f t="shared" si="59"/>
        <v>0.21</v>
      </c>
      <c r="G72" s="740">
        <v>0</v>
      </c>
      <c r="H72" s="741">
        <f t="shared" si="59"/>
        <v>0.21</v>
      </c>
      <c r="I72" s="740">
        <v>0</v>
      </c>
      <c r="J72" s="741">
        <f t="shared" si="59"/>
        <v>0.21</v>
      </c>
      <c r="K72" s="740">
        <v>0</v>
      </c>
      <c r="L72" s="741">
        <f t="shared" si="59"/>
        <v>0.21</v>
      </c>
      <c r="M72" s="629"/>
      <c r="N72" s="740">
        <v>0</v>
      </c>
      <c r="O72" s="741">
        <f t="shared" si="60"/>
        <v>0.21</v>
      </c>
      <c r="P72" s="740">
        <f t="shared" si="61"/>
        <v>0</v>
      </c>
      <c r="Q72" s="741">
        <f t="shared" si="62"/>
        <v>0.21</v>
      </c>
      <c r="R72" s="740">
        <v>0</v>
      </c>
      <c r="S72" s="741">
        <f t="shared" si="62"/>
        <v>0.21</v>
      </c>
      <c r="T72" s="740">
        <v>0</v>
      </c>
      <c r="U72" s="741">
        <f t="shared" si="62"/>
        <v>0.21</v>
      </c>
      <c r="V72" s="740">
        <v>0</v>
      </c>
      <c r="W72" s="741">
        <f t="shared" si="62"/>
        <v>0.21</v>
      </c>
      <c r="X72" s="647"/>
      <c r="Y72" s="740">
        <v>0</v>
      </c>
      <c r="Z72" s="741">
        <f t="shared" si="63"/>
        <v>0.21</v>
      </c>
      <c r="AA72" s="740">
        <f t="shared" si="64"/>
        <v>0</v>
      </c>
      <c r="AB72" s="741">
        <f t="shared" si="65"/>
        <v>0.21</v>
      </c>
      <c r="AC72" s="740">
        <v>0</v>
      </c>
      <c r="AD72" s="741">
        <f t="shared" si="65"/>
        <v>0.21</v>
      </c>
      <c r="AE72" s="740">
        <v>0</v>
      </c>
      <c r="AF72" s="741">
        <f t="shared" si="65"/>
        <v>0.21</v>
      </c>
      <c r="AG72" s="740">
        <v>0</v>
      </c>
      <c r="AH72" s="741">
        <f t="shared" si="65"/>
        <v>0.21</v>
      </c>
      <c r="AI72" s="167"/>
      <c r="AJ72" s="167"/>
      <c r="AL72" s="985">
        <f t="shared" si="0"/>
        <v>0</v>
      </c>
      <c r="AN72" s="620">
        <f>IFERROR(K72*$AO$4/$AR$4,0)</f>
        <v>0</v>
      </c>
      <c r="AO72" s="620">
        <f>IFERROR(K72*$AP$4/$AR$4,0)</f>
        <v>0</v>
      </c>
      <c r="AP72" s="620">
        <f>IFERROR(K72*$AQ$4/$AR$4,0)</f>
        <v>0</v>
      </c>
    </row>
    <row r="73" spans="2:42" x14ac:dyDescent="0.3">
      <c r="B73" s="748" t="s">
        <v>465</v>
      </c>
      <c r="C73" s="740">
        <v>0</v>
      </c>
      <c r="D73" s="741">
        <f t="shared" si="57"/>
        <v>0.21</v>
      </c>
      <c r="E73" s="740">
        <f t="shared" si="58"/>
        <v>0</v>
      </c>
      <c r="F73" s="741">
        <f t="shared" si="59"/>
        <v>0.21</v>
      </c>
      <c r="G73" s="740">
        <v>0</v>
      </c>
      <c r="H73" s="741">
        <f t="shared" si="59"/>
        <v>0.21</v>
      </c>
      <c r="I73" s="740">
        <v>0</v>
      </c>
      <c r="J73" s="741">
        <f t="shared" si="59"/>
        <v>0.21</v>
      </c>
      <c r="K73" s="740">
        <v>0</v>
      </c>
      <c r="L73" s="741">
        <f t="shared" si="59"/>
        <v>0.21</v>
      </c>
      <c r="M73" s="629"/>
      <c r="N73" s="740">
        <v>0</v>
      </c>
      <c r="O73" s="741">
        <f t="shared" si="60"/>
        <v>0.21</v>
      </c>
      <c r="P73" s="740">
        <f t="shared" si="61"/>
        <v>0</v>
      </c>
      <c r="Q73" s="741">
        <f t="shared" si="62"/>
        <v>0.21</v>
      </c>
      <c r="R73" s="740">
        <v>0</v>
      </c>
      <c r="S73" s="741">
        <f t="shared" si="62"/>
        <v>0.21</v>
      </c>
      <c r="T73" s="740">
        <v>0</v>
      </c>
      <c r="U73" s="741">
        <f t="shared" si="62"/>
        <v>0.21</v>
      </c>
      <c r="V73" s="740">
        <v>0</v>
      </c>
      <c r="W73" s="741">
        <f t="shared" si="62"/>
        <v>0.21</v>
      </c>
      <c r="X73" s="647"/>
      <c r="Y73" s="740">
        <v>0</v>
      </c>
      <c r="Z73" s="741">
        <f t="shared" si="63"/>
        <v>0.21</v>
      </c>
      <c r="AA73" s="740">
        <f t="shared" si="64"/>
        <v>0</v>
      </c>
      <c r="AB73" s="741">
        <f t="shared" si="65"/>
        <v>0.21</v>
      </c>
      <c r="AC73" s="740">
        <v>0</v>
      </c>
      <c r="AD73" s="741">
        <f t="shared" si="65"/>
        <v>0.21</v>
      </c>
      <c r="AE73" s="740">
        <v>0</v>
      </c>
      <c r="AF73" s="741">
        <f t="shared" si="65"/>
        <v>0.21</v>
      </c>
      <c r="AG73" s="740">
        <v>0</v>
      </c>
      <c r="AH73" s="741">
        <f t="shared" si="65"/>
        <v>0.21</v>
      </c>
      <c r="AI73" s="167"/>
      <c r="AJ73" s="167"/>
      <c r="AL73" s="985">
        <f t="shared" si="0"/>
        <v>0</v>
      </c>
      <c r="AN73" s="620">
        <f>IFERROR(K73*$AO$4/$AR$4,0)</f>
        <v>0</v>
      </c>
      <c r="AO73" s="620">
        <f>IFERROR(K73*$AP$4/$AR$4,0)</f>
        <v>0</v>
      </c>
      <c r="AP73" s="620">
        <f>IFERROR(K73*$AQ$4/$AR$4,0)</f>
        <v>0</v>
      </c>
    </row>
    <row r="74" spans="2:42" x14ac:dyDescent="0.3">
      <c r="B74" s="748" t="s">
        <v>466</v>
      </c>
      <c r="C74" s="740">
        <v>0</v>
      </c>
      <c r="D74" s="741">
        <f t="shared" si="57"/>
        <v>0.21</v>
      </c>
      <c r="E74" s="740">
        <f t="shared" si="58"/>
        <v>0</v>
      </c>
      <c r="F74" s="741">
        <f t="shared" si="59"/>
        <v>0.21</v>
      </c>
      <c r="G74" s="740">
        <v>0</v>
      </c>
      <c r="H74" s="741">
        <f t="shared" si="59"/>
        <v>0.21</v>
      </c>
      <c r="I74" s="740">
        <v>0</v>
      </c>
      <c r="J74" s="741">
        <f t="shared" si="59"/>
        <v>0.21</v>
      </c>
      <c r="K74" s="740">
        <v>0</v>
      </c>
      <c r="L74" s="741">
        <f t="shared" si="59"/>
        <v>0.21</v>
      </c>
      <c r="M74" s="629"/>
      <c r="N74" s="740">
        <v>0</v>
      </c>
      <c r="O74" s="741">
        <f t="shared" si="60"/>
        <v>0.21</v>
      </c>
      <c r="P74" s="740">
        <f t="shared" si="61"/>
        <v>0</v>
      </c>
      <c r="Q74" s="741">
        <f t="shared" si="62"/>
        <v>0.21</v>
      </c>
      <c r="R74" s="740">
        <v>0</v>
      </c>
      <c r="S74" s="741">
        <f t="shared" si="62"/>
        <v>0.21</v>
      </c>
      <c r="T74" s="740">
        <v>0</v>
      </c>
      <c r="U74" s="741">
        <f t="shared" si="62"/>
        <v>0.21</v>
      </c>
      <c r="V74" s="740">
        <v>0</v>
      </c>
      <c r="W74" s="741">
        <f t="shared" si="62"/>
        <v>0.21</v>
      </c>
      <c r="X74" s="647"/>
      <c r="Y74" s="740">
        <v>0</v>
      </c>
      <c r="Z74" s="741">
        <f t="shared" si="63"/>
        <v>0.21</v>
      </c>
      <c r="AA74" s="740">
        <f t="shared" si="64"/>
        <v>0</v>
      </c>
      <c r="AB74" s="741">
        <f t="shared" si="65"/>
        <v>0.21</v>
      </c>
      <c r="AC74" s="740">
        <v>0</v>
      </c>
      <c r="AD74" s="741">
        <f t="shared" si="65"/>
        <v>0.21</v>
      </c>
      <c r="AE74" s="740">
        <v>0</v>
      </c>
      <c r="AF74" s="741">
        <f t="shared" si="65"/>
        <v>0.21</v>
      </c>
      <c r="AG74" s="740">
        <v>0</v>
      </c>
      <c r="AH74" s="741">
        <f t="shared" si="65"/>
        <v>0.21</v>
      </c>
      <c r="AI74" s="167"/>
      <c r="AJ74" s="167"/>
      <c r="AL74" s="985">
        <f t="shared" si="0"/>
        <v>0</v>
      </c>
      <c r="AN74" s="620">
        <f>IFERROR(K74*$AO$4/$AR$4,0)</f>
        <v>0</v>
      </c>
      <c r="AO74" s="620">
        <f>IFERROR(K74*$AP$4/$AR$4,0)</f>
        <v>0</v>
      </c>
      <c r="AP74" s="620">
        <f>IFERROR(K74*$AQ$4/$AR$4,0)</f>
        <v>0</v>
      </c>
    </row>
    <row r="75" spans="2:42" x14ac:dyDescent="0.3">
      <c r="B75" s="748" t="s">
        <v>467</v>
      </c>
      <c r="C75" s="740">
        <v>0</v>
      </c>
      <c r="D75" s="741">
        <f t="shared" si="57"/>
        <v>0.21</v>
      </c>
      <c r="E75" s="740">
        <f t="shared" si="58"/>
        <v>0</v>
      </c>
      <c r="F75" s="741">
        <f t="shared" si="59"/>
        <v>0.21</v>
      </c>
      <c r="G75" s="740">
        <v>0</v>
      </c>
      <c r="H75" s="741">
        <f t="shared" si="59"/>
        <v>0.21</v>
      </c>
      <c r="I75" s="740">
        <v>0</v>
      </c>
      <c r="J75" s="741">
        <f t="shared" si="59"/>
        <v>0.21</v>
      </c>
      <c r="K75" s="740">
        <v>0</v>
      </c>
      <c r="L75" s="741">
        <f t="shared" si="59"/>
        <v>0.21</v>
      </c>
      <c r="M75" s="629"/>
      <c r="N75" s="740">
        <v>0</v>
      </c>
      <c r="O75" s="741">
        <f t="shared" si="60"/>
        <v>0.21</v>
      </c>
      <c r="P75" s="740">
        <f t="shared" si="61"/>
        <v>0</v>
      </c>
      <c r="Q75" s="741">
        <f t="shared" si="62"/>
        <v>0.21</v>
      </c>
      <c r="R75" s="740">
        <v>0</v>
      </c>
      <c r="S75" s="741">
        <f t="shared" si="62"/>
        <v>0.21</v>
      </c>
      <c r="T75" s="740">
        <v>0</v>
      </c>
      <c r="U75" s="741">
        <f t="shared" si="62"/>
        <v>0.21</v>
      </c>
      <c r="V75" s="740">
        <v>0</v>
      </c>
      <c r="W75" s="741">
        <f t="shared" si="62"/>
        <v>0.21</v>
      </c>
      <c r="X75" s="647"/>
      <c r="Y75" s="740">
        <v>0</v>
      </c>
      <c r="Z75" s="741">
        <f t="shared" si="63"/>
        <v>0.21</v>
      </c>
      <c r="AA75" s="740">
        <f t="shared" si="64"/>
        <v>0</v>
      </c>
      <c r="AB75" s="741">
        <f t="shared" si="65"/>
        <v>0.21</v>
      </c>
      <c r="AC75" s="740">
        <v>0</v>
      </c>
      <c r="AD75" s="741">
        <f t="shared" si="65"/>
        <v>0.21</v>
      </c>
      <c r="AE75" s="740">
        <v>0</v>
      </c>
      <c r="AF75" s="741">
        <f t="shared" si="65"/>
        <v>0.21</v>
      </c>
      <c r="AG75" s="740">
        <v>0</v>
      </c>
      <c r="AH75" s="741">
        <f t="shared" si="65"/>
        <v>0.21</v>
      </c>
      <c r="AI75" s="167"/>
      <c r="AJ75" s="167"/>
      <c r="AL75" s="985">
        <f t="shared" si="0"/>
        <v>0</v>
      </c>
      <c r="AN75" s="620">
        <f>IFERROR(K75*$AO$4/$AR$4,0)</f>
        <v>0</v>
      </c>
      <c r="AO75" s="620">
        <f>IFERROR(K75*$AP$4/$AR$4,0)</f>
        <v>0</v>
      </c>
      <c r="AP75" s="620">
        <f>IFERROR(K75*$AQ$4/$AR$4,0)</f>
        <v>0</v>
      </c>
    </row>
    <row r="76" spans="2:42" x14ac:dyDescent="0.3">
      <c r="B76" s="744" t="s">
        <v>498</v>
      </c>
      <c r="C76" s="740">
        <v>0</v>
      </c>
      <c r="D76" s="741">
        <f t="shared" si="57"/>
        <v>0.21</v>
      </c>
      <c r="E76" s="740">
        <f t="shared" si="58"/>
        <v>0</v>
      </c>
      <c r="F76" s="741">
        <f t="shared" si="59"/>
        <v>0.21</v>
      </c>
      <c r="G76" s="740">
        <v>0</v>
      </c>
      <c r="H76" s="741">
        <f t="shared" si="59"/>
        <v>0.21</v>
      </c>
      <c r="I76" s="740">
        <v>0</v>
      </c>
      <c r="J76" s="741">
        <f t="shared" si="59"/>
        <v>0.21</v>
      </c>
      <c r="K76" s="740">
        <v>0</v>
      </c>
      <c r="L76" s="741">
        <f t="shared" si="59"/>
        <v>0.21</v>
      </c>
      <c r="M76" s="629"/>
      <c r="N76" s="740">
        <v>0</v>
      </c>
      <c r="O76" s="741">
        <f t="shared" si="60"/>
        <v>0.21</v>
      </c>
      <c r="P76" s="740">
        <f t="shared" si="61"/>
        <v>0</v>
      </c>
      <c r="Q76" s="741">
        <f t="shared" si="62"/>
        <v>0.21</v>
      </c>
      <c r="R76" s="740">
        <v>0</v>
      </c>
      <c r="S76" s="741">
        <f t="shared" si="62"/>
        <v>0.21</v>
      </c>
      <c r="T76" s="740">
        <v>0</v>
      </c>
      <c r="U76" s="741">
        <f t="shared" si="62"/>
        <v>0.21</v>
      </c>
      <c r="V76" s="740">
        <v>0</v>
      </c>
      <c r="W76" s="741">
        <f t="shared" si="62"/>
        <v>0.21</v>
      </c>
      <c r="X76" s="647"/>
      <c r="Y76" s="740">
        <v>0</v>
      </c>
      <c r="Z76" s="741">
        <f t="shared" si="63"/>
        <v>0.21</v>
      </c>
      <c r="AA76" s="740">
        <f t="shared" si="64"/>
        <v>0</v>
      </c>
      <c r="AB76" s="741">
        <f t="shared" si="65"/>
        <v>0.21</v>
      </c>
      <c r="AC76" s="740">
        <v>0</v>
      </c>
      <c r="AD76" s="741">
        <f t="shared" si="65"/>
        <v>0.21</v>
      </c>
      <c r="AE76" s="740">
        <v>0</v>
      </c>
      <c r="AF76" s="741">
        <f t="shared" si="65"/>
        <v>0.21</v>
      </c>
      <c r="AG76" s="740">
        <v>0</v>
      </c>
      <c r="AH76" s="741">
        <f t="shared" si="65"/>
        <v>0.21</v>
      </c>
      <c r="AI76" s="167"/>
      <c r="AJ76" s="167"/>
      <c r="AL76" s="985">
        <f t="shared" si="0"/>
        <v>0</v>
      </c>
      <c r="AN76" s="620"/>
      <c r="AO76" s="620"/>
      <c r="AP76" s="620"/>
    </row>
    <row r="77" spans="2:42" x14ac:dyDescent="0.3">
      <c r="B77" s="744" t="s">
        <v>499</v>
      </c>
      <c r="C77" s="740">
        <v>0</v>
      </c>
      <c r="D77" s="741">
        <f t="shared" si="57"/>
        <v>0.21</v>
      </c>
      <c r="E77" s="740">
        <f t="shared" si="58"/>
        <v>0</v>
      </c>
      <c r="F77" s="741">
        <f t="shared" si="59"/>
        <v>0.21</v>
      </c>
      <c r="G77" s="740">
        <v>0</v>
      </c>
      <c r="H77" s="741">
        <f t="shared" si="59"/>
        <v>0.21</v>
      </c>
      <c r="I77" s="740">
        <v>0</v>
      </c>
      <c r="J77" s="741">
        <f t="shared" si="59"/>
        <v>0.21</v>
      </c>
      <c r="K77" s="740">
        <v>0</v>
      </c>
      <c r="L77" s="741">
        <f t="shared" si="59"/>
        <v>0.21</v>
      </c>
      <c r="M77" s="629"/>
      <c r="N77" s="740">
        <v>0</v>
      </c>
      <c r="O77" s="741">
        <f t="shared" si="60"/>
        <v>0.21</v>
      </c>
      <c r="P77" s="740">
        <f t="shared" si="61"/>
        <v>0</v>
      </c>
      <c r="Q77" s="741">
        <f t="shared" si="62"/>
        <v>0.21</v>
      </c>
      <c r="R77" s="740">
        <v>0</v>
      </c>
      <c r="S77" s="741">
        <f t="shared" si="62"/>
        <v>0.21</v>
      </c>
      <c r="T77" s="740">
        <v>0</v>
      </c>
      <c r="U77" s="741">
        <f t="shared" si="62"/>
        <v>0.21</v>
      </c>
      <c r="V77" s="740">
        <v>0</v>
      </c>
      <c r="W77" s="741">
        <f t="shared" si="62"/>
        <v>0.21</v>
      </c>
      <c r="X77" s="647"/>
      <c r="Y77" s="740">
        <v>0</v>
      </c>
      <c r="Z77" s="741">
        <f t="shared" si="63"/>
        <v>0.21</v>
      </c>
      <c r="AA77" s="740">
        <f t="shared" si="64"/>
        <v>0</v>
      </c>
      <c r="AB77" s="741">
        <f t="shared" si="65"/>
        <v>0.21</v>
      </c>
      <c r="AC77" s="740">
        <v>0</v>
      </c>
      <c r="AD77" s="741">
        <f t="shared" si="65"/>
        <v>0.21</v>
      </c>
      <c r="AE77" s="740">
        <v>0</v>
      </c>
      <c r="AF77" s="741">
        <f t="shared" si="65"/>
        <v>0.21</v>
      </c>
      <c r="AG77" s="740">
        <v>0</v>
      </c>
      <c r="AH77" s="741">
        <f t="shared" si="65"/>
        <v>0.21</v>
      </c>
      <c r="AI77" s="167"/>
      <c r="AJ77" s="167"/>
      <c r="AL77" s="985">
        <f t="shared" si="0"/>
        <v>0</v>
      </c>
      <c r="AN77" s="620">
        <f>IFERROR(K77*$AO$4/$AR$4,0)</f>
        <v>0</v>
      </c>
      <c r="AO77" s="620">
        <f>IFERROR(K77*$AP$4/$AR$4,0)</f>
        <v>0</v>
      </c>
      <c r="AP77" s="620">
        <f>IFERROR(K77*$AQ$4/$AR$4,0)</f>
        <v>0</v>
      </c>
    </row>
    <row r="78" spans="2:42" x14ac:dyDescent="0.3">
      <c r="B78" s="737" t="s">
        <v>431</v>
      </c>
      <c r="C78" s="740">
        <f>C62-SUM(C67:C77)</f>
        <v>0</v>
      </c>
      <c r="D78" s="741">
        <f t="shared" si="57"/>
        <v>0.21</v>
      </c>
      <c r="E78" s="740">
        <f>E62-SUM(E67:E77)</f>
        <v>0</v>
      </c>
      <c r="F78" s="741">
        <f t="shared" si="59"/>
        <v>0.21</v>
      </c>
      <c r="G78" s="740">
        <f>G62-SUM(G67:G77)</f>
        <v>0</v>
      </c>
      <c r="H78" s="741">
        <f t="shared" si="59"/>
        <v>0.21</v>
      </c>
      <c r="I78" s="740">
        <f>I62-SUM(I67:I77)</f>
        <v>0</v>
      </c>
      <c r="J78" s="741">
        <f t="shared" si="59"/>
        <v>0.21</v>
      </c>
      <c r="K78" s="740">
        <f>K62-SUM(K67:K77)</f>
        <v>0</v>
      </c>
      <c r="L78" s="741">
        <f t="shared" si="59"/>
        <v>0.21</v>
      </c>
      <c r="M78" s="629"/>
      <c r="N78" s="740">
        <f>N62-SUM(N67:N77)</f>
        <v>0</v>
      </c>
      <c r="O78" s="741">
        <f t="shared" si="60"/>
        <v>0.21</v>
      </c>
      <c r="P78" s="740">
        <f>P62-SUM(P67:P77)</f>
        <v>0</v>
      </c>
      <c r="Q78" s="741">
        <f t="shared" si="62"/>
        <v>0.21</v>
      </c>
      <c r="R78" s="740">
        <f>R62-SUM(R67:R77)</f>
        <v>0</v>
      </c>
      <c r="S78" s="741">
        <f t="shared" si="62"/>
        <v>0.21</v>
      </c>
      <c r="T78" s="740">
        <f>T62-SUM(T67:T77)</f>
        <v>0</v>
      </c>
      <c r="U78" s="741">
        <f t="shared" si="62"/>
        <v>0.21</v>
      </c>
      <c r="V78" s="740">
        <f>V62-SUM(V67:V77)</f>
        <v>0</v>
      </c>
      <c r="W78" s="741">
        <f t="shared" si="62"/>
        <v>0.21</v>
      </c>
      <c r="X78" s="647"/>
      <c r="Y78" s="740">
        <f>Y62-SUM(Y67:Y77)</f>
        <v>0</v>
      </c>
      <c r="Z78" s="741">
        <f t="shared" si="63"/>
        <v>0.21</v>
      </c>
      <c r="AA78" s="740">
        <f>AA62-SUM(AA67:AA77)</f>
        <v>0</v>
      </c>
      <c r="AB78" s="741">
        <f t="shared" si="65"/>
        <v>0.21</v>
      </c>
      <c r="AC78" s="740">
        <f>AC62-SUM(AC67:AC77)</f>
        <v>0</v>
      </c>
      <c r="AD78" s="741">
        <f t="shared" si="65"/>
        <v>0.21</v>
      </c>
      <c r="AE78" s="740">
        <f>AE62-SUM(AE67:AE77)</f>
        <v>0</v>
      </c>
      <c r="AF78" s="741">
        <f t="shared" si="65"/>
        <v>0.21</v>
      </c>
      <c r="AG78" s="740">
        <f>AG62-SUM(AG67:AG77)</f>
        <v>0</v>
      </c>
      <c r="AH78" s="741">
        <f t="shared" si="65"/>
        <v>0.21</v>
      </c>
      <c r="AI78" s="167"/>
      <c r="AJ78" s="167"/>
      <c r="AL78" s="985">
        <f t="shared" si="0"/>
        <v>0</v>
      </c>
      <c r="AN78" s="620">
        <f>IFERROR(K78*$AO$4/$AR$4,0)</f>
        <v>0</v>
      </c>
      <c r="AO78" s="620">
        <f>IFERROR(K78*$AP$4/$AR$4,0)</f>
        <v>0</v>
      </c>
      <c r="AP78" s="620">
        <f>IFERROR(K78*$AQ$4/$AR$4,0)</f>
        <v>0</v>
      </c>
    </row>
    <row r="79" spans="2:42" ht="15" thickBot="1" x14ac:dyDescent="0.35">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67"/>
      <c r="AJ79" s="167"/>
      <c r="AN79" s="620">
        <f>IFERROR(K79*$AO$4/$AR$4,0)</f>
        <v>0</v>
      </c>
      <c r="AO79" s="620">
        <f>IFERROR(K79*$AP$4/$AR$4,0)</f>
        <v>0</v>
      </c>
      <c r="AP79" s="620">
        <f>IFERROR(K79*$AQ$4/$AR$4,0)</f>
        <v>0</v>
      </c>
    </row>
    <row r="80" spans="2:42" ht="15" thickBot="1" x14ac:dyDescent="0.35">
      <c r="B80" s="307" t="s">
        <v>471</v>
      </c>
      <c r="C80" s="326">
        <f ca="1">C60+C62+C15</f>
        <v>0</v>
      </c>
      <c r="D80" s="325"/>
      <c r="E80" s="326">
        <f ca="1">E60+E62+E15</f>
        <v>0</v>
      </c>
      <c r="F80" s="325"/>
      <c r="G80" s="326">
        <f>G60+G62+G15</f>
        <v>0</v>
      </c>
      <c r="H80" s="325"/>
      <c r="I80" s="326">
        <f>I60+I62+I15</f>
        <v>0</v>
      </c>
      <c r="J80" s="324"/>
      <c r="K80" s="614">
        <f>SUM(K60:K62)+K15+K19</f>
        <v>0</v>
      </c>
      <c r="L80" s="18"/>
      <c r="M80" s="18"/>
      <c r="N80" s="326">
        <f ca="1">N60+N62+N15</f>
        <v>0</v>
      </c>
      <c r="O80" s="325"/>
      <c r="P80" s="326">
        <f ca="1">P60+P62+P15</f>
        <v>0</v>
      </c>
      <c r="Q80" s="325"/>
      <c r="R80" s="326">
        <f>R60+R62+R15</f>
        <v>0</v>
      </c>
      <c r="S80" s="325"/>
      <c r="T80" s="326">
        <f>T60+T62+T15</f>
        <v>0</v>
      </c>
      <c r="U80" s="324"/>
      <c r="V80" s="614">
        <f>SUM(V60:V62)+V15+V19</f>
        <v>0</v>
      </c>
      <c r="W80" s="18"/>
      <c r="X80" s="18"/>
      <c r="Y80" s="326">
        <f ca="1">Y60+Y62+Y15</f>
        <v>0</v>
      </c>
      <c r="Z80" s="325"/>
      <c r="AA80" s="326">
        <f ca="1">AA60+AA62+AA15</f>
        <v>0</v>
      </c>
      <c r="AB80" s="325"/>
      <c r="AC80" s="326">
        <f>AC60+AC62+AC15</f>
        <v>0</v>
      </c>
      <c r="AD80" s="325"/>
      <c r="AE80" s="326">
        <f>AE60+AE62+AE15</f>
        <v>0</v>
      </c>
      <c r="AF80" s="324"/>
      <c r="AG80" s="614">
        <f>SUM(AG60:AG62)+AG15+AG19</f>
        <v>0</v>
      </c>
      <c r="AH80" s="18"/>
      <c r="AI80" s="167"/>
      <c r="AJ80" s="167" t="s">
        <v>470</v>
      </c>
      <c r="AL80" s="985">
        <f t="shared" si="0"/>
        <v>0</v>
      </c>
      <c r="AN80" s="620"/>
    </row>
    <row r="81" spans="2:42" x14ac:dyDescent="0.3">
      <c r="B81" s="54"/>
      <c r="C81" s="978"/>
      <c r="D81" s="978"/>
      <c r="E81" s="978"/>
      <c r="F81" s="978"/>
      <c r="G81" s="978"/>
      <c r="H81" s="978"/>
      <c r="I81" s="978"/>
      <c r="J81" s="978"/>
      <c r="K81" s="51"/>
      <c r="L81" s="18"/>
      <c r="M81" s="18"/>
      <c r="N81" s="978"/>
      <c r="O81" s="978"/>
      <c r="P81" s="978"/>
      <c r="Q81" s="978"/>
      <c r="R81" s="978"/>
      <c r="S81" s="978"/>
      <c r="T81" s="978"/>
      <c r="U81" s="978"/>
      <c r="V81" s="51"/>
      <c r="W81" s="18"/>
      <c r="X81" s="18"/>
      <c r="Y81" s="978"/>
      <c r="Z81" s="978"/>
      <c r="AA81" s="978"/>
      <c r="AB81" s="978"/>
      <c r="AC81" s="978"/>
      <c r="AD81" s="978"/>
      <c r="AE81" s="978"/>
      <c r="AF81" s="978"/>
      <c r="AG81" s="51"/>
      <c r="AH81" s="18"/>
      <c r="AI81" s="167"/>
      <c r="AJ81" s="167"/>
      <c r="AL81" s="985"/>
      <c r="AN81" s="985"/>
    </row>
    <row r="82" spans="2:42" ht="15" thickBot="1" x14ac:dyDescent="0.35">
      <c r="B82" s="977" t="s">
        <v>472</v>
      </c>
      <c r="C82" s="978"/>
      <c r="D82" s="978"/>
      <c r="E82" s="978"/>
      <c r="F82" s="978"/>
      <c r="G82" s="978"/>
      <c r="H82" s="978"/>
      <c r="I82" s="978">
        <f>I47*F10+I54*J54+I48*J48+I50*J50+I62+I62*J63+I60+I15+I53*J53+I55*J55+I56*J56+I57*J57+I58*J58+I59*J59</f>
        <v>0</v>
      </c>
      <c r="J82" s="978"/>
      <c r="K82" s="978">
        <f>K47*F10+K54*L54+K48*L48+K50*L50+K62+K62*L63+K60+K15+K53*L53+K55*L55+K56*L56+K57*L57+K58*L58+K59*L59</f>
        <v>0</v>
      </c>
      <c r="L82" s="18"/>
      <c r="M82" s="18"/>
      <c r="N82" s="978"/>
      <c r="O82" s="978"/>
      <c r="P82" s="978"/>
      <c r="Q82" s="978"/>
      <c r="R82" s="978"/>
      <c r="S82" s="978"/>
      <c r="T82" s="978">
        <f>T47*Q10+T54*U54+T48*U48+T50*U50+T62+T62*U63+T60+T15+T53*U53+T55*U55+T56*U56+T57*U57+T58*U58+T59*U59</f>
        <v>0</v>
      </c>
      <c r="U82" s="978"/>
      <c r="V82" s="978">
        <f>V47*Q10+V54*W54+V48*W48+V50*W50+V62+V62*W63+V60+V15+V53*W53+V55*W55+V56*W56+V57*W57+V58*W58+V59*W59</f>
        <v>0</v>
      </c>
      <c r="W82" s="18"/>
      <c r="X82" s="18"/>
      <c r="Y82" s="978"/>
      <c r="Z82" s="978"/>
      <c r="AA82" s="978"/>
      <c r="AB82" s="978"/>
      <c r="AC82" s="978"/>
      <c r="AD82" s="978"/>
      <c r="AE82" s="978">
        <f>AE47*AB10+AE54*AF54+AE48*AF48+AE50*AF50+AE62+AE62*AF63+AE60+AE15+AE53*AF53+AE55*AF55+AE56*AF56+AE57*AF57+AE58*AF58+AE59*AF59</f>
        <v>0</v>
      </c>
      <c r="AF82" s="978"/>
      <c r="AG82" s="978">
        <f>AG47*AB10+AG54*AH54+AG48*AH48+AG50*AH50+AG62+AG62*AH63+AG60+AG15+AG53*AH53+AG55*AH55+AG56*AH56+AG57*AH57+AG58*AH58+AG59*AH59</f>
        <v>0</v>
      </c>
      <c r="AH82" s="18"/>
      <c r="AI82" s="167"/>
      <c r="AJ82" s="167"/>
      <c r="AL82" s="985"/>
      <c r="AN82" s="986"/>
      <c r="AO82" s="985"/>
      <c r="AP82" s="985"/>
    </row>
    <row r="83" spans="2:42" ht="15" thickBot="1" x14ac:dyDescent="0.35">
      <c r="AI83" s="167"/>
      <c r="AJ83" s="167"/>
      <c r="AN83" s="987">
        <f>SUM(AN61:AN63)+AN15+AN19</f>
        <v>0</v>
      </c>
      <c r="AO83" s="620">
        <f>IFERROR(K83*$AP$4/$AR$4,0)</f>
        <v>0</v>
      </c>
      <c r="AP83" s="620">
        <f>IFERROR(K83*$AQ$4/$AR$4,0)</f>
        <v>0</v>
      </c>
    </row>
    <row r="84" spans="2:42" x14ac:dyDescent="0.3">
      <c r="B84" s="307" t="s">
        <v>61</v>
      </c>
      <c r="C84" s="102" t="s">
        <v>406</v>
      </c>
      <c r="D84" s="103"/>
      <c r="E84" s="102" t="s">
        <v>408</v>
      </c>
      <c r="F84" s="103"/>
      <c r="G84" s="104" t="s">
        <v>409</v>
      </c>
      <c r="H84" s="103"/>
      <c r="I84" s="104" t="s">
        <v>410</v>
      </c>
      <c r="J84" s="103"/>
      <c r="K84" s="104" t="s">
        <v>411</v>
      </c>
      <c r="L84" s="105"/>
      <c r="M84" s="480"/>
      <c r="N84" s="102" t="s">
        <v>473</v>
      </c>
      <c r="O84" s="103"/>
      <c r="P84" s="102" t="s">
        <v>408</v>
      </c>
      <c r="Q84" s="103"/>
      <c r="R84" s="104" t="s">
        <v>409</v>
      </c>
      <c r="S84" s="103"/>
      <c r="T84" s="104" t="s">
        <v>410</v>
      </c>
      <c r="U84" s="103"/>
      <c r="V84" s="104" t="s">
        <v>411</v>
      </c>
      <c r="W84" s="105"/>
      <c r="X84" s="480"/>
      <c r="Y84" s="102" t="s">
        <v>473</v>
      </c>
      <c r="Z84" s="103"/>
      <c r="AA84" s="102" t="s">
        <v>408</v>
      </c>
      <c r="AB84" s="103"/>
      <c r="AC84" s="104" t="s">
        <v>409</v>
      </c>
      <c r="AD84" s="103"/>
      <c r="AE84" s="104" t="s">
        <v>410</v>
      </c>
      <c r="AF84" s="103"/>
      <c r="AG84" s="104" t="s">
        <v>411</v>
      </c>
      <c r="AH84" s="105"/>
      <c r="AJ84" s="168" t="s">
        <v>474</v>
      </c>
      <c r="AN84" s="620"/>
    </row>
    <row r="85" spans="2:42" x14ac:dyDescent="0.3">
      <c r="B85" s="22" t="s">
        <v>475</v>
      </c>
      <c r="C85" s="439">
        <f>'Overzicht BTA'!D16</f>
        <v>0</v>
      </c>
      <c r="D85" s="323" t="s">
        <v>476</v>
      </c>
      <c r="E85" s="439">
        <f>'Overzicht BTA'!D60</f>
        <v>0</v>
      </c>
      <c r="F85" s="323" t="s">
        <v>476</v>
      </c>
      <c r="G85" s="439">
        <f>C85</f>
        <v>0</v>
      </c>
      <c r="H85" s="323" t="s">
        <v>476</v>
      </c>
      <c r="I85" s="439">
        <f>C85</f>
        <v>0</v>
      </c>
      <c r="J85" s="323" t="s">
        <v>476</v>
      </c>
      <c r="K85" s="439">
        <f>C85</f>
        <v>0</v>
      </c>
      <c r="L85" s="323" t="s">
        <v>476</v>
      </c>
      <c r="M85" s="321"/>
      <c r="N85" s="439">
        <f>'Overzicht BTA'!J16</f>
        <v>0</v>
      </c>
      <c r="O85" s="323" t="s">
        <v>476</v>
      </c>
      <c r="P85" s="439">
        <f>'Overzicht BTA'!J60</f>
        <v>0</v>
      </c>
      <c r="Q85" s="323" t="s">
        <v>476</v>
      </c>
      <c r="R85" s="439">
        <f>N85</f>
        <v>0</v>
      </c>
      <c r="S85" s="323" t="s">
        <v>476</v>
      </c>
      <c r="T85" s="439">
        <f>N85</f>
        <v>0</v>
      </c>
      <c r="U85" s="323" t="s">
        <v>476</v>
      </c>
      <c r="V85" s="439">
        <f>N85</f>
        <v>0</v>
      </c>
      <c r="W85" s="323" t="s">
        <v>476</v>
      </c>
      <c r="X85" s="649"/>
      <c r="Y85" s="439">
        <f>'Overzicht BTA'!P16</f>
        <v>0</v>
      </c>
      <c r="Z85" s="323" t="s">
        <v>476</v>
      </c>
      <c r="AA85" s="439">
        <f>'Overzicht BTA'!P60</f>
        <v>0</v>
      </c>
      <c r="AB85" s="323" t="s">
        <v>476</v>
      </c>
      <c r="AC85" s="439">
        <f>Y85</f>
        <v>0</v>
      </c>
      <c r="AD85" s="323" t="s">
        <v>476</v>
      </c>
      <c r="AE85" s="439">
        <f>Y85</f>
        <v>0</v>
      </c>
      <c r="AF85" s="323" t="s">
        <v>476</v>
      </c>
      <c r="AG85" s="439">
        <f>Y85</f>
        <v>0</v>
      </c>
      <c r="AH85" s="323" t="s">
        <v>476</v>
      </c>
      <c r="AN85" s="620"/>
    </row>
    <row r="86" spans="2:42" x14ac:dyDescent="0.3">
      <c r="B86" s="916" t="s">
        <v>477</v>
      </c>
      <c r="C86" s="439">
        <f>'Overzicht BTA'!D17</f>
        <v>0</v>
      </c>
      <c r="D86" s="323" t="s">
        <v>476</v>
      </c>
      <c r="E86" s="439">
        <f>'Overzicht BTA'!D61</f>
        <v>0</v>
      </c>
      <c r="F86" s="323" t="s">
        <v>476</v>
      </c>
      <c r="G86" s="439">
        <f>C86</f>
        <v>0</v>
      </c>
      <c r="H86" s="323" t="s">
        <v>476</v>
      </c>
      <c r="I86" s="439">
        <f>C86</f>
        <v>0</v>
      </c>
      <c r="J86" s="323" t="s">
        <v>476</v>
      </c>
      <c r="K86" s="439">
        <f>C86</f>
        <v>0</v>
      </c>
      <c r="L86" s="323" t="s">
        <v>476</v>
      </c>
      <c r="M86" s="321"/>
      <c r="N86" s="439">
        <f>'Overzicht BTA'!J17</f>
        <v>0</v>
      </c>
      <c r="O86" s="323" t="s">
        <v>476</v>
      </c>
      <c r="P86" s="439">
        <f>'Overzicht BTA'!J61</f>
        <v>0</v>
      </c>
      <c r="Q86" s="323" t="s">
        <v>476</v>
      </c>
      <c r="R86" s="439">
        <f>N86</f>
        <v>0</v>
      </c>
      <c r="S86" s="323" t="s">
        <v>476</v>
      </c>
      <c r="T86" s="439">
        <f>N86</f>
        <v>0</v>
      </c>
      <c r="U86" s="323" t="s">
        <v>476</v>
      </c>
      <c r="V86" s="439">
        <f>N86</f>
        <v>0</v>
      </c>
      <c r="W86" s="323" t="s">
        <v>476</v>
      </c>
      <c r="X86" s="649"/>
      <c r="Y86" s="439">
        <f>'Overzicht BTA'!P17</f>
        <v>0</v>
      </c>
      <c r="Z86" s="323" t="s">
        <v>476</v>
      </c>
      <c r="AA86" s="439">
        <f>'Overzicht BTA'!P61</f>
        <v>0</v>
      </c>
      <c r="AB86" s="323" t="s">
        <v>476</v>
      </c>
      <c r="AC86" s="439">
        <v>0</v>
      </c>
      <c r="AD86" s="323"/>
      <c r="AE86" s="439">
        <v>0</v>
      </c>
      <c r="AF86" s="323"/>
      <c r="AG86" s="439">
        <v>0</v>
      </c>
      <c r="AH86" s="323"/>
      <c r="AN86" s="620">
        <f>IFERROR(K86*$AO$4/$AR$4,0)</f>
        <v>0</v>
      </c>
      <c r="AO86" s="620">
        <f>IFERROR(K86*$AP$4/$AR$4,0)</f>
        <v>0</v>
      </c>
      <c r="AP86" s="620">
        <f>IFERROR(K86*$AQ$4/$AR$4,0)</f>
        <v>0</v>
      </c>
    </row>
    <row r="87" spans="2:42" x14ac:dyDescent="0.3">
      <c r="B87" s="983" t="s">
        <v>478</v>
      </c>
      <c r="C87" s="439">
        <f>'Overzicht BTA'!D18</f>
        <v>0</v>
      </c>
      <c r="D87" s="323" t="s">
        <v>476</v>
      </c>
      <c r="E87" s="439">
        <f>'Overzicht BTA'!D62</f>
        <v>0</v>
      </c>
      <c r="F87" s="323" t="s">
        <v>476</v>
      </c>
      <c r="G87" s="439">
        <f>C87</f>
        <v>0</v>
      </c>
      <c r="H87" s="323" t="s">
        <v>476</v>
      </c>
      <c r="I87" s="439">
        <f>C87</f>
        <v>0</v>
      </c>
      <c r="J87" s="323" t="s">
        <v>476</v>
      </c>
      <c r="K87" s="439">
        <f>C87</f>
        <v>0</v>
      </c>
      <c r="L87" s="323" t="s">
        <v>476</v>
      </c>
      <c r="M87" s="321"/>
      <c r="N87" s="439">
        <f>'Overzicht BTA'!J18</f>
        <v>0</v>
      </c>
      <c r="O87" s="323" t="s">
        <v>476</v>
      </c>
      <c r="P87" s="439">
        <f>'Overzicht BTA'!J62</f>
        <v>0</v>
      </c>
      <c r="Q87" s="323" t="s">
        <v>476</v>
      </c>
      <c r="R87" s="439">
        <f>N87</f>
        <v>0</v>
      </c>
      <c r="S87" s="323" t="s">
        <v>476</v>
      </c>
      <c r="T87" s="439">
        <f>N87</f>
        <v>0</v>
      </c>
      <c r="U87" s="323" t="s">
        <v>476</v>
      </c>
      <c r="V87" s="439">
        <f>N87</f>
        <v>0</v>
      </c>
      <c r="W87" s="323" t="s">
        <v>476</v>
      </c>
      <c r="X87" s="649"/>
      <c r="Y87" s="439">
        <f>'Overzicht BTA'!P18</f>
        <v>0</v>
      </c>
      <c r="Z87" s="323" t="s">
        <v>476</v>
      </c>
      <c r="AA87" s="439">
        <f>'Overzicht BTA'!P62</f>
        <v>0</v>
      </c>
      <c r="AB87" s="323" t="s">
        <v>476</v>
      </c>
      <c r="AC87" s="439"/>
      <c r="AD87" s="323"/>
      <c r="AE87" s="439"/>
      <c r="AF87" s="323"/>
      <c r="AG87" s="439"/>
      <c r="AH87" s="323"/>
      <c r="AN87" s="620"/>
      <c r="AO87" s="620"/>
      <c r="AP87" s="620"/>
    </row>
    <row r="88" spans="2:42" x14ac:dyDescent="0.3">
      <c r="B88" s="917" t="s">
        <v>130</v>
      </c>
      <c r="C88" s="439">
        <f>'Overzicht BTA'!D19</f>
        <v>0</v>
      </c>
      <c r="D88" s="323" t="s">
        <v>476</v>
      </c>
      <c r="E88" s="439">
        <f>'Overzicht BTA'!D63</f>
        <v>0</v>
      </c>
      <c r="F88" s="323" t="s">
        <v>476</v>
      </c>
      <c r="G88" s="439">
        <f>C88</f>
        <v>0</v>
      </c>
      <c r="H88" s="323" t="s">
        <v>476</v>
      </c>
      <c r="I88" s="439">
        <f>C88</f>
        <v>0</v>
      </c>
      <c r="J88" s="323" t="s">
        <v>476</v>
      </c>
      <c r="K88" s="439">
        <f>C88</f>
        <v>0</v>
      </c>
      <c r="L88" s="323" t="s">
        <v>476</v>
      </c>
      <c r="M88" s="321"/>
      <c r="N88" s="439">
        <f>'Overzicht BTA'!J19</f>
        <v>0</v>
      </c>
      <c r="O88" s="323" t="s">
        <v>476</v>
      </c>
      <c r="P88" s="439">
        <f>'Overzicht BTA'!J63</f>
        <v>0</v>
      </c>
      <c r="Q88" s="323" t="s">
        <v>476</v>
      </c>
      <c r="R88" s="439">
        <f>N88</f>
        <v>0</v>
      </c>
      <c r="S88" s="323" t="s">
        <v>476</v>
      </c>
      <c r="T88" s="439">
        <f>N88</f>
        <v>0</v>
      </c>
      <c r="U88" s="323" t="s">
        <v>476</v>
      </c>
      <c r="V88" s="439">
        <f>N88</f>
        <v>0</v>
      </c>
      <c r="W88" s="323" t="s">
        <v>476</v>
      </c>
      <c r="X88" s="649"/>
      <c r="Y88" s="439">
        <f>'Overzicht BTA'!P19</f>
        <v>0</v>
      </c>
      <c r="Z88" s="323" t="s">
        <v>476</v>
      </c>
      <c r="AA88" s="439">
        <f>'Overzicht BTA'!P63</f>
        <v>0</v>
      </c>
      <c r="AB88" s="323" t="s">
        <v>476</v>
      </c>
      <c r="AC88" s="439">
        <v>0</v>
      </c>
      <c r="AD88" s="323"/>
      <c r="AE88" s="439">
        <v>0</v>
      </c>
      <c r="AF88" s="323"/>
      <c r="AG88" s="439">
        <v>0</v>
      </c>
      <c r="AH88" s="323"/>
      <c r="AN88" s="620">
        <f>IFERROR(K88*$AO$4/$AR$4,0)</f>
        <v>0</v>
      </c>
      <c r="AO88" s="620">
        <f>IFERROR(K88*$AP$4/$AR$4,0)</f>
        <v>0</v>
      </c>
      <c r="AP88" s="620">
        <f>IFERROR(K88*$AQ$4/$AR$4,0)</f>
        <v>0</v>
      </c>
    </row>
    <row r="89" spans="2:42" x14ac:dyDescent="0.3">
      <c r="B89" s="22" t="s">
        <v>479</v>
      </c>
      <c r="C89" s="439">
        <v>0</v>
      </c>
      <c r="D89" s="323" t="s">
        <v>476</v>
      </c>
      <c r="E89" s="439">
        <f>C89</f>
        <v>0</v>
      </c>
      <c r="F89" s="323" t="s">
        <v>476</v>
      </c>
      <c r="G89" s="439">
        <f>E89</f>
        <v>0</v>
      </c>
      <c r="H89" s="323" t="s">
        <v>476</v>
      </c>
      <c r="I89" s="439">
        <f>G89</f>
        <v>0</v>
      </c>
      <c r="J89" s="323" t="s">
        <v>476</v>
      </c>
      <c r="K89" s="439">
        <f>I89</f>
        <v>0</v>
      </c>
      <c r="L89" s="323" t="s">
        <v>476</v>
      </c>
      <c r="M89" s="321"/>
      <c r="N89" s="439">
        <v>0</v>
      </c>
      <c r="O89" s="323" t="s">
        <v>476</v>
      </c>
      <c r="P89" s="439">
        <f>N89</f>
        <v>0</v>
      </c>
      <c r="Q89" s="323" t="s">
        <v>476</v>
      </c>
      <c r="R89" s="439">
        <f>P89</f>
        <v>0</v>
      </c>
      <c r="S89" s="323" t="s">
        <v>476</v>
      </c>
      <c r="T89" s="439">
        <f>R89</f>
        <v>0</v>
      </c>
      <c r="U89" s="323" t="s">
        <v>476</v>
      </c>
      <c r="V89" s="439">
        <f>T89</f>
        <v>0</v>
      </c>
      <c r="W89" s="323" t="s">
        <v>476</v>
      </c>
      <c r="X89" s="649"/>
      <c r="Y89" s="439">
        <v>0</v>
      </c>
      <c r="Z89" s="323" t="s">
        <v>476</v>
      </c>
      <c r="AA89" s="439">
        <f>Y89</f>
        <v>0</v>
      </c>
      <c r="AB89" s="323" t="s">
        <v>476</v>
      </c>
      <c r="AC89" s="439">
        <f>AA89</f>
        <v>0</v>
      </c>
      <c r="AD89" s="323" t="s">
        <v>476</v>
      </c>
      <c r="AE89" s="439">
        <f>AC89</f>
        <v>0</v>
      </c>
      <c r="AF89" s="323" t="s">
        <v>476</v>
      </c>
      <c r="AG89" s="439">
        <f>AE89</f>
        <v>0</v>
      </c>
      <c r="AH89" s="323" t="s">
        <v>476</v>
      </c>
      <c r="AN89" s="620">
        <f>IFERROR(K89*$AO$4/$AR$4,0)</f>
        <v>0</v>
      </c>
      <c r="AO89" s="620">
        <f>IFERROR(K89*$AP$4/$AR$4,0)</f>
        <v>0</v>
      </c>
      <c r="AP89" s="620">
        <f>IFERROR(K89*$AQ$4/$AR$4,0)</f>
        <v>0</v>
      </c>
    </row>
    <row r="90" spans="2:42" x14ac:dyDescent="0.3">
      <c r="B90" s="18"/>
      <c r="C90" s="321"/>
      <c r="D90" s="321"/>
      <c r="E90" s="321"/>
      <c r="F90" s="321"/>
      <c r="G90" s="321"/>
      <c r="H90" s="321"/>
      <c r="I90" s="321"/>
      <c r="J90" s="321"/>
      <c r="K90" s="321"/>
      <c r="L90" s="321"/>
      <c r="M90" s="321"/>
      <c r="N90" s="321"/>
      <c r="O90" s="321"/>
      <c r="P90" s="321"/>
      <c r="Q90" s="321"/>
      <c r="R90" s="321"/>
      <c r="S90" s="321"/>
      <c r="T90" s="321"/>
      <c r="U90" s="321"/>
      <c r="V90" s="321"/>
      <c r="W90" s="321"/>
      <c r="X90" s="321"/>
      <c r="Y90" s="321"/>
      <c r="Z90" s="321"/>
      <c r="AA90" s="321"/>
      <c r="AB90" s="321"/>
      <c r="AC90" s="321"/>
      <c r="AD90" s="321"/>
      <c r="AE90" s="321"/>
      <c r="AF90" s="321"/>
      <c r="AG90" s="321"/>
      <c r="AH90" s="321"/>
      <c r="AN90" s="620">
        <f>IFERROR(K90*$AO$4/$AR$4,0)</f>
        <v>0</v>
      </c>
      <c r="AO90" s="620">
        <f>IFERROR(K90*$AP$4/$AR$4,0)</f>
        <v>0</v>
      </c>
      <c r="AP90" s="620">
        <f>IFERROR(K90*$AQ$4/$AR$4,0)</f>
        <v>0</v>
      </c>
    </row>
    <row r="91" spans="2:42" x14ac:dyDescent="0.3">
      <c r="B91" s="22" t="s">
        <v>88</v>
      </c>
      <c r="C91" s="1086">
        <f>'Overzicht BTA'!$C$36</f>
        <v>2026</v>
      </c>
      <c r="D91" s="321"/>
      <c r="E91" s="1086">
        <f>'Overzicht BTA'!$C$37</f>
        <v>2026</v>
      </c>
      <c r="F91" s="321"/>
      <c r="G91" s="1086">
        <v>2025</v>
      </c>
      <c r="H91" s="321"/>
      <c r="I91" s="1086">
        <v>2025</v>
      </c>
      <c r="J91" s="321"/>
      <c r="K91" s="1086">
        <v>2025</v>
      </c>
      <c r="L91" s="321"/>
      <c r="M91" s="321"/>
      <c r="N91" s="1086">
        <f>'Overzicht BTA'!$C$36</f>
        <v>2026</v>
      </c>
      <c r="O91" s="321"/>
      <c r="P91" s="1086">
        <f>'Overzicht BTA'!$C$37</f>
        <v>2026</v>
      </c>
      <c r="Q91" s="321"/>
      <c r="R91" s="1086">
        <v>2025</v>
      </c>
      <c r="S91" s="321"/>
      <c r="T91" s="1086">
        <v>2025</v>
      </c>
      <c r="U91" s="321"/>
      <c r="V91" s="1086">
        <v>2025</v>
      </c>
      <c r="W91" s="321"/>
      <c r="X91" s="321"/>
      <c r="Y91" s="1086">
        <f>'Overzicht BTA'!$C$36</f>
        <v>2026</v>
      </c>
      <c r="Z91" s="321"/>
      <c r="AA91" s="1086">
        <f>'Overzicht BTA'!$C$37</f>
        <v>2026</v>
      </c>
      <c r="AB91" s="321"/>
      <c r="AC91" s="1086">
        <v>2025</v>
      </c>
      <c r="AD91" s="321"/>
      <c r="AE91" s="1086">
        <v>2025</v>
      </c>
      <c r="AF91" s="321"/>
      <c r="AG91" s="1086">
        <v>2025</v>
      </c>
      <c r="AH91" s="321"/>
      <c r="AJ91" s="168" t="s">
        <v>480</v>
      </c>
      <c r="AN91" s="620"/>
    </row>
    <row r="92" spans="2:42" x14ac:dyDescent="0.3">
      <c r="B92" s="18"/>
      <c r="C92" s="322"/>
      <c r="D92" s="321"/>
      <c r="E92" s="322"/>
      <c r="F92" s="321"/>
      <c r="G92" s="322"/>
      <c r="H92" s="321"/>
      <c r="I92" s="322"/>
      <c r="J92" s="321"/>
      <c r="K92" s="322"/>
      <c r="L92" s="321"/>
      <c r="M92" s="321"/>
      <c r="N92" s="322"/>
      <c r="O92" s="321"/>
      <c r="P92" s="322"/>
      <c r="Q92" s="321"/>
      <c r="R92" s="322"/>
      <c r="S92" s="321"/>
      <c r="T92" s="322"/>
      <c r="U92" s="321"/>
      <c r="V92" s="322"/>
      <c r="W92" s="321"/>
      <c r="X92" s="321"/>
      <c r="Y92" s="322"/>
      <c r="Z92" s="321"/>
      <c r="AA92" s="322"/>
      <c r="AB92" s="321"/>
      <c r="AC92" s="322"/>
      <c r="AD92" s="321"/>
      <c r="AE92" s="322"/>
      <c r="AF92" s="321"/>
      <c r="AG92" s="322"/>
      <c r="AH92" s="321"/>
      <c r="AN92" s="204">
        <f>$K$92</f>
        <v>0</v>
      </c>
      <c r="AO92" s="204">
        <f>$K$92</f>
        <v>0</v>
      </c>
      <c r="AP92" s="204">
        <f>$K$92</f>
        <v>0</v>
      </c>
    </row>
    <row r="93" spans="2:42" x14ac:dyDescent="0.3">
      <c r="B93" s="249" t="s">
        <v>481</v>
      </c>
      <c r="C93" s="320" t="e">
        <f>VLOOKUP(C91,Bouwindex_ABEX!$Q$3:$R$34,2,FALSE)</f>
        <v>#N/A</v>
      </c>
      <c r="D93" s="320"/>
      <c r="E93" s="320" t="e">
        <f>VLOOKUP(E91,Bouwindex_ABEX!$Q$3:$R$34,2,FALSE)</f>
        <v>#N/A</v>
      </c>
      <c r="F93" s="320"/>
      <c r="G93" s="320">
        <f>VLOOKUP(G91,Bouwindex_ABEX!$Q$3:$R$34,2,FALSE)</f>
        <v>2.3417699999999999</v>
      </c>
      <c r="H93" s="319" t="e">
        <f>G93/C93-1</f>
        <v>#N/A</v>
      </c>
      <c r="I93" s="320">
        <f>VLOOKUP(I91,Bouwindex_ABEX!$Q$3:$R$34,2,FALSE)</f>
        <v>2.3417699999999999</v>
      </c>
      <c r="J93" s="319" t="e">
        <f>I93/C93-1</f>
        <v>#N/A</v>
      </c>
      <c r="K93" s="320">
        <f>VLOOKUP(K91,Bouwindex_ABEX!$Q$3:$R$34,2,FALSE)</f>
        <v>2.3417699999999999</v>
      </c>
      <c r="L93" s="319" t="e">
        <f>K93/C93-1</f>
        <v>#N/A</v>
      </c>
      <c r="M93" s="631"/>
      <c r="N93" s="320" t="e">
        <f>VLOOKUP(N91,Bouwindex_ABEX!$Q$3:$R$34,2,FALSE)</f>
        <v>#N/A</v>
      </c>
      <c r="O93" s="320"/>
      <c r="P93" s="320" t="e">
        <f>VLOOKUP(P91,Bouwindex_ABEX!$Q$3:$R$34,2,FALSE)</f>
        <v>#N/A</v>
      </c>
      <c r="Q93" s="320"/>
      <c r="R93" s="320">
        <f>VLOOKUP(R91,Bouwindex_ABEX!$Q$3:$R$34,2,FALSE)</f>
        <v>2.3417699999999999</v>
      </c>
      <c r="S93" s="319" t="e">
        <f>R93/N93-1</f>
        <v>#N/A</v>
      </c>
      <c r="T93" s="320">
        <f>VLOOKUP(T91,Bouwindex_ABEX!$Q$3:$R$34,2,FALSE)</f>
        <v>2.3417699999999999</v>
      </c>
      <c r="U93" s="319" t="e">
        <f>T93/N93-1</f>
        <v>#N/A</v>
      </c>
      <c r="V93" s="320">
        <f>VLOOKUP(V91,Bouwindex_ABEX!$Q$3:$R$34,2,FALSE)</f>
        <v>2.3417699999999999</v>
      </c>
      <c r="W93" s="319" t="e">
        <f>V93/N93-1</f>
        <v>#N/A</v>
      </c>
      <c r="X93" s="650"/>
      <c r="Y93" s="320" t="e">
        <f>VLOOKUP(Y91,Bouwindex_ABEX!$Q$3:$R$34,2,FALSE)</f>
        <v>#N/A</v>
      </c>
      <c r="Z93" s="320"/>
      <c r="AA93" s="320" t="e">
        <f>VLOOKUP(AA91,Bouwindex_ABEX!$Q$3:$R$34,2,FALSE)</f>
        <v>#N/A</v>
      </c>
      <c r="AB93" s="320"/>
      <c r="AC93" s="320">
        <f>VLOOKUP(AC91,Bouwindex_ABEX!$Q$3:$R$34,2,FALSE)</f>
        <v>2.3417699999999999</v>
      </c>
      <c r="AD93" s="319" t="e">
        <f>AC93/Y93-1</f>
        <v>#N/A</v>
      </c>
      <c r="AE93" s="320">
        <f>VLOOKUP(AE91,Bouwindex_ABEX!$Q$3:$R$34,2,FALSE)</f>
        <v>2.3417699999999999</v>
      </c>
      <c r="AF93" s="319" t="e">
        <f>AE93/Y93-1</f>
        <v>#N/A</v>
      </c>
      <c r="AG93" s="320">
        <f>VLOOKUP(AG91,Bouwindex_ABEX!$Q$3:$R$34,2,FALSE)</f>
        <v>2.3417699999999999</v>
      </c>
      <c r="AH93" s="319" t="e">
        <f>AG93/Y93-1</f>
        <v>#N/A</v>
      </c>
      <c r="AN93" s="620"/>
    </row>
    <row r="94" spans="2:42" x14ac:dyDescent="0.3">
      <c r="AN94" s="988">
        <f>$K$94</f>
        <v>0</v>
      </c>
      <c r="AO94" s="988">
        <f>$K$94</f>
        <v>0</v>
      </c>
      <c r="AP94" s="988">
        <f>$K$94</f>
        <v>0</v>
      </c>
    </row>
    <row r="95" spans="2:42" x14ac:dyDescent="0.3">
      <c r="B95" s="307" t="s">
        <v>482</v>
      </c>
      <c r="C95" s="102" t="s">
        <v>406</v>
      </c>
      <c r="D95" s="103"/>
      <c r="E95" s="102" t="s">
        <v>408</v>
      </c>
      <c r="F95" s="103"/>
      <c r="G95" s="104" t="s">
        <v>409</v>
      </c>
      <c r="H95" s="103"/>
      <c r="I95" s="104" t="s">
        <v>410</v>
      </c>
      <c r="J95" s="103"/>
      <c r="K95" s="104" t="s">
        <v>411</v>
      </c>
      <c r="L95" s="105"/>
      <c r="M95" s="480"/>
      <c r="N95" s="102" t="s">
        <v>473</v>
      </c>
      <c r="O95" s="103"/>
      <c r="P95" s="102" t="s">
        <v>473</v>
      </c>
      <c r="Q95" s="103"/>
      <c r="R95" s="104" t="s">
        <v>409</v>
      </c>
      <c r="S95" s="103"/>
      <c r="T95" s="104" t="s">
        <v>410</v>
      </c>
      <c r="U95" s="103"/>
      <c r="V95" s="104" t="s">
        <v>411</v>
      </c>
      <c r="W95" s="105"/>
      <c r="X95" s="480"/>
      <c r="Y95" s="102" t="s">
        <v>473</v>
      </c>
      <c r="Z95" s="103"/>
      <c r="AA95" s="102" t="s">
        <v>473</v>
      </c>
      <c r="AB95" s="103"/>
      <c r="AC95" s="104" t="s">
        <v>409</v>
      </c>
      <c r="AD95" s="103"/>
      <c r="AE95" s="104" t="s">
        <v>410</v>
      </c>
      <c r="AF95" s="103"/>
      <c r="AG95" s="104" t="s">
        <v>411</v>
      </c>
      <c r="AH95" s="105"/>
      <c r="AN95" s="620"/>
    </row>
    <row r="96" spans="2:42" x14ac:dyDescent="0.3">
      <c r="B96" s="21" t="s">
        <v>356</v>
      </c>
      <c r="C96" s="318">
        <f>IFERROR(C47/C85,0)</f>
        <v>0</v>
      </c>
      <c r="D96" s="317" t="s">
        <v>278</v>
      </c>
      <c r="E96" s="318">
        <f>IFERROR(E47/E85,0)</f>
        <v>0</v>
      </c>
      <c r="F96" s="317" t="s">
        <v>278</v>
      </c>
      <c r="G96" s="318">
        <f>IFERROR(G47/G85,0)</f>
        <v>0</v>
      </c>
      <c r="H96" s="317" t="s">
        <v>278</v>
      </c>
      <c r="I96" s="318">
        <f>IFERROR(I47/I85,0)</f>
        <v>0</v>
      </c>
      <c r="J96" s="317" t="s">
        <v>278</v>
      </c>
      <c r="K96" s="318">
        <f>IFERROR(K47/K85,0)</f>
        <v>0</v>
      </c>
      <c r="L96" s="317" t="s">
        <v>278</v>
      </c>
      <c r="M96" s="632"/>
      <c r="N96" s="318">
        <f>IFERROR(N47/N85,0)</f>
        <v>0</v>
      </c>
      <c r="O96" s="317" t="s">
        <v>278</v>
      </c>
      <c r="P96" s="318">
        <f>IFERROR(P47/P85,0)</f>
        <v>0</v>
      </c>
      <c r="Q96" s="317" t="s">
        <v>278</v>
      </c>
      <c r="R96" s="318">
        <f>IFERROR(R47/R85,0)</f>
        <v>0</v>
      </c>
      <c r="S96" s="317" t="s">
        <v>278</v>
      </c>
      <c r="T96" s="318">
        <f>IFERROR(T47/T85,0)</f>
        <v>0</v>
      </c>
      <c r="U96" s="317" t="s">
        <v>278</v>
      </c>
      <c r="V96" s="318">
        <f>IFERROR(V47/V85,0)</f>
        <v>0</v>
      </c>
      <c r="W96" s="317" t="s">
        <v>278</v>
      </c>
      <c r="X96" s="651"/>
      <c r="Y96" s="318">
        <f>IFERROR(Y47/Y85,0)</f>
        <v>0</v>
      </c>
      <c r="Z96" s="317" t="s">
        <v>278</v>
      </c>
      <c r="AA96" s="318">
        <f>IFERROR(AA47/AA85,0)</f>
        <v>0</v>
      </c>
      <c r="AB96" s="317" t="s">
        <v>278</v>
      </c>
      <c r="AC96" s="318">
        <f>IFERROR(AC47/AC85,0)</f>
        <v>0</v>
      </c>
      <c r="AD96" s="317" t="s">
        <v>278</v>
      </c>
      <c r="AE96" s="318">
        <f>IFERROR(AE47/AE85,0)</f>
        <v>0</v>
      </c>
      <c r="AF96" s="317" t="s">
        <v>278</v>
      </c>
      <c r="AG96" s="318">
        <f>IFERROR(AG47/AG85,0)</f>
        <v>0</v>
      </c>
      <c r="AH96" s="317" t="s">
        <v>278</v>
      </c>
      <c r="AN96" s="620"/>
    </row>
    <row r="97" spans="2:42" x14ac:dyDescent="0.3">
      <c r="B97" s="21" t="s">
        <v>357</v>
      </c>
      <c r="C97" s="318">
        <f>IFERROR(C49/C85,0)</f>
        <v>0</v>
      </c>
      <c r="D97" s="317" t="s">
        <v>278</v>
      </c>
      <c r="E97" s="318">
        <f>IFERROR(E49/E85,0)</f>
        <v>0</v>
      </c>
      <c r="F97" s="317" t="s">
        <v>278</v>
      </c>
      <c r="G97" s="318">
        <f>IFERROR(G49/G85,0)</f>
        <v>0</v>
      </c>
      <c r="H97" s="317" t="s">
        <v>278</v>
      </c>
      <c r="I97" s="318">
        <f>IFERROR(I49/I85,0)</f>
        <v>0</v>
      </c>
      <c r="J97" s="317" t="s">
        <v>278</v>
      </c>
      <c r="K97" s="318">
        <f>IFERROR(K49/K85,0)</f>
        <v>0</v>
      </c>
      <c r="L97" s="317" t="s">
        <v>278</v>
      </c>
      <c r="M97" s="632"/>
      <c r="N97" s="318">
        <f>IFERROR(N49/N85,0)</f>
        <v>0</v>
      </c>
      <c r="O97" s="317" t="s">
        <v>278</v>
      </c>
      <c r="P97" s="318">
        <f>IFERROR(P49/P85,0)</f>
        <v>0</v>
      </c>
      <c r="Q97" s="317" t="s">
        <v>278</v>
      </c>
      <c r="R97" s="318">
        <f>IFERROR(R49/R85,0)</f>
        <v>0</v>
      </c>
      <c r="S97" s="317" t="s">
        <v>278</v>
      </c>
      <c r="T97" s="318">
        <f>IFERROR(T49/T85,0)</f>
        <v>0</v>
      </c>
      <c r="U97" s="317" t="s">
        <v>278</v>
      </c>
      <c r="V97" s="318">
        <f>IFERROR(V49/V85,0)</f>
        <v>0</v>
      </c>
      <c r="W97" s="317" t="s">
        <v>278</v>
      </c>
      <c r="X97" s="651"/>
      <c r="Y97" s="318">
        <f>IFERROR(Y49/Y85,0)</f>
        <v>0</v>
      </c>
      <c r="Z97" s="317" t="s">
        <v>278</v>
      </c>
      <c r="AA97" s="318">
        <f>IFERROR(AA49/AA85,0)</f>
        <v>0</v>
      </c>
      <c r="AB97" s="317" t="s">
        <v>278</v>
      </c>
      <c r="AC97" s="318">
        <f>IFERROR(AC49/AC85,0)</f>
        <v>0</v>
      </c>
      <c r="AD97" s="317" t="s">
        <v>278</v>
      </c>
      <c r="AE97" s="318">
        <f>IFERROR(AE49/AE85,0)</f>
        <v>0</v>
      </c>
      <c r="AF97" s="317" t="s">
        <v>278</v>
      </c>
      <c r="AG97" s="318">
        <f>IFERROR(AG49/AG85,0)</f>
        <v>0</v>
      </c>
      <c r="AH97" s="317" t="s">
        <v>278</v>
      </c>
      <c r="AJ97" s="995"/>
      <c r="AN97" s="989">
        <f>IFERROR(AN47/AN86,0)</f>
        <v>0</v>
      </c>
      <c r="AO97" s="989">
        <f>IFERROR(AO47/AO86,0)</f>
        <v>0</v>
      </c>
      <c r="AP97" s="989">
        <f>IFERROR(AP47/AP86,0)</f>
        <v>0</v>
      </c>
    </row>
    <row r="98" spans="2:42" x14ac:dyDescent="0.3">
      <c r="B98" s="21" t="s">
        <v>358</v>
      </c>
      <c r="C98" s="318">
        <f>IFERROR(C48/C85,0)</f>
        <v>0</v>
      </c>
      <c r="D98" s="317" t="s">
        <v>278</v>
      </c>
      <c r="E98" s="318">
        <f>IFERROR(E48/E85,0)</f>
        <v>0</v>
      </c>
      <c r="F98" s="317" t="s">
        <v>278</v>
      </c>
      <c r="G98" s="318">
        <f>IFERROR(G48/G85,0)</f>
        <v>0</v>
      </c>
      <c r="H98" s="317" t="s">
        <v>278</v>
      </c>
      <c r="I98" s="318">
        <f>IFERROR(I48/I85,0)</f>
        <v>0</v>
      </c>
      <c r="J98" s="317" t="s">
        <v>278</v>
      </c>
      <c r="K98" s="318">
        <f>IFERROR(K48/K85,0)</f>
        <v>0</v>
      </c>
      <c r="L98" s="317" t="s">
        <v>278</v>
      </c>
      <c r="M98" s="632"/>
      <c r="N98" s="318">
        <f>IFERROR(N48/N85,0)</f>
        <v>0</v>
      </c>
      <c r="O98" s="317" t="s">
        <v>278</v>
      </c>
      <c r="P98" s="318">
        <f>IFERROR(P48/P85,0)</f>
        <v>0</v>
      </c>
      <c r="Q98" s="317" t="s">
        <v>278</v>
      </c>
      <c r="R98" s="318">
        <f>IFERROR(R48/R85,0)</f>
        <v>0</v>
      </c>
      <c r="S98" s="317" t="s">
        <v>278</v>
      </c>
      <c r="T98" s="318">
        <f>IFERROR(T48/T85,0)</f>
        <v>0</v>
      </c>
      <c r="U98" s="317" t="s">
        <v>278</v>
      </c>
      <c r="V98" s="318">
        <f>IFERROR(V48/V85,0)</f>
        <v>0</v>
      </c>
      <c r="W98" s="317" t="s">
        <v>278</v>
      </c>
      <c r="X98" s="651"/>
      <c r="Y98" s="318">
        <f>IFERROR(Y48/Y85,0)</f>
        <v>0</v>
      </c>
      <c r="Z98" s="317" t="s">
        <v>278</v>
      </c>
      <c r="AA98" s="318">
        <f>IFERROR(AA48/AA85,0)</f>
        <v>0</v>
      </c>
      <c r="AB98" s="317" t="s">
        <v>278</v>
      </c>
      <c r="AC98" s="318">
        <f>IFERROR(AC48/AC85,0)</f>
        <v>0</v>
      </c>
      <c r="AD98" s="317" t="s">
        <v>278</v>
      </c>
      <c r="AE98" s="318">
        <f>IFERROR(AE48/AE85,0)</f>
        <v>0</v>
      </c>
      <c r="AF98" s="317" t="s">
        <v>278</v>
      </c>
      <c r="AG98" s="318">
        <f>IFERROR(AG48/AG85,0)</f>
        <v>0</v>
      </c>
      <c r="AH98" s="317" t="s">
        <v>278</v>
      </c>
      <c r="AN98" s="989">
        <f>IFERROR(AN49/AN86,0)</f>
        <v>0</v>
      </c>
      <c r="AO98" s="989">
        <f>IFERROR(AO49/AO86,0)</f>
        <v>0</v>
      </c>
      <c r="AP98" s="989">
        <f>IFERROR(AP49/AP86,0)</f>
        <v>0</v>
      </c>
    </row>
    <row r="99" spans="2:42" x14ac:dyDescent="0.3">
      <c r="C99" s="316"/>
      <c r="D99" s="316"/>
      <c r="E99" s="316"/>
      <c r="F99" s="316"/>
      <c r="G99" s="316"/>
      <c r="H99" s="316"/>
      <c r="I99" s="316"/>
      <c r="J99" s="316"/>
      <c r="K99" s="316"/>
      <c r="L99" s="316"/>
      <c r="M99" s="316"/>
      <c r="N99" s="316"/>
      <c r="O99" s="316"/>
      <c r="P99" s="316"/>
      <c r="Q99" s="316"/>
      <c r="R99" s="316"/>
      <c r="S99" s="316"/>
      <c r="T99" s="316"/>
      <c r="U99" s="316"/>
      <c r="V99" s="316"/>
      <c r="W99" s="316"/>
      <c r="X99" s="316"/>
      <c r="Y99" s="316"/>
      <c r="Z99" s="316"/>
      <c r="AA99" s="316"/>
      <c r="AB99" s="316"/>
      <c r="AC99" s="316"/>
      <c r="AD99" s="316"/>
      <c r="AE99" s="316"/>
      <c r="AF99" s="316"/>
      <c r="AG99" s="316"/>
      <c r="AH99" s="316"/>
      <c r="AN99" s="989">
        <f>IFERROR(AN48/AN86,0)</f>
        <v>0</v>
      </c>
      <c r="AO99" s="989">
        <f>IFERROR(AO48/AO86,0)</f>
        <v>0</v>
      </c>
      <c r="AP99" s="989">
        <f>IFERROR(AP48/AP86,0)</f>
        <v>0</v>
      </c>
    </row>
    <row r="100" spans="2:42" x14ac:dyDescent="0.3">
      <c r="B100" s="310" t="s">
        <v>359</v>
      </c>
      <c r="C100" s="309">
        <f>C120*10/6*'Overzicht BTA'!$D$36</f>
        <v>0</v>
      </c>
      <c r="D100" s="315" t="s">
        <v>278</v>
      </c>
      <c r="E100" s="309">
        <f>C120*10/6*'Overzicht BTA'!$D$37</f>
        <v>0</v>
      </c>
      <c r="F100" s="315" t="s">
        <v>278</v>
      </c>
      <c r="G100" s="309">
        <f>E100</f>
        <v>0</v>
      </c>
      <c r="H100" s="315" t="s">
        <v>278</v>
      </c>
      <c r="I100" s="309">
        <f>E100</f>
        <v>0</v>
      </c>
      <c r="J100" s="315" t="s">
        <v>278</v>
      </c>
      <c r="K100" s="309">
        <f>C120*10/6*'Overzicht BTA'!$D$38</f>
        <v>0</v>
      </c>
      <c r="L100" s="315" t="s">
        <v>278</v>
      </c>
      <c r="M100" s="633"/>
      <c r="N100" s="309">
        <f>N120*10/6*'Overzicht BTA'!$D$36</f>
        <v>0</v>
      </c>
      <c r="O100" s="315" t="s">
        <v>278</v>
      </c>
      <c r="P100" s="309">
        <f>N120*10/6*'Overzicht BTA'!$D$37</f>
        <v>0</v>
      </c>
      <c r="Q100" s="315" t="s">
        <v>278</v>
      </c>
      <c r="R100" s="309">
        <f>P100</f>
        <v>0</v>
      </c>
      <c r="S100" s="315" t="s">
        <v>278</v>
      </c>
      <c r="T100" s="309">
        <f>P100</f>
        <v>0</v>
      </c>
      <c r="U100" s="315" t="s">
        <v>278</v>
      </c>
      <c r="V100" s="309">
        <f>N120*10/6*'Overzicht BTA'!$D$38</f>
        <v>0</v>
      </c>
      <c r="W100" s="315" t="s">
        <v>278</v>
      </c>
      <c r="X100" s="652"/>
      <c r="Y100" s="309">
        <f>Y120*10/6*'Overzicht BTA'!$D$36</f>
        <v>0</v>
      </c>
      <c r="Z100" s="315" t="s">
        <v>278</v>
      </c>
      <c r="AA100" s="309">
        <f>Y120*10/6*'Overzicht BTA'!$D$37</f>
        <v>0</v>
      </c>
      <c r="AB100" s="315" t="s">
        <v>278</v>
      </c>
      <c r="AC100" s="309">
        <f>AA100</f>
        <v>0</v>
      </c>
      <c r="AD100" s="315" t="s">
        <v>278</v>
      </c>
      <c r="AE100" s="309">
        <f>AA100</f>
        <v>0</v>
      </c>
      <c r="AF100" s="315" t="s">
        <v>278</v>
      </c>
      <c r="AG100" s="309">
        <f>Y120*10/6*'Overzicht BTA'!$D$38</f>
        <v>0</v>
      </c>
      <c r="AH100" s="315" t="s">
        <v>278</v>
      </c>
      <c r="AN100" s="620"/>
    </row>
    <row r="101" spans="2:42" x14ac:dyDescent="0.3">
      <c r="B101" s="310" t="s">
        <v>360</v>
      </c>
      <c r="C101" s="433">
        <f>IFERROR(+C96/C100,0)</f>
        <v>0</v>
      </c>
      <c r="D101" s="314"/>
      <c r="E101" s="433">
        <f>IFERROR(+E96/E100,0)</f>
        <v>0</v>
      </c>
      <c r="F101" s="314"/>
      <c r="G101" s="314">
        <f>IFERROR(+G96/G100,0)</f>
        <v>0</v>
      </c>
      <c r="H101" s="314"/>
      <c r="I101" s="314">
        <f>IFERROR(+I96/I100,0)</f>
        <v>0</v>
      </c>
      <c r="J101" s="314"/>
      <c r="K101" s="433">
        <f>IFERROR(+K96/K100,0)</f>
        <v>0</v>
      </c>
      <c r="L101" s="314"/>
      <c r="M101" s="607"/>
      <c r="N101" s="433">
        <f>IFERROR(+N96/N100,0)</f>
        <v>0</v>
      </c>
      <c r="O101" s="314"/>
      <c r="P101" s="433">
        <f>IFERROR(+P96/P100,0)</f>
        <v>0</v>
      </c>
      <c r="Q101" s="314"/>
      <c r="R101" s="314">
        <f>IFERROR(+R96/R100,0)</f>
        <v>0</v>
      </c>
      <c r="S101" s="314"/>
      <c r="T101" s="314">
        <f>IFERROR(+T96/T100,0)</f>
        <v>0</v>
      </c>
      <c r="U101" s="314"/>
      <c r="V101" s="433">
        <f>IFERROR(+V96/V100,0)</f>
        <v>0</v>
      </c>
      <c r="W101" s="314"/>
      <c r="X101" s="653"/>
      <c r="Y101" s="433">
        <f>IFERROR(+Y96/Y100,0)</f>
        <v>0</v>
      </c>
      <c r="Z101" s="314"/>
      <c r="AA101" s="433">
        <f>IFERROR(+AA96/AA100,0)</f>
        <v>0</v>
      </c>
      <c r="AB101" s="314"/>
      <c r="AC101" s="314">
        <f>IFERROR(+AC96/AC100,0)</f>
        <v>0</v>
      </c>
      <c r="AD101" s="314"/>
      <c r="AE101" s="314">
        <f>IFERROR(+AE96/AE100,0)</f>
        <v>0</v>
      </c>
      <c r="AF101" s="314"/>
      <c r="AG101" s="433">
        <f>IFERROR(+AG96/AG100,0)</f>
        <v>0</v>
      </c>
      <c r="AH101" s="314"/>
      <c r="AN101" s="990">
        <f>$K$101</f>
        <v>0</v>
      </c>
      <c r="AO101" s="990">
        <f>$K$101</f>
        <v>0</v>
      </c>
      <c r="AP101" s="990">
        <f>$K$101</f>
        <v>0</v>
      </c>
    </row>
    <row r="102" spans="2:42" x14ac:dyDescent="0.3">
      <c r="B102" s="310" t="s">
        <v>361</v>
      </c>
      <c r="C102" s="309">
        <f>C100+C104</f>
        <v>199.65166666666667</v>
      </c>
      <c r="D102" s="315" t="s">
        <v>278</v>
      </c>
      <c r="E102" s="309">
        <f>E100+E104</f>
        <v>199.65166666666667</v>
      </c>
      <c r="F102" s="315" t="s">
        <v>278</v>
      </c>
      <c r="G102" s="309">
        <f>G100+G104</f>
        <v>199.65166666666667</v>
      </c>
      <c r="H102" s="315" t="s">
        <v>278</v>
      </c>
      <c r="I102" s="309">
        <f>I100+I104</f>
        <v>199.65166666666667</v>
      </c>
      <c r="J102" s="315" t="s">
        <v>278</v>
      </c>
      <c r="K102" s="309">
        <f>K100+K104</f>
        <v>199.65166666666667</v>
      </c>
      <c r="L102" s="315" t="s">
        <v>278</v>
      </c>
      <c r="M102" s="633"/>
      <c r="N102" s="309">
        <f>N100+N104</f>
        <v>199.65166666666667</v>
      </c>
      <c r="O102" s="315" t="s">
        <v>278</v>
      </c>
      <c r="P102" s="309">
        <f>P100+P104</f>
        <v>199.65166666666667</v>
      </c>
      <c r="Q102" s="315" t="s">
        <v>278</v>
      </c>
      <c r="R102" s="309">
        <f>R100+R104</f>
        <v>199.65166666666667</v>
      </c>
      <c r="S102" s="315" t="s">
        <v>278</v>
      </c>
      <c r="T102" s="309">
        <f>T100+T104</f>
        <v>199.65166666666667</v>
      </c>
      <c r="U102" s="315" t="s">
        <v>278</v>
      </c>
      <c r="V102" s="309">
        <f>V100+V104</f>
        <v>199.65166666666667</v>
      </c>
      <c r="W102" s="315" t="s">
        <v>278</v>
      </c>
      <c r="X102" s="652"/>
      <c r="Y102" s="309">
        <f>Y100+Y104</f>
        <v>199.65166666666667</v>
      </c>
      <c r="Z102" s="315" t="s">
        <v>278</v>
      </c>
      <c r="AA102" s="309">
        <f>AA100+AA104</f>
        <v>199.65166666666667</v>
      </c>
      <c r="AB102" s="315" t="s">
        <v>278</v>
      </c>
      <c r="AC102" s="309">
        <f>AC100+AC104</f>
        <v>199.65166666666667</v>
      </c>
      <c r="AD102" s="315" t="s">
        <v>278</v>
      </c>
      <c r="AE102" s="309">
        <f>AE100+AE104</f>
        <v>199.65166666666667</v>
      </c>
      <c r="AF102" s="315" t="s">
        <v>278</v>
      </c>
      <c r="AG102" s="309">
        <f>AG100+AG104</f>
        <v>199.65166666666667</v>
      </c>
      <c r="AH102" s="315" t="s">
        <v>278</v>
      </c>
      <c r="AN102" s="991">
        <f>IFERROR(+AN97/AN101,0)</f>
        <v>0</v>
      </c>
      <c r="AO102" s="991">
        <f>IFERROR(+AO97/AO101,0)</f>
        <v>0</v>
      </c>
      <c r="AP102" s="991">
        <f>IFERROR(+AP97/AP101,0)</f>
        <v>0</v>
      </c>
    </row>
    <row r="103" spans="2:42" x14ac:dyDescent="0.3">
      <c r="B103" s="310" t="s">
        <v>360</v>
      </c>
      <c r="C103" s="433">
        <f>IFERROR(C97/C102,0)</f>
        <v>0</v>
      </c>
      <c r="D103" s="308"/>
      <c r="E103" s="433">
        <f>IFERROR(E97/E102,0)</f>
        <v>0</v>
      </c>
      <c r="F103" s="308"/>
      <c r="G103" s="314">
        <f>IFERROR(G97/G102,0)</f>
        <v>0</v>
      </c>
      <c r="H103" s="308"/>
      <c r="I103" s="314">
        <f>IFERROR(I97/I102,0)</f>
        <v>0</v>
      </c>
      <c r="J103" s="308"/>
      <c r="K103" s="433">
        <f>IFERROR(K97/K102,0)</f>
        <v>0</v>
      </c>
      <c r="L103" s="308"/>
      <c r="M103" s="311"/>
      <c r="N103" s="433">
        <f>IFERROR(N97/N102,0)</f>
        <v>0</v>
      </c>
      <c r="O103" s="308"/>
      <c r="P103" s="433">
        <f>IFERROR(P97/P102,0)</f>
        <v>0</v>
      </c>
      <c r="Q103" s="308"/>
      <c r="R103" s="314">
        <f>IFERROR(R97/R102,0)</f>
        <v>0</v>
      </c>
      <c r="S103" s="308"/>
      <c r="T103" s="314">
        <f>IFERROR(T97/T102,0)</f>
        <v>0</v>
      </c>
      <c r="U103" s="308"/>
      <c r="V103" s="433">
        <f>IFERROR(V97/V102,0)</f>
        <v>0</v>
      </c>
      <c r="W103" s="308"/>
      <c r="X103" s="654"/>
      <c r="Y103" s="433">
        <f>IFERROR(Y97/Y102,0)</f>
        <v>0</v>
      </c>
      <c r="Z103" s="308"/>
      <c r="AA103" s="433">
        <f>IFERROR(AA97/AA102,0)</f>
        <v>0</v>
      </c>
      <c r="AB103" s="308"/>
      <c r="AC103" s="314">
        <f>IFERROR(AC97/AC102,0)</f>
        <v>0</v>
      </c>
      <c r="AD103" s="308"/>
      <c r="AE103" s="314">
        <f>IFERROR(AE97/AE102,0)</f>
        <v>0</v>
      </c>
      <c r="AF103" s="308"/>
      <c r="AG103" s="433">
        <f>IFERROR(AG97/AG102,0)</f>
        <v>0</v>
      </c>
      <c r="AH103" s="308"/>
      <c r="AN103" s="990">
        <f>$K$103</f>
        <v>0</v>
      </c>
      <c r="AO103" s="990">
        <f>$K$103</f>
        <v>0</v>
      </c>
      <c r="AP103" s="990">
        <f>$K$103</f>
        <v>0</v>
      </c>
    </row>
    <row r="104" spans="2:42" x14ac:dyDescent="0.3">
      <c r="B104" s="310" t="s">
        <v>362</v>
      </c>
      <c r="C104" s="309">
        <f>C121*10/6*'Overzicht BTA'!$D$36</f>
        <v>199.65166666666667</v>
      </c>
      <c r="D104" s="315" t="s">
        <v>278</v>
      </c>
      <c r="E104" s="309">
        <f>C121*10/6*'Overzicht BTA'!$D$37</f>
        <v>199.65166666666667</v>
      </c>
      <c r="F104" s="315" t="s">
        <v>278</v>
      </c>
      <c r="G104" s="309">
        <f>E104</f>
        <v>199.65166666666667</v>
      </c>
      <c r="H104" s="315" t="s">
        <v>278</v>
      </c>
      <c r="I104" s="309">
        <f>E104</f>
        <v>199.65166666666667</v>
      </c>
      <c r="J104" s="315" t="s">
        <v>278</v>
      </c>
      <c r="K104" s="309">
        <f>C121*10/6*'Overzicht BTA'!$D$38</f>
        <v>199.65166666666667</v>
      </c>
      <c r="L104" s="315" t="s">
        <v>278</v>
      </c>
      <c r="M104" s="633"/>
      <c r="N104" s="309">
        <f>N121*10/6*'Overzicht BTA'!$D$36</f>
        <v>199.65166666666667</v>
      </c>
      <c r="O104" s="315" t="s">
        <v>278</v>
      </c>
      <c r="P104" s="309">
        <f>N121*10/6*'Overzicht BTA'!$D$37</f>
        <v>199.65166666666667</v>
      </c>
      <c r="Q104" s="315" t="s">
        <v>278</v>
      </c>
      <c r="R104" s="309">
        <f>P104</f>
        <v>199.65166666666667</v>
      </c>
      <c r="S104" s="315" t="s">
        <v>278</v>
      </c>
      <c r="T104" s="309">
        <f>P104</f>
        <v>199.65166666666667</v>
      </c>
      <c r="U104" s="315" t="s">
        <v>278</v>
      </c>
      <c r="V104" s="309">
        <f>N121*10/6*'Overzicht BTA'!$D$38</f>
        <v>199.65166666666667</v>
      </c>
      <c r="W104" s="315" t="s">
        <v>278</v>
      </c>
      <c r="X104" s="652"/>
      <c r="Y104" s="309">
        <f>Y121*10/6*'Overzicht BTA'!$D$36</f>
        <v>199.65166666666667</v>
      </c>
      <c r="Z104" s="315" t="s">
        <v>278</v>
      </c>
      <c r="AA104" s="309">
        <f>Y121*10/6*'Overzicht BTA'!$D$37</f>
        <v>199.65166666666667</v>
      </c>
      <c r="AB104" s="315" t="s">
        <v>278</v>
      </c>
      <c r="AC104" s="309">
        <f>AA104</f>
        <v>199.65166666666667</v>
      </c>
      <c r="AD104" s="315" t="s">
        <v>278</v>
      </c>
      <c r="AE104" s="309">
        <f>AA104</f>
        <v>199.65166666666667</v>
      </c>
      <c r="AF104" s="315" t="s">
        <v>278</v>
      </c>
      <c r="AG104" s="309">
        <f>Y121*10/6*'Overzicht BTA'!$D$38</f>
        <v>199.65166666666667</v>
      </c>
      <c r="AH104" s="315" t="s">
        <v>278</v>
      </c>
      <c r="AN104" s="991">
        <f>IFERROR(AN98/AN103,0)</f>
        <v>0</v>
      </c>
      <c r="AO104" s="991">
        <f>IFERROR(AO98/AO103,0)</f>
        <v>0</v>
      </c>
      <c r="AP104" s="991">
        <f>IFERROR(AP98/AP103,0)</f>
        <v>0</v>
      </c>
    </row>
    <row r="105" spans="2:42" x14ac:dyDescent="0.3">
      <c r="B105" s="310" t="s">
        <v>360</v>
      </c>
      <c r="C105" s="433">
        <f>IFERROR(C98/C104,0)</f>
        <v>0</v>
      </c>
      <c r="D105" s="308"/>
      <c r="E105" s="433">
        <f>IFERROR(E98/E104,0)</f>
        <v>0</v>
      </c>
      <c r="F105" s="308"/>
      <c r="G105" s="314">
        <f>IFERROR(G98/G104,0)</f>
        <v>0</v>
      </c>
      <c r="H105" s="308"/>
      <c r="I105" s="314">
        <f>IFERROR(I98/I104,0)</f>
        <v>0</v>
      </c>
      <c r="J105" s="308"/>
      <c r="K105" s="433">
        <f>IFERROR(K98/K104,0)</f>
        <v>0</v>
      </c>
      <c r="L105" s="308"/>
      <c r="M105" s="311"/>
      <c r="N105" s="433">
        <f>IFERROR(N98/N104,0)</f>
        <v>0</v>
      </c>
      <c r="O105" s="308"/>
      <c r="P105" s="433">
        <f>IFERROR(P98/P104,0)</f>
        <v>0</v>
      </c>
      <c r="Q105" s="308"/>
      <c r="R105" s="314">
        <f>IFERROR(R98/R104,0)</f>
        <v>0</v>
      </c>
      <c r="S105" s="308"/>
      <c r="T105" s="314">
        <f>IFERROR(T98/T104,0)</f>
        <v>0</v>
      </c>
      <c r="U105" s="308"/>
      <c r="V105" s="433">
        <f>IFERROR(V98/V104,0)</f>
        <v>0</v>
      </c>
      <c r="W105" s="308"/>
      <c r="X105" s="654"/>
      <c r="Y105" s="433">
        <f>IFERROR(Y98/Y104,0)</f>
        <v>0</v>
      </c>
      <c r="Z105" s="308"/>
      <c r="AA105" s="433">
        <f>IFERROR(AA98/AA104,0)</f>
        <v>0</v>
      </c>
      <c r="AB105" s="308"/>
      <c r="AC105" s="314">
        <f>IFERROR(AC98/AC104,0)</f>
        <v>0</v>
      </c>
      <c r="AD105" s="308"/>
      <c r="AE105" s="314">
        <f>IFERROR(AE98/AE104,0)</f>
        <v>0</v>
      </c>
      <c r="AF105" s="308"/>
      <c r="AG105" s="433">
        <f>IFERROR(AG98/AG104,0)</f>
        <v>0</v>
      </c>
      <c r="AH105" s="308"/>
      <c r="AN105" s="990">
        <f>$K$105</f>
        <v>0</v>
      </c>
      <c r="AO105" s="990">
        <f>$K$105</f>
        <v>0</v>
      </c>
      <c r="AP105" s="990">
        <f>$K$105</f>
        <v>0</v>
      </c>
    </row>
    <row r="106" spans="2:42" x14ac:dyDescent="0.3">
      <c r="B106" s="313"/>
      <c r="D106" s="311"/>
      <c r="F106" s="311"/>
      <c r="G106" s="312"/>
      <c r="H106" s="311"/>
      <c r="I106" s="312"/>
      <c r="J106" s="311"/>
      <c r="K106" s="607"/>
      <c r="L106" s="311"/>
      <c r="M106" s="311"/>
      <c r="O106" s="311"/>
      <c r="Q106" s="311"/>
      <c r="R106" s="312"/>
      <c r="S106" s="311"/>
      <c r="T106" s="312"/>
      <c r="U106" s="311"/>
      <c r="V106" s="607"/>
      <c r="W106" s="311"/>
      <c r="X106" s="311"/>
      <c r="Z106" s="311"/>
      <c r="AB106" s="311"/>
      <c r="AC106" s="312"/>
      <c r="AD106" s="311"/>
      <c r="AE106" s="312"/>
      <c r="AF106" s="311"/>
      <c r="AG106" s="607"/>
      <c r="AH106" s="311"/>
      <c r="AN106" s="991">
        <f>IFERROR(AN99/AN105,0)</f>
        <v>0</v>
      </c>
      <c r="AO106" s="991">
        <f>IFERROR(AO99/AO105,0)</f>
        <v>0</v>
      </c>
      <c r="AP106" s="991">
        <f>IFERROR(AP99/AP105,0)</f>
        <v>0</v>
      </c>
    </row>
    <row r="107" spans="2:42" x14ac:dyDescent="0.3">
      <c r="B107" s="310" t="s">
        <v>483</v>
      </c>
      <c r="C107" s="1036" t="e">
        <f>C50/C89</f>
        <v>#DIV/0!</v>
      </c>
      <c r="D107" s="308"/>
      <c r="E107" s="1036" t="e">
        <f>E50/E89</f>
        <v>#DIV/0!</v>
      </c>
      <c r="F107" s="308"/>
      <c r="G107" s="1036" t="e">
        <f>G50/G89</f>
        <v>#DIV/0!</v>
      </c>
      <c r="H107" s="308"/>
      <c r="I107" s="1036" t="e">
        <f>I50/I89</f>
        <v>#DIV/0!</v>
      </c>
      <c r="J107" s="308"/>
      <c r="K107" s="1036" t="e">
        <f>K50/K89</f>
        <v>#DIV/0!</v>
      </c>
      <c r="L107" s="308"/>
      <c r="M107" s="311"/>
      <c r="N107" s="1036" t="e">
        <f>N50/N89</f>
        <v>#DIV/0!</v>
      </c>
      <c r="O107" s="308"/>
      <c r="P107" s="1036" t="e">
        <f>P50/P89</f>
        <v>#DIV/0!</v>
      </c>
      <c r="Q107" s="308"/>
      <c r="R107" s="1036" t="e">
        <f>R50/R89</f>
        <v>#DIV/0!</v>
      </c>
      <c r="S107" s="308"/>
      <c r="T107" s="1036" t="e">
        <f>T50/T89</f>
        <v>#DIV/0!</v>
      </c>
      <c r="U107" s="308"/>
      <c r="V107" s="1036" t="e">
        <f>V50/V89</f>
        <v>#DIV/0!</v>
      </c>
      <c r="W107" s="308"/>
      <c r="X107" s="654"/>
      <c r="Y107" s="1036" t="e">
        <f>Y50/Y89</f>
        <v>#DIV/0!</v>
      </c>
      <c r="Z107" s="308"/>
      <c r="AA107" s="1036" t="e">
        <f>AA50/AA89</f>
        <v>#DIV/0!</v>
      </c>
      <c r="AB107" s="308"/>
      <c r="AC107" s="1036" t="e">
        <f>AC50/AC89</f>
        <v>#DIV/0!</v>
      </c>
      <c r="AD107" s="308"/>
      <c r="AE107" s="1036" t="e">
        <f>AE50/AE89</f>
        <v>#DIV/0!</v>
      </c>
      <c r="AF107" s="308"/>
      <c r="AG107" s="1036" t="e">
        <f>AG50/AG89</f>
        <v>#DIV/0!</v>
      </c>
      <c r="AH107" s="308"/>
      <c r="AN107" s="620"/>
      <c r="AO107" s="620"/>
      <c r="AP107" s="620"/>
    </row>
    <row r="108" spans="2:42" x14ac:dyDescent="0.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N108" s="990">
        <f>IFERROR(AN50/AN90,0)</f>
        <v>0</v>
      </c>
      <c r="AO108" s="990">
        <f>IFERROR(AO50/AO90,0)</f>
        <v>0</v>
      </c>
      <c r="AP108" s="990">
        <f>IFERROR(AP50/AP90,0)</f>
        <v>0</v>
      </c>
    </row>
    <row r="109" spans="2:42" x14ac:dyDescent="0.3">
      <c r="B109" s="307" t="s">
        <v>484</v>
      </c>
      <c r="C109" s="102" t="s">
        <v>485</v>
      </c>
      <c r="D109" s="103"/>
      <c r="E109" s="102" t="s">
        <v>485</v>
      </c>
      <c r="F109" s="103"/>
      <c r="G109" s="104" t="s">
        <v>486</v>
      </c>
      <c r="H109" s="103"/>
      <c r="I109" s="104" t="s">
        <v>487</v>
      </c>
      <c r="J109" s="103"/>
      <c r="K109" s="104" t="s">
        <v>488</v>
      </c>
      <c r="L109" s="105"/>
      <c r="M109" s="480"/>
      <c r="N109" s="102" t="s">
        <v>485</v>
      </c>
      <c r="O109" s="103"/>
      <c r="P109" s="102" t="s">
        <v>485</v>
      </c>
      <c r="Q109" s="103"/>
      <c r="R109" s="104" t="s">
        <v>486</v>
      </c>
      <c r="S109" s="103"/>
      <c r="T109" s="104" t="s">
        <v>487</v>
      </c>
      <c r="U109" s="103"/>
      <c r="V109" s="104" t="s">
        <v>488</v>
      </c>
      <c r="W109" s="105"/>
      <c r="X109" s="480"/>
      <c r="Y109" s="102" t="s">
        <v>485</v>
      </c>
      <c r="Z109" s="103"/>
      <c r="AA109" s="102" t="s">
        <v>485</v>
      </c>
      <c r="AB109" s="103"/>
      <c r="AC109" s="104" t="s">
        <v>486</v>
      </c>
      <c r="AD109" s="103"/>
      <c r="AE109" s="104" t="s">
        <v>487</v>
      </c>
      <c r="AF109" s="103"/>
      <c r="AG109" s="104" t="s">
        <v>488</v>
      </c>
      <c r="AH109" s="105"/>
      <c r="AI109" s="167"/>
      <c r="AJ109" s="167"/>
    </row>
    <row r="110" spans="2:42" x14ac:dyDescent="0.3">
      <c r="B110" s="305" t="s">
        <v>123</v>
      </c>
      <c r="C110" s="304">
        <f>G23-C23</f>
        <v>0</v>
      </c>
      <c r="D110" s="300" t="str">
        <f>IF(ISNUMBER(ROUND(C110/C23,2)),ROUND(C110/C23,2),"/")</f>
        <v>/</v>
      </c>
      <c r="E110" s="304">
        <f>G23-E23</f>
        <v>0</v>
      </c>
      <c r="F110" s="300" t="str">
        <f>IF(ISNUMBER(ROUND(E110/E23,2)),ROUND(E110/E23,2),"/")</f>
        <v>/</v>
      </c>
      <c r="G110" s="304">
        <f>I23-G23</f>
        <v>0</v>
      </c>
      <c r="H110" s="300" t="str">
        <f>IF(ISNUMBER(ROUND(G110/G23,2)),ROUND(G110/G23,2),"/")</f>
        <v>/</v>
      </c>
      <c r="I110" s="304">
        <f>K23-I23</f>
        <v>0</v>
      </c>
      <c r="J110" s="300" t="str">
        <f>IF(ISNUMBER(ROUND(I110/I23,2)),ROUND(I110/I23,2),"/")</f>
        <v>/</v>
      </c>
      <c r="K110" s="612">
        <f>K23-C23</f>
        <v>0</v>
      </c>
      <c r="L110" s="615" t="str">
        <f>IF(ISNUMBER(ROUND(K110/C23,2)),ROUND(K110/C23,2),"/")</f>
        <v>/</v>
      </c>
      <c r="M110" s="634"/>
      <c r="N110" s="304">
        <f>R23-N23</f>
        <v>0</v>
      </c>
      <c r="O110" s="300" t="str">
        <f>IF(ISNUMBER(ROUND(N110/N23,2)),ROUND(N110/N23,2),"/")</f>
        <v>/</v>
      </c>
      <c r="P110" s="304">
        <f>T23-P23</f>
        <v>0</v>
      </c>
      <c r="Q110" s="300" t="str">
        <f>IF(ISNUMBER(ROUND(P110/P23,2)),ROUND(P110/P23,2),"/")</f>
        <v>/</v>
      </c>
      <c r="R110" s="304">
        <f>T23-R23</f>
        <v>0</v>
      </c>
      <c r="S110" s="300" t="str">
        <f>IF(ISNUMBER(ROUND(R110/R23,2)),ROUND(R110/R23,2),"/")</f>
        <v>/</v>
      </c>
      <c r="T110" s="304">
        <f>V23-T23</f>
        <v>0</v>
      </c>
      <c r="U110" s="300" t="str">
        <f>IF(ISNUMBER(ROUND(T110/T23,2)),ROUND(T110/T23,2),"/")</f>
        <v>/</v>
      </c>
      <c r="V110" s="612">
        <f>V23-N23</f>
        <v>0</v>
      </c>
      <c r="W110" s="615" t="str">
        <f>IF(ISNUMBER(ROUND(V110/N23,2)),ROUND(V110/N23,2),"/")</f>
        <v>/</v>
      </c>
      <c r="X110" s="655"/>
      <c r="Y110" s="304">
        <f>AC23-Y23</f>
        <v>0</v>
      </c>
      <c r="Z110" s="300" t="str">
        <f>IF(ISNUMBER(ROUND(Y110/Y23,2)),ROUND(Y110/Y23,2),"/")</f>
        <v>/</v>
      </c>
      <c r="AA110" s="304">
        <f>AE23-AA23</f>
        <v>0</v>
      </c>
      <c r="AB110" s="300" t="str">
        <f>IF(ISNUMBER(ROUND(AA110/AA23,2)),ROUND(AA110/AA23,2),"/")</f>
        <v>/</v>
      </c>
      <c r="AC110" s="304">
        <f>AE23-AC23</f>
        <v>0</v>
      </c>
      <c r="AD110" s="300" t="str">
        <f>IF(ISNUMBER(ROUND(AC110/AC23,2)),ROUND(AC110/AC23,2),"/")</f>
        <v>/</v>
      </c>
      <c r="AE110" s="304">
        <f>AG23-AE23</f>
        <v>0</v>
      </c>
      <c r="AF110" s="300" t="str">
        <f>IF(ISNUMBER(ROUND(AE110/AE23,2)),ROUND(AE110/AE23,2),"/")</f>
        <v>/</v>
      </c>
      <c r="AG110" s="612">
        <f>AG23-Y23</f>
        <v>0</v>
      </c>
      <c r="AH110" s="615" t="str">
        <f>IF(ISNUMBER(ROUND(AG110/Y23,2)),ROUND(AG110/Y23,2),"/")</f>
        <v>/</v>
      </c>
      <c r="AI110" s="167"/>
      <c r="AJ110" s="167"/>
      <c r="AL110" s="985">
        <f t="shared" ref="AL110:AL117" si="66">AG110+V110+K110</f>
        <v>0</v>
      </c>
      <c r="AM110" s="992" t="str">
        <f>IF(ISNUMBER(ROUND(AL110/(C23+N23+Y23),2)),ROUND(AL110/(C23+N23+Y23),2),"/")</f>
        <v>/</v>
      </c>
    </row>
    <row r="111" spans="2:42" x14ac:dyDescent="0.3">
      <c r="B111" s="305" t="s">
        <v>124</v>
      </c>
      <c r="C111" s="304">
        <f>G30-C30</f>
        <v>0</v>
      </c>
      <c r="D111" s="300" t="str">
        <f>IF(ISNUMBER(ROUND(C111/C30,2)),ROUND(C111/C30,2),"/")</f>
        <v>/</v>
      </c>
      <c r="E111" s="304">
        <f>G30-E30</f>
        <v>0</v>
      </c>
      <c r="F111" s="300" t="str">
        <f>IF(ISNUMBER(ROUND(E111/E30,2)),ROUND(E111/E30,2),"/")</f>
        <v>/</v>
      </c>
      <c r="G111" s="304">
        <f>I30-G30</f>
        <v>0</v>
      </c>
      <c r="H111" s="300" t="str">
        <f>IF(ISNUMBER(ROUND(G111/G30,2)),ROUND(G111/G30,2),"/")</f>
        <v>/</v>
      </c>
      <c r="I111" s="304">
        <f>K30-I30</f>
        <v>0</v>
      </c>
      <c r="J111" s="300" t="str">
        <f>IF(ISNUMBER(ROUND(I111/I30,2)),ROUND(I111/I30,2),"/")</f>
        <v>/</v>
      </c>
      <c r="K111" s="612">
        <f>K30-C30</f>
        <v>0</v>
      </c>
      <c r="L111" s="615" t="str">
        <f>IF(ISNUMBER(ROUND(K111/C30,2)),ROUND(K111/C30,2),"/")</f>
        <v>/</v>
      </c>
      <c r="M111" s="634"/>
      <c r="N111" s="304">
        <f>R30-N30</f>
        <v>0</v>
      </c>
      <c r="O111" s="300" t="str">
        <f>IF(ISNUMBER(ROUND(N111/N30,2)),ROUND(N111/N30,2),"/")</f>
        <v>/</v>
      </c>
      <c r="P111" s="304">
        <f>T30-P30</f>
        <v>0</v>
      </c>
      <c r="Q111" s="300" t="str">
        <f>IF(ISNUMBER(ROUND(P111/P30,2)),ROUND(P111/P30,2),"/")</f>
        <v>/</v>
      </c>
      <c r="R111" s="304">
        <f>T30-R30</f>
        <v>0</v>
      </c>
      <c r="S111" s="300" t="str">
        <f>IF(ISNUMBER(ROUND(R111/R30,2)),ROUND(R111/R30,2),"/")</f>
        <v>/</v>
      </c>
      <c r="T111" s="304">
        <f>V30-T30</f>
        <v>0</v>
      </c>
      <c r="U111" s="300" t="str">
        <f>IF(ISNUMBER(ROUND(T111/T30,2)),ROUND(T111/T30,2),"/")</f>
        <v>/</v>
      </c>
      <c r="V111" s="612">
        <f>V30-N30</f>
        <v>0</v>
      </c>
      <c r="W111" s="615" t="str">
        <f>IF(ISNUMBER(ROUND(V111/N30,2)),ROUND(V111/N30,2),"/")</f>
        <v>/</v>
      </c>
      <c r="X111" s="655"/>
      <c r="Y111" s="304">
        <f>AC30-Y30</f>
        <v>0</v>
      </c>
      <c r="Z111" s="300" t="str">
        <f>IF(ISNUMBER(ROUND(Y111/Y30,2)),ROUND(Y111/Y30,2),"/")</f>
        <v>/</v>
      </c>
      <c r="AA111" s="304">
        <f>AE30-AA30</f>
        <v>0</v>
      </c>
      <c r="AB111" s="300" t="str">
        <f>IF(ISNUMBER(ROUND(AA111/AA30,2)),ROUND(AA111/AA30,2),"/")</f>
        <v>/</v>
      </c>
      <c r="AC111" s="304">
        <f>AE30-AC30</f>
        <v>0</v>
      </c>
      <c r="AD111" s="300" t="str">
        <f>IF(ISNUMBER(ROUND(AC111/AC30,2)),ROUND(AC111/AC30,2),"/")</f>
        <v>/</v>
      </c>
      <c r="AE111" s="304">
        <f>AG30-AE30</f>
        <v>0</v>
      </c>
      <c r="AF111" s="300" t="str">
        <f>IF(ISNUMBER(ROUND(AE111/AE30,2)),ROUND(AE111/AE30,2),"/")</f>
        <v>/</v>
      </c>
      <c r="AG111" s="612">
        <f>AG30-Y30</f>
        <v>0</v>
      </c>
      <c r="AH111" s="615" t="str">
        <f>IF(ISNUMBER(ROUND(AG111/Y30,2)),ROUND(AG111/Y30,2),"/")</f>
        <v>/</v>
      </c>
      <c r="AI111" s="167"/>
      <c r="AJ111" s="996"/>
      <c r="AL111" s="985">
        <f t="shared" si="66"/>
        <v>0</v>
      </c>
      <c r="AM111" s="992" t="str">
        <f>IF(ISNUMBER(ROUND(AL111/(Y30+C30+N30),2)),ROUND(AL111/(Y30+C30+N30),2),"/")</f>
        <v>/</v>
      </c>
    </row>
    <row r="112" spans="2:42" x14ac:dyDescent="0.3">
      <c r="B112" s="305" t="s">
        <v>125</v>
      </c>
      <c r="C112" s="304">
        <f>G38-C38</f>
        <v>0</v>
      </c>
      <c r="D112" s="300" t="str">
        <f>IF(ISNUMBER(ROUND(C112/C38,2)),ROUND(C112/C38,2),"/")</f>
        <v>/</v>
      </c>
      <c r="E112" s="304">
        <f>G38-E38</f>
        <v>0</v>
      </c>
      <c r="F112" s="300" t="str">
        <f>IF(ISNUMBER(ROUND(E112/E38,2)),ROUND(E112/E38,2),"/")</f>
        <v>/</v>
      </c>
      <c r="G112" s="304">
        <f>I38-G38</f>
        <v>0</v>
      </c>
      <c r="H112" s="300" t="str">
        <f>IF(ISNUMBER(ROUND(G112/G38,2)),ROUND(G112/G38,2),"/")</f>
        <v>/</v>
      </c>
      <c r="I112" s="304">
        <f>K38-I38</f>
        <v>0</v>
      </c>
      <c r="J112" s="300" t="str">
        <f>IF(ISNUMBER(ROUND(I112/I38,2)),ROUND(I112/I38,2),"/")</f>
        <v>/</v>
      </c>
      <c r="K112" s="612">
        <f>K38-C38</f>
        <v>0</v>
      </c>
      <c r="L112" s="615" t="str">
        <f>IF(ISNUMBER(ROUND(K112/C38,2)),ROUND(K112/C38,2),"/")</f>
        <v>/</v>
      </c>
      <c r="M112" s="634"/>
      <c r="N112" s="304">
        <f>R38-N38</f>
        <v>0</v>
      </c>
      <c r="O112" s="300" t="str">
        <f>IF(ISNUMBER(ROUND(N112/N38,2)),ROUND(N112/N38,2),"/")</f>
        <v>/</v>
      </c>
      <c r="P112" s="304">
        <f>T38-P38</f>
        <v>0</v>
      </c>
      <c r="Q112" s="300" t="str">
        <f>IF(ISNUMBER(ROUND(P112/P38,2)),ROUND(P112/P38,2),"/")</f>
        <v>/</v>
      </c>
      <c r="R112" s="304">
        <f>T38-R38</f>
        <v>0</v>
      </c>
      <c r="S112" s="300" t="str">
        <f>IF(ISNUMBER(ROUND(R112/R38,2)),ROUND(R112/R38,2),"/")</f>
        <v>/</v>
      </c>
      <c r="T112" s="304">
        <f>V38-T38</f>
        <v>0</v>
      </c>
      <c r="U112" s="300" t="str">
        <f>IF(ISNUMBER(ROUND(T112/T38,2)),ROUND(T112/T38,2),"/")</f>
        <v>/</v>
      </c>
      <c r="V112" s="612">
        <f>V38-N38</f>
        <v>0</v>
      </c>
      <c r="W112" s="615" t="str">
        <f>IF(ISNUMBER(ROUND(V112/N38,2)),ROUND(V112/N38,2),"/")</f>
        <v>/</v>
      </c>
      <c r="X112" s="655"/>
      <c r="Y112" s="304">
        <f>AC38-Y38</f>
        <v>0</v>
      </c>
      <c r="Z112" s="300" t="str">
        <f>IF(ISNUMBER(ROUND(Y112/Y38,2)),ROUND(Y112/Y38,2),"/")</f>
        <v>/</v>
      </c>
      <c r="AA112" s="304">
        <f>AE38-AA38</f>
        <v>0</v>
      </c>
      <c r="AB112" s="300" t="str">
        <f>IF(ISNUMBER(ROUND(AA112/AA38,2)),ROUND(AA112/AA38,2),"/")</f>
        <v>/</v>
      </c>
      <c r="AC112" s="304">
        <f>AE38-AC38</f>
        <v>0</v>
      </c>
      <c r="AD112" s="300" t="str">
        <f>IF(ISNUMBER(ROUND(AC112/AC38,2)),ROUND(AC112/AC38,2),"/")</f>
        <v>/</v>
      </c>
      <c r="AE112" s="304">
        <f>AG38-AE38</f>
        <v>0</v>
      </c>
      <c r="AF112" s="300" t="str">
        <f>IF(ISNUMBER(ROUND(AE112/AE38,2)),ROUND(AE112/AE38,2),"/")</f>
        <v>/</v>
      </c>
      <c r="AG112" s="612">
        <f>AG38-Y38</f>
        <v>0</v>
      </c>
      <c r="AH112" s="615" t="str">
        <f>IF(ISNUMBER(ROUND(AG112/Y38,2)),ROUND(AG112/Y38,2),"/")</f>
        <v>/</v>
      </c>
      <c r="AI112" s="167"/>
      <c r="AJ112" s="167"/>
      <c r="AL112" s="985">
        <f t="shared" si="66"/>
        <v>0</v>
      </c>
      <c r="AM112" s="992" t="str">
        <f>IF(ISNUMBER(ROUND(AL112/(C38+N38+Y38),2)),ROUND(AL112/(C38+N38+Y38),2),"/")</f>
        <v>/</v>
      </c>
    </row>
    <row r="113" spans="2:39" x14ac:dyDescent="0.3">
      <c r="B113" s="303" t="s">
        <v>126</v>
      </c>
      <c r="C113" s="302">
        <f>SUM(C110:C112)</f>
        <v>0</v>
      </c>
      <c r="D113" s="300" t="str">
        <f>IF(ISNUMBER(ROUND(C113/C47,2)),ROUND(C113/C47,2),"/")</f>
        <v>/</v>
      </c>
      <c r="E113" s="302">
        <f>SUM(E110:E112)</f>
        <v>0</v>
      </c>
      <c r="F113" s="300" t="str">
        <f>IF(ISNUMBER(ROUND(E113/E47,2)),ROUND(E113/E47,2),"/")</f>
        <v>/</v>
      </c>
      <c r="G113" s="302">
        <f>SUM(G110:G112)</f>
        <v>0</v>
      </c>
      <c r="H113" s="300" t="str">
        <f>IF(ISNUMBER(ROUND(G113/G47,2)),ROUND(G113/G47,2),"/")</f>
        <v>/</v>
      </c>
      <c r="I113" s="302">
        <f>SUM(I110:I112)</f>
        <v>0</v>
      </c>
      <c r="J113" s="300" t="str">
        <f>IF(ISNUMBER(ROUND(I113/I47,2)),ROUND(I113/I47,2),"/")</f>
        <v>/</v>
      </c>
      <c r="K113" s="616">
        <f>SUM(K110:K112)</f>
        <v>0</v>
      </c>
      <c r="L113" s="615" t="str">
        <f>IF(ISNUMBER(ROUND(K113/C47,2)),ROUND(K113/C47,2),"/")</f>
        <v>/</v>
      </c>
      <c r="M113" s="634"/>
      <c r="N113" s="302">
        <f>SUM(N110:N112)</f>
        <v>0</v>
      </c>
      <c r="O113" s="300" t="str">
        <f>IF(ISNUMBER(ROUND(N113/N47,2)),ROUND(N113/N47,2),"/")</f>
        <v>/</v>
      </c>
      <c r="P113" s="302">
        <f>SUM(P110:P112)</f>
        <v>0</v>
      </c>
      <c r="Q113" s="300" t="str">
        <f>IF(ISNUMBER(ROUND(P113/P47,2)),ROUND(P113/P47,2),"/")</f>
        <v>/</v>
      </c>
      <c r="R113" s="302">
        <f>SUM(R110:R112)</f>
        <v>0</v>
      </c>
      <c r="S113" s="300" t="str">
        <f>IF(ISNUMBER(ROUND(R113/R47,2)),ROUND(R113/R47,2),"/")</f>
        <v>/</v>
      </c>
      <c r="T113" s="302">
        <f>SUM(T110:T112)</f>
        <v>0</v>
      </c>
      <c r="U113" s="300" t="str">
        <f>IF(ISNUMBER(ROUND(T113/T47,2)),ROUND(T113/T47,2),"/")</f>
        <v>/</v>
      </c>
      <c r="V113" s="616">
        <f>SUM(V110:V112)</f>
        <v>0</v>
      </c>
      <c r="W113" s="615" t="str">
        <f>IF(ISNUMBER(ROUND(V113/N47,2)),ROUND(V113/N47,2),"/")</f>
        <v>/</v>
      </c>
      <c r="X113" s="655"/>
      <c r="Y113" s="302">
        <f>SUM(Y110:Y112)</f>
        <v>0</v>
      </c>
      <c r="Z113" s="300" t="str">
        <f>IF(ISNUMBER(ROUND(Y113/Y47,2)),ROUND(Y113/Y47,2),"/")</f>
        <v>/</v>
      </c>
      <c r="AA113" s="302">
        <f>SUM(AA110:AA112)</f>
        <v>0</v>
      </c>
      <c r="AB113" s="300" t="str">
        <f>IF(ISNUMBER(ROUND(AA113/AA47,2)),ROUND(AA113/AA47,2),"/")</f>
        <v>/</v>
      </c>
      <c r="AC113" s="302">
        <f>SUM(AC110:AC112)</f>
        <v>0</v>
      </c>
      <c r="AD113" s="300" t="str">
        <f>IF(ISNUMBER(ROUND(AC113/AC47,2)),ROUND(AC113/AC47,2),"/")</f>
        <v>/</v>
      </c>
      <c r="AE113" s="302">
        <f>SUM(AE110:AE112)</f>
        <v>0</v>
      </c>
      <c r="AF113" s="300" t="str">
        <f>IF(ISNUMBER(ROUND(AE113/AE47,2)),ROUND(AE113/AE47,2),"/")</f>
        <v>/</v>
      </c>
      <c r="AG113" s="616">
        <f>SUM(AG110:AG112)</f>
        <v>0</v>
      </c>
      <c r="AH113" s="615" t="str">
        <f>IF(ISNUMBER(ROUND(AG113/Y47,2)),ROUND(AG113/Y47,2),"/")</f>
        <v>/</v>
      </c>
      <c r="AI113" s="167"/>
      <c r="AJ113" s="167"/>
      <c r="AL113" s="985">
        <f t="shared" si="66"/>
        <v>0</v>
      </c>
      <c r="AM113" s="992" t="str">
        <f>IF(ISNUMBER(ROUND(AL113/(C47+N47+Y47),2)),ROUND(AL113/(C47+N47+Y47),2),"/")</f>
        <v>/</v>
      </c>
    </row>
    <row r="114" spans="2:39" x14ac:dyDescent="0.3">
      <c r="B114" s="305" t="s">
        <v>127</v>
      </c>
      <c r="C114" s="304">
        <f>G48-C48</f>
        <v>0</v>
      </c>
      <c r="D114" s="300" t="str">
        <f>IF(ISNUMBER(ROUND(C114/C48,2)),ROUND(C114/C48,2),"/")</f>
        <v>/</v>
      </c>
      <c r="E114" s="304">
        <f>I48-E48</f>
        <v>0</v>
      </c>
      <c r="F114" s="300" t="str">
        <f>IF(ISNUMBER(ROUND(E114/E48,2)),ROUND(E114/E48,2),"/")</f>
        <v>/</v>
      </c>
      <c r="G114" s="304">
        <f>I48-G48</f>
        <v>0</v>
      </c>
      <c r="H114" s="300" t="str">
        <f>IF(ISNUMBER(ROUND(G114/G48,2)),ROUND(G114/G48,2),"/")</f>
        <v>/</v>
      </c>
      <c r="I114" s="304">
        <f>K48-I48</f>
        <v>0</v>
      </c>
      <c r="J114" s="300" t="str">
        <f>IF(ISNUMBER(ROUND(I114/I48,2)),ROUND(I114/I48,2),"/")</f>
        <v>/</v>
      </c>
      <c r="K114" s="612">
        <f>K48-C48</f>
        <v>0</v>
      </c>
      <c r="L114" s="615" t="str">
        <f>IF(ISNUMBER(ROUND(K114/C48,2)),ROUND(K114/C48,2),"/")</f>
        <v>/</v>
      </c>
      <c r="M114" s="634"/>
      <c r="N114" s="304">
        <f>R48-N48</f>
        <v>0</v>
      </c>
      <c r="O114" s="300" t="str">
        <f>IF(ISNUMBER(ROUND(N114/N48,2)),ROUND(N114/N48,2),"/")</f>
        <v>/</v>
      </c>
      <c r="P114" s="304">
        <f>T48-P48</f>
        <v>0</v>
      </c>
      <c r="Q114" s="300" t="str">
        <f>IF(ISNUMBER(ROUND(P114/P48,2)),ROUND(P114/P48,2),"/")</f>
        <v>/</v>
      </c>
      <c r="R114" s="304">
        <f>T48-R48</f>
        <v>0</v>
      </c>
      <c r="S114" s="300" t="str">
        <f>IF(ISNUMBER(ROUND(R114/R48,2)),ROUND(R114/R48,2),"/")</f>
        <v>/</v>
      </c>
      <c r="T114" s="304">
        <f>V48-T48</f>
        <v>0</v>
      </c>
      <c r="U114" s="300" t="str">
        <f>IF(ISNUMBER(ROUND(T114/T48,2)),ROUND(T114/T48,2),"/")</f>
        <v>/</v>
      </c>
      <c r="V114" s="612">
        <f>V48-N48</f>
        <v>0</v>
      </c>
      <c r="W114" s="615" t="str">
        <f>IF(ISNUMBER(ROUND(V114/N48,2)),ROUND(V114/N48,2),"/")</f>
        <v>/</v>
      </c>
      <c r="X114" s="655"/>
      <c r="Y114" s="304">
        <f>AC48-Y48</f>
        <v>0</v>
      </c>
      <c r="Z114" s="300" t="str">
        <f>IF(ISNUMBER(ROUND(Y114/Y48,2)),ROUND(Y114/Y48,2),"/")</f>
        <v>/</v>
      </c>
      <c r="AA114" s="304">
        <f>AE48-AA48</f>
        <v>0</v>
      </c>
      <c r="AB114" s="300" t="str">
        <f>IF(ISNUMBER(ROUND(AA114/AA48,2)),ROUND(AA114/AA48,2),"/")</f>
        <v>/</v>
      </c>
      <c r="AC114" s="304">
        <f>AE48-AC48</f>
        <v>0</v>
      </c>
      <c r="AD114" s="300" t="str">
        <f>IF(ISNUMBER(ROUND(AC114/AC48,2)),ROUND(AC114/AC48,2),"/")</f>
        <v>/</v>
      </c>
      <c r="AE114" s="304">
        <f>AG48-AE48</f>
        <v>0</v>
      </c>
      <c r="AF114" s="300" t="str">
        <f>IF(ISNUMBER(ROUND(AE114/AE48,2)),ROUND(AE114/AE48,2),"/")</f>
        <v>/</v>
      </c>
      <c r="AG114" s="612">
        <f>AG48-Y48</f>
        <v>0</v>
      </c>
      <c r="AH114" s="615" t="str">
        <f>IF(ISNUMBER(ROUND(AG114/Y48,2)),ROUND(AG114/Y48,2),"/")</f>
        <v>/</v>
      </c>
      <c r="AI114" s="167"/>
      <c r="AJ114" s="167"/>
      <c r="AL114" s="985">
        <f t="shared" si="66"/>
        <v>0</v>
      </c>
      <c r="AM114" s="992" t="str">
        <f>IF(ISNUMBER(ROUND(AL114/(C48+N48+Y48),2)),ROUND(AL114/(C48+N48+Y48),2),"/")</f>
        <v>/</v>
      </c>
    </row>
    <row r="115" spans="2:39" x14ac:dyDescent="0.3">
      <c r="B115" s="303" t="s">
        <v>110</v>
      </c>
      <c r="C115" s="302">
        <f>SUM(C113:C114)</f>
        <v>0</v>
      </c>
      <c r="D115" s="300" t="str">
        <f ca="1">IF(ISNUMBER(ROUND(C115/C60,2)),ROUND(C115/C60,2),"/")</f>
        <v>/</v>
      </c>
      <c r="E115" s="302">
        <f>SUM(E113:E114)</f>
        <v>0</v>
      </c>
      <c r="F115" s="300" t="str">
        <f ca="1">IF(ISNUMBER(ROUND(E115/E60,2)),ROUND(E115/E60,2),"/")</f>
        <v>/</v>
      </c>
      <c r="G115" s="302">
        <f>SUM(G113:G114)</f>
        <v>0</v>
      </c>
      <c r="H115" s="300" t="str">
        <f>IF(ISNUMBER(ROUND(G115/G60,2)),ROUND(G115/G60,2),"/")</f>
        <v>/</v>
      </c>
      <c r="I115" s="302">
        <f>SUM(I113:I114)</f>
        <v>0</v>
      </c>
      <c r="J115" s="300" t="str">
        <f>IF(ISNUMBER(ROUND(I115/I60,2)),ROUND(I115/I60,2),"/")</f>
        <v>/</v>
      </c>
      <c r="K115" s="616">
        <f>SUM(K113:K114)</f>
        <v>0</v>
      </c>
      <c r="L115" s="615" t="str">
        <f ca="1">IF(ISNUMBER(ROUND(K115/C60,2)),ROUND(K115/C60,2),"/")</f>
        <v>/</v>
      </c>
      <c r="M115" s="634"/>
      <c r="N115" s="302">
        <f>SUM(N113:N114)</f>
        <v>0</v>
      </c>
      <c r="O115" s="300" t="str">
        <f ca="1">IF(ISNUMBER(ROUND(N115/N60,2)),ROUND(N115/N60,2),"/")</f>
        <v>/</v>
      </c>
      <c r="P115" s="302">
        <f>SUM(P113:P114)</f>
        <v>0</v>
      </c>
      <c r="Q115" s="300" t="str">
        <f ca="1">IF(ISNUMBER(ROUND(P115/P60,2)),ROUND(P115/P60,2),"/")</f>
        <v>/</v>
      </c>
      <c r="R115" s="302">
        <f>SUM(R113:R114)</f>
        <v>0</v>
      </c>
      <c r="S115" s="300" t="str">
        <f>IF(ISNUMBER(ROUND(R115/R60,2)),ROUND(R115/R60,2),"/")</f>
        <v>/</v>
      </c>
      <c r="T115" s="302">
        <f>SUM(T113:T114)</f>
        <v>0</v>
      </c>
      <c r="U115" s="300" t="str">
        <f>IF(ISNUMBER(ROUND(T115/T60,2)),ROUND(T115/T60,2),"/")</f>
        <v>/</v>
      </c>
      <c r="V115" s="616">
        <f>SUM(V113:V114)</f>
        <v>0</v>
      </c>
      <c r="W115" s="615" t="str">
        <f ca="1">IF(ISNUMBER(ROUND(V115/N60,2)),ROUND(V115/N60,2),"/")</f>
        <v>/</v>
      </c>
      <c r="X115" s="655"/>
      <c r="Y115" s="302">
        <f>SUM(Y113:Y114)</f>
        <v>0</v>
      </c>
      <c r="Z115" s="300" t="str">
        <f ca="1">IF(ISNUMBER(ROUND(Y115/Y60,2)),ROUND(Y115/Y60,2),"/")</f>
        <v>/</v>
      </c>
      <c r="AA115" s="302">
        <f>SUM(AA113:AA114)</f>
        <v>0</v>
      </c>
      <c r="AB115" s="300" t="str">
        <f ca="1">IF(ISNUMBER(ROUND(AA115/AA60,2)),ROUND(AA115/AA60,2),"/")</f>
        <v>/</v>
      </c>
      <c r="AC115" s="302">
        <f>SUM(AC113:AC114)</f>
        <v>0</v>
      </c>
      <c r="AD115" s="300" t="str">
        <f>IF(ISNUMBER(ROUND(AC115/AC60,2)),ROUND(AC115/AC60,2),"/")</f>
        <v>/</v>
      </c>
      <c r="AE115" s="302">
        <f>SUM(AE113:AE114)</f>
        <v>0</v>
      </c>
      <c r="AF115" s="300" t="str">
        <f>IF(ISNUMBER(ROUND(AE115/AE60,2)),ROUND(AE115/AE60,2),"/")</f>
        <v>/</v>
      </c>
      <c r="AG115" s="616">
        <f>SUM(AG113:AG114)</f>
        <v>0</v>
      </c>
      <c r="AH115" s="615" t="str">
        <f ca="1">IF(ISNUMBER(ROUND(AG115/Y60,2)),ROUND(AG115/Y60,2),"/")</f>
        <v>/</v>
      </c>
      <c r="AI115" s="167"/>
      <c r="AJ115" s="167"/>
      <c r="AL115" s="985">
        <f t="shared" si="66"/>
        <v>0</v>
      </c>
      <c r="AM115" s="992" t="str">
        <f>IF(ISNUMBER(ROUND(AL115/(C49+N49+Y49),2)),ROUND(AL115/(C49+N49+Y49),2),"/")</f>
        <v>/</v>
      </c>
    </row>
    <row r="116" spans="2:39" x14ac:dyDescent="0.3">
      <c r="B116" s="48" t="s">
        <v>444</v>
      </c>
      <c r="C116" s="301">
        <f>G50-C50</f>
        <v>0</v>
      </c>
      <c r="D116" s="300" t="str">
        <f>IF(ISNUMBER(ROUND(C116/C50,2)),ROUND(C116/C50,2),"/")</f>
        <v>/</v>
      </c>
      <c r="E116" s="301">
        <f>I50-E50</f>
        <v>0</v>
      </c>
      <c r="F116" s="300" t="str">
        <f>IF(ISNUMBER(ROUND(E116/E50,2)),ROUND(E116/E50,2),"/")</f>
        <v>/</v>
      </c>
      <c r="G116" s="301">
        <f>I50-G50</f>
        <v>0</v>
      </c>
      <c r="H116" s="300" t="str">
        <f>IF(ISNUMBER(ROUND(G116/G50,2)),ROUND(G116/G50,2),"/")</f>
        <v>/</v>
      </c>
      <c r="I116" s="301">
        <f>K50-I50</f>
        <v>0</v>
      </c>
      <c r="J116" s="300" t="str">
        <f>IF(ISNUMBER(ROUND(I116/I50,2)),ROUND(I116/I50,2),"/")</f>
        <v>/</v>
      </c>
      <c r="K116" s="612">
        <f>K50-C50</f>
        <v>0</v>
      </c>
      <c r="L116" s="615" t="str">
        <f>IF(ISNUMBER(ROUND(K116/C50,2)),ROUND(K116/C50,2),"/")</f>
        <v>/</v>
      </c>
      <c r="M116" s="634"/>
      <c r="N116" s="301">
        <f>R50-N50</f>
        <v>0</v>
      </c>
      <c r="O116" s="300" t="str">
        <f>IF(ISNUMBER(ROUND(N116/N50,2)),ROUND(N116/N50,2),"/")</f>
        <v>/</v>
      </c>
      <c r="P116" s="301">
        <f>T50-P50</f>
        <v>0</v>
      </c>
      <c r="Q116" s="300" t="str">
        <f>IF(ISNUMBER(ROUND(P116/P50,2)),ROUND(P116/P50,2),"/")</f>
        <v>/</v>
      </c>
      <c r="R116" s="301">
        <f>T50-R50</f>
        <v>0</v>
      </c>
      <c r="S116" s="300" t="str">
        <f>IF(ISNUMBER(ROUND(R116/R50,2)),ROUND(R116/R50,2),"/")</f>
        <v>/</v>
      </c>
      <c r="T116" s="301">
        <f>V50-T50</f>
        <v>0</v>
      </c>
      <c r="U116" s="300" t="str">
        <f>IF(ISNUMBER(ROUND(T116/T50,2)),ROUND(T116/T50,2),"/")</f>
        <v>/</v>
      </c>
      <c r="V116" s="612">
        <f>V50-N50</f>
        <v>0</v>
      </c>
      <c r="W116" s="615" t="str">
        <f>IF(ISNUMBER(ROUND(V116/N50,2)),ROUND(V116/N50,2),"/")</f>
        <v>/</v>
      </c>
      <c r="X116" s="655"/>
      <c r="Y116" s="301">
        <f>AC50-Y50</f>
        <v>0</v>
      </c>
      <c r="Z116" s="300" t="str">
        <f>IF(ISNUMBER(ROUND(Y116/Y50,2)),ROUND(Y116/Y50,2),"/")</f>
        <v>/</v>
      </c>
      <c r="AA116" s="301">
        <f>AE50-AA50</f>
        <v>0</v>
      </c>
      <c r="AB116" s="300" t="str">
        <f>IF(ISNUMBER(ROUND(AA116/AA50,2)),ROUND(AA116/AA50,2),"/")</f>
        <v>/</v>
      </c>
      <c r="AC116" s="301">
        <f>AE50-AC50</f>
        <v>0</v>
      </c>
      <c r="AD116" s="300" t="str">
        <f>IF(ISNUMBER(ROUND(AC116/AC50,2)),ROUND(AC116/AC50,2),"/")</f>
        <v>/</v>
      </c>
      <c r="AE116" s="301">
        <f>AG50-AE50</f>
        <v>0</v>
      </c>
      <c r="AF116" s="300" t="str">
        <f>IF(ISNUMBER(ROUND(AE116/AE50,2)),ROUND(AE116/AE50,2),"/")</f>
        <v>/</v>
      </c>
      <c r="AG116" s="612">
        <f>AG50-Y50</f>
        <v>0</v>
      </c>
      <c r="AH116" s="615" t="str">
        <f>IF(ISNUMBER(ROUND(AG116/Y50,2)),ROUND(AG116/Y50,2),"/")</f>
        <v>/</v>
      </c>
      <c r="AI116" s="167"/>
      <c r="AJ116" s="167"/>
      <c r="AL116" s="985">
        <f t="shared" si="66"/>
        <v>0</v>
      </c>
      <c r="AM116" s="992" t="str">
        <f>IF(ISNUMBER(ROUND(AL116/(C50+N50+Y50),2)),ROUND(AL116/(C50+N50+Y50),2),"/")</f>
        <v>/</v>
      </c>
    </row>
    <row r="117" spans="2:39" x14ac:dyDescent="0.3">
      <c r="B117" s="48" t="s">
        <v>447</v>
      </c>
      <c r="C117" s="301">
        <f>G53-C53</f>
        <v>0</v>
      </c>
      <c r="D117" s="300" t="str">
        <f>IF(ISNUMBER(ROUND(C117/C53,2)),ROUND(C117/C53,2),"/")</f>
        <v>/</v>
      </c>
      <c r="E117" s="301">
        <f>I53-E53</f>
        <v>0</v>
      </c>
      <c r="F117" s="300" t="str">
        <f>IF(ISNUMBER(ROUND(E117/E53,2)),ROUND(E117/E53,2),"/")</f>
        <v>/</v>
      </c>
      <c r="G117" s="301">
        <f>I53-G53</f>
        <v>0</v>
      </c>
      <c r="H117" s="300" t="str">
        <f>IF(ISNUMBER(ROUND(G117/G53,2)),ROUND(G117/G53,2),"/")</f>
        <v>/</v>
      </c>
      <c r="I117" s="301">
        <f>K53-I53</f>
        <v>0</v>
      </c>
      <c r="J117" s="300" t="str">
        <f>IF(ISNUMBER(ROUND(I117/I53,2)),ROUND(I117/I53,2),"/")</f>
        <v>/</v>
      </c>
      <c r="K117" s="612">
        <f>K53-C53</f>
        <v>0</v>
      </c>
      <c r="L117" s="615" t="str">
        <f>IF(ISNUMBER(ROUND(K117/C53,2)),ROUND(K117/C53,2),"/")</f>
        <v>/</v>
      </c>
      <c r="M117" s="634"/>
      <c r="N117" s="301">
        <f>R53-N53</f>
        <v>0</v>
      </c>
      <c r="O117" s="300" t="str">
        <f>IF(ISNUMBER(ROUND(N117/N53,2)),ROUND(N117/N53,2),"/")</f>
        <v>/</v>
      </c>
      <c r="P117" s="301">
        <f>T53-P53</f>
        <v>0</v>
      </c>
      <c r="Q117" s="300" t="str">
        <f>IF(ISNUMBER(ROUND(P117/P53,2)),ROUND(P117/P53,2),"/")</f>
        <v>/</v>
      </c>
      <c r="R117" s="301">
        <f>T53-R53</f>
        <v>0</v>
      </c>
      <c r="S117" s="300" t="str">
        <f>IF(ISNUMBER(ROUND(R117/R53,2)),ROUND(R117/R53,2),"/")</f>
        <v>/</v>
      </c>
      <c r="T117" s="301">
        <f>V53-T53</f>
        <v>0</v>
      </c>
      <c r="U117" s="300" t="str">
        <f>IF(ISNUMBER(ROUND(T117/T53,2)),ROUND(T117/T53,2),"/")</f>
        <v>/</v>
      </c>
      <c r="V117" s="612">
        <f>V53-N53</f>
        <v>0</v>
      </c>
      <c r="W117" s="615" t="str">
        <f>IF(ISNUMBER(ROUND(V117/N53,2)),ROUND(V117/N53,2),"/")</f>
        <v>/</v>
      </c>
      <c r="X117" s="655"/>
      <c r="Y117" s="301">
        <f>AC53-Y53</f>
        <v>0</v>
      </c>
      <c r="Z117" s="300" t="str">
        <f>IF(ISNUMBER(ROUND(Y117/Y53,2)),ROUND(Y117/Y53,2),"/")</f>
        <v>/</v>
      </c>
      <c r="AA117" s="301">
        <f>AE53-AA53</f>
        <v>0</v>
      </c>
      <c r="AB117" s="300" t="str">
        <f>IF(ISNUMBER(ROUND(AA117/AA53,2)),ROUND(AA117/AA53,2),"/")</f>
        <v>/</v>
      </c>
      <c r="AC117" s="301">
        <f>AE53-AC53</f>
        <v>0</v>
      </c>
      <c r="AD117" s="300" t="str">
        <f>IF(ISNUMBER(ROUND(AC117/AC53,2)),ROUND(AC117/AC53,2),"/")</f>
        <v>/</v>
      </c>
      <c r="AE117" s="301">
        <f>AG53-AE53</f>
        <v>0</v>
      </c>
      <c r="AF117" s="300" t="str">
        <f>IF(ISNUMBER(ROUND(AE117/AE53,2)),ROUND(AE117/AE53,2),"/")</f>
        <v>/</v>
      </c>
      <c r="AG117" s="612">
        <f>AG53-Y53</f>
        <v>0</v>
      </c>
      <c r="AH117" s="615" t="str">
        <f>IF(ISNUMBER(ROUND(AG117/Y53,2)),ROUND(AG117/Y53,2),"/")</f>
        <v>/</v>
      </c>
      <c r="AI117" s="167"/>
      <c r="AJ117" s="167"/>
      <c r="AL117" s="985">
        <f t="shared" si="66"/>
        <v>0</v>
      </c>
      <c r="AM117" s="992" t="str">
        <f>IF(ISNUMBER(ROUND(AL117/(C53+N53+Y53),2)),ROUND(AL117/(C53+N53+Y53),2),"/")</f>
        <v>/</v>
      </c>
    </row>
    <row r="118" spans="2:39" x14ac:dyDescent="0.3">
      <c r="L118" s="18"/>
      <c r="M118" s="18"/>
      <c r="AI118" s="167"/>
      <c r="AJ118" s="167"/>
    </row>
    <row r="119" spans="2:39" x14ac:dyDescent="0.3">
      <c r="B119" s="299" t="s">
        <v>489</v>
      </c>
      <c r="L119" s="18"/>
      <c r="M119" s="18"/>
    </row>
    <row r="120" spans="2:39" x14ac:dyDescent="0.3">
      <c r="B120" s="249" t="s">
        <v>490</v>
      </c>
      <c r="C120" s="298">
        <f>VLOOKUP('Bouwkost UITB'!N8,'Capaciteiten &amp; forfaits'!$B$3:$H$71,6,FALSE)</f>
        <v>0</v>
      </c>
      <c r="L120" s="18"/>
      <c r="N120" s="298">
        <f>VLOOKUP('Bouwkost UITB'!Y8,'Capaciteiten &amp; forfaits'!$B$3:$H$71,6,FALSE)</f>
        <v>0</v>
      </c>
      <c r="Y120" s="298">
        <f>VLOOKUP('Bouwkost UITB'!Y8,'Capaciteiten &amp; forfaits'!$B$3:$H$71,6,FALSE)</f>
        <v>0</v>
      </c>
    </row>
    <row r="121" spans="2:39" x14ac:dyDescent="0.3">
      <c r="B121" s="249" t="s">
        <v>491</v>
      </c>
      <c r="C121" s="297">
        <v>50</v>
      </c>
      <c r="E121" s="296"/>
      <c r="N121" s="297">
        <v>50</v>
      </c>
      <c r="Y121" s="297">
        <v>50</v>
      </c>
    </row>
    <row r="125" spans="2:39" x14ac:dyDescent="0.3">
      <c r="D125" s="294"/>
      <c r="E125" s="294"/>
      <c r="F125" s="294"/>
      <c r="G125" s="294"/>
    </row>
    <row r="126" spans="2:39" x14ac:dyDescent="0.3">
      <c r="D126" s="294"/>
      <c r="E126" s="294"/>
      <c r="F126" s="294"/>
      <c r="G126" s="294"/>
    </row>
    <row r="127" spans="2:39" x14ac:dyDescent="0.3">
      <c r="D127" s="294"/>
      <c r="E127" s="295"/>
      <c r="F127" s="294"/>
      <c r="G127" s="294"/>
    </row>
    <row r="128" spans="2:39" x14ac:dyDescent="0.3">
      <c r="D128" s="294"/>
      <c r="E128" s="295"/>
      <c r="F128" s="294"/>
      <c r="G128" s="294"/>
    </row>
    <row r="129" spans="4:7" x14ac:dyDescent="0.3">
      <c r="D129" s="294"/>
      <c r="E129" s="295"/>
      <c r="F129" s="294"/>
      <c r="G129" s="294"/>
    </row>
    <row r="130" spans="4:7" x14ac:dyDescent="0.3">
      <c r="E130" s="294"/>
      <c r="F130" s="294"/>
      <c r="G130" s="294"/>
    </row>
    <row r="131" spans="4:7" x14ac:dyDescent="0.3">
      <c r="E131" s="294"/>
      <c r="F131" s="294"/>
      <c r="G131" s="294"/>
    </row>
    <row r="132" spans="4:7" x14ac:dyDescent="0.3">
      <c r="E132" s="294"/>
    </row>
    <row r="133" spans="4:7" x14ac:dyDescent="0.3">
      <c r="E133" s="294"/>
    </row>
    <row r="134" spans="4:7" x14ac:dyDescent="0.3">
      <c r="E134" s="294"/>
    </row>
  </sheetData>
  <mergeCells count="20">
    <mergeCell ref="C1:E1"/>
    <mergeCell ref="C4:E4"/>
    <mergeCell ref="C8:L8"/>
    <mergeCell ref="G3:L3"/>
    <mergeCell ref="N8:W8"/>
    <mergeCell ref="Y8:AH8"/>
    <mergeCell ref="AJ4:AT4"/>
    <mergeCell ref="AJ5:AT5"/>
    <mergeCell ref="C9:E9"/>
    <mergeCell ref="N9:P9"/>
    <mergeCell ref="Y9:AA9"/>
    <mergeCell ref="C12:E12"/>
    <mergeCell ref="N12:P12"/>
    <mergeCell ref="Y12:AA12"/>
    <mergeCell ref="C10:E10"/>
    <mergeCell ref="N10:P10"/>
    <mergeCell ref="Y10:AA10"/>
    <mergeCell ref="C11:E11"/>
    <mergeCell ref="N11:P11"/>
    <mergeCell ref="Y11:AA11"/>
  </mergeCells>
  <conditionalFormatting sqref="C38">
    <cfRule type="expression" dxfId="204" priority="136">
      <formula>C44&lt;0</formula>
    </cfRule>
  </conditionalFormatting>
  <conditionalFormatting sqref="N23">
    <cfRule type="expression" dxfId="203" priority="133">
      <formula>N29&lt;0</formula>
    </cfRule>
  </conditionalFormatting>
  <conditionalFormatting sqref="Y30">
    <cfRule type="expression" dxfId="202" priority="106">
      <formula>Y36&lt;0</formula>
    </cfRule>
  </conditionalFormatting>
  <conditionalFormatting sqref="N38">
    <cfRule type="expression" dxfId="201" priority="127">
      <formula>N44&lt;0</formula>
    </cfRule>
  </conditionalFormatting>
  <conditionalFormatting sqref="AC48">
    <cfRule type="expression" dxfId="200" priority="72">
      <formula>AC54&lt;0</formula>
    </cfRule>
  </conditionalFormatting>
  <conditionalFormatting sqref="Y38">
    <cfRule type="expression" dxfId="199" priority="105">
      <formula>Y44&lt;0</formula>
    </cfRule>
  </conditionalFormatting>
  <conditionalFormatting sqref="C23">
    <cfRule type="expression" dxfId="198" priority="143">
      <formula>C29&lt;0</formula>
    </cfRule>
  </conditionalFormatting>
  <conditionalFormatting sqref="C48">
    <cfRule type="expression" dxfId="197" priority="135">
      <formula>C58&lt;0</formula>
    </cfRule>
  </conditionalFormatting>
  <conditionalFormatting sqref="C15">
    <cfRule type="expression" dxfId="196" priority="134">
      <formula>C21&lt;0</formula>
    </cfRule>
  </conditionalFormatting>
  <conditionalFormatting sqref="N48">
    <cfRule type="expression" dxfId="195" priority="126">
      <formula>N58&lt;0</formula>
    </cfRule>
  </conditionalFormatting>
  <conditionalFormatting sqref="N15">
    <cfRule type="expression" dxfId="194" priority="125">
      <formula>N21&lt;0</formula>
    </cfRule>
  </conditionalFormatting>
  <conditionalFormatting sqref="Y23">
    <cfRule type="expression" dxfId="193" priority="112">
      <formula>Y29&lt;0</formula>
    </cfRule>
  </conditionalFormatting>
  <conditionalFormatting sqref="Y48">
    <cfRule type="expression" dxfId="192" priority="104">
      <formula>Y58&lt;0</formula>
    </cfRule>
  </conditionalFormatting>
  <conditionalFormatting sqref="Y15">
    <cfRule type="expression" dxfId="191" priority="103">
      <formula>Y21&lt;0</formula>
    </cfRule>
  </conditionalFormatting>
  <conditionalFormatting sqref="P38">
    <cfRule type="expression" dxfId="190" priority="64">
      <formula>P44&lt;0</formula>
    </cfRule>
  </conditionalFormatting>
  <conditionalFormatting sqref="P15">
    <cfRule type="expression" dxfId="189" priority="68">
      <formula>P21&lt;0</formula>
    </cfRule>
  </conditionalFormatting>
  <conditionalFormatting sqref="P30">
    <cfRule type="expression" dxfId="188" priority="65">
      <formula>P36&lt;0</formula>
    </cfRule>
  </conditionalFormatting>
  <conditionalFormatting sqref="E50">
    <cfRule type="expression" dxfId="187" priority="49">
      <formula>E57&lt;0</formula>
    </cfRule>
  </conditionalFormatting>
  <conditionalFormatting sqref="G48">
    <cfRule type="expression" dxfId="186" priority="46">
      <formula>G54&lt;0</formula>
    </cfRule>
  </conditionalFormatting>
  <conditionalFormatting sqref="E48">
    <cfRule type="expression" dxfId="185" priority="50">
      <formula>E54&lt;0</formula>
    </cfRule>
  </conditionalFormatting>
  <conditionalFormatting sqref="E55">
    <cfRule type="expression" dxfId="184" priority="47">
      <formula>E62&lt;0</formula>
    </cfRule>
  </conditionalFormatting>
  <conditionalFormatting sqref="AG23">
    <cfRule type="expression" dxfId="183" priority="84">
      <formula>AG29&lt;0</formula>
    </cfRule>
  </conditionalFormatting>
  <conditionalFormatting sqref="AG62">
    <cfRule type="expression" dxfId="182" priority="80">
      <formula>AG78&lt;0</formula>
    </cfRule>
  </conditionalFormatting>
  <conditionalFormatting sqref="AG30">
    <cfRule type="expression" dxfId="181" priority="83">
      <formula>AG37&lt;0</formula>
    </cfRule>
  </conditionalFormatting>
  <conditionalFormatting sqref="AG38">
    <cfRule type="expression" dxfId="180" priority="82">
      <formula>AG46&lt;0</formula>
    </cfRule>
  </conditionalFormatting>
  <conditionalFormatting sqref="AA15">
    <cfRule type="expression" dxfId="179" priority="81">
      <formula>AA21&lt;0</formula>
    </cfRule>
  </conditionalFormatting>
  <conditionalFormatting sqref="AA23">
    <cfRule type="expression" dxfId="178" priority="79">
      <formula>AA29&lt;0</formula>
    </cfRule>
  </conditionalFormatting>
  <conditionalFormatting sqref="AA30">
    <cfRule type="expression" dxfId="177" priority="78">
      <formula>AA36&lt;0</formula>
    </cfRule>
  </conditionalFormatting>
  <conditionalFormatting sqref="AA38">
    <cfRule type="expression" dxfId="176" priority="77">
      <formula>AA44&lt;0</formula>
    </cfRule>
  </conditionalFormatting>
  <conditionalFormatting sqref="AA48">
    <cfRule type="expression" dxfId="175" priority="76">
      <formula>AA54&lt;0</formula>
    </cfRule>
  </conditionalFormatting>
  <conditionalFormatting sqref="AA50">
    <cfRule type="expression" dxfId="174" priority="75">
      <formula>AA57&lt;0</formula>
    </cfRule>
  </conditionalFormatting>
  <conditionalFormatting sqref="AA53">
    <cfRule type="expression" dxfId="173" priority="74">
      <formula>AA60&lt;0</formula>
    </cfRule>
  </conditionalFormatting>
  <conditionalFormatting sqref="AA55">
    <cfRule type="expression" dxfId="172" priority="73">
      <formula>AA62&lt;0</formula>
    </cfRule>
  </conditionalFormatting>
  <conditionalFormatting sqref="V23">
    <cfRule type="expression" dxfId="171" priority="71">
      <formula>V29&lt;0</formula>
    </cfRule>
  </conditionalFormatting>
  <conditionalFormatting sqref="V62">
    <cfRule type="expression" dxfId="170" priority="67">
      <formula>V78&lt;0</formula>
    </cfRule>
  </conditionalFormatting>
  <conditionalFormatting sqref="V30">
    <cfRule type="expression" dxfId="169" priority="70">
      <formula>V37&lt;0</formula>
    </cfRule>
  </conditionalFormatting>
  <conditionalFormatting sqref="V38">
    <cfRule type="expression" dxfId="168" priority="69">
      <formula>V46&lt;0</formula>
    </cfRule>
  </conditionalFormatting>
  <conditionalFormatting sqref="P23">
    <cfRule type="expression" dxfId="167" priority="66">
      <formula>P29&lt;0</formula>
    </cfRule>
  </conditionalFormatting>
  <conditionalFormatting sqref="P48">
    <cfRule type="expression" dxfId="166" priority="63">
      <formula>P54&lt;0</formula>
    </cfRule>
  </conditionalFormatting>
  <conditionalFormatting sqref="P50">
    <cfRule type="expression" dxfId="165" priority="62">
      <formula>P57&lt;0</formula>
    </cfRule>
  </conditionalFormatting>
  <conditionalFormatting sqref="P53">
    <cfRule type="expression" dxfId="164" priority="61">
      <formula>P60&lt;0</formula>
    </cfRule>
  </conditionalFormatting>
  <conditionalFormatting sqref="P55">
    <cfRule type="expression" dxfId="163" priority="60">
      <formula>P62&lt;0</formula>
    </cfRule>
  </conditionalFormatting>
  <conditionalFormatting sqref="R48">
    <cfRule type="expression" dxfId="162" priority="59">
      <formula>R54&lt;0</formula>
    </cfRule>
  </conditionalFormatting>
  <conditionalFormatting sqref="K23">
    <cfRule type="expression" dxfId="161" priority="58">
      <formula>K29&lt;0</formula>
    </cfRule>
  </conditionalFormatting>
  <conditionalFormatting sqref="K62">
    <cfRule type="expression" dxfId="160" priority="54">
      <formula>K78&lt;0</formula>
    </cfRule>
  </conditionalFormatting>
  <conditionalFormatting sqref="K30">
    <cfRule type="expression" dxfId="159" priority="57">
      <formula>K37&lt;0</formula>
    </cfRule>
  </conditionalFormatting>
  <conditionalFormatting sqref="K38">
    <cfRule type="expression" dxfId="158" priority="56">
      <formula>K46&lt;0</formula>
    </cfRule>
  </conditionalFormatting>
  <conditionalFormatting sqref="E15">
    <cfRule type="expression" dxfId="157" priority="55">
      <formula>E21&lt;0</formula>
    </cfRule>
  </conditionalFormatting>
  <conditionalFormatting sqref="E23">
    <cfRule type="expression" dxfId="156" priority="53">
      <formula>E29&lt;0</formula>
    </cfRule>
  </conditionalFormatting>
  <conditionalFormatting sqref="E30">
    <cfRule type="expression" dxfId="155" priority="52">
      <formula>E36&lt;0</formula>
    </cfRule>
  </conditionalFormatting>
  <conditionalFormatting sqref="E38">
    <cfRule type="expression" dxfId="154" priority="51">
      <formula>E44&lt;0</formula>
    </cfRule>
  </conditionalFormatting>
  <conditionalFormatting sqref="E53">
    <cfRule type="expression" dxfId="153" priority="48">
      <formula>E60&lt;0</formula>
    </cfRule>
  </conditionalFormatting>
  <conditionalFormatting sqref="C30">
    <cfRule type="expression" dxfId="152" priority="45">
      <formula>C36&lt;0</formula>
    </cfRule>
  </conditionalFormatting>
  <conditionalFormatting sqref="N30">
    <cfRule type="expression" dxfId="151" priority="44">
      <formula>N36&lt;0</formula>
    </cfRule>
  </conditionalFormatting>
  <conditionalFormatting sqref="AA56">
    <cfRule type="expression" dxfId="150" priority="43">
      <formula>AA63&lt;0</formula>
    </cfRule>
  </conditionalFormatting>
  <conditionalFormatting sqref="P56">
    <cfRule type="expression" dxfId="149" priority="42">
      <formula>P63&lt;0</formula>
    </cfRule>
  </conditionalFormatting>
  <conditionalFormatting sqref="E56">
    <cfRule type="expression" dxfId="148" priority="41">
      <formula>E63&lt;0</formula>
    </cfRule>
  </conditionalFormatting>
  <conditionalFormatting sqref="C92 E92 G92 I92 K92">
    <cfRule type="expression" dxfId="147" priority="5">
      <formula>AND(C83&gt;0,C92=0)</formula>
    </cfRule>
  </conditionalFormatting>
  <conditionalFormatting sqref="C91 E91 G91 I91 K91">
    <cfRule type="expression" dxfId="146" priority="6">
      <formula>AND(C80&gt;0,C91=0)</formula>
    </cfRule>
  </conditionalFormatting>
  <conditionalFormatting sqref="N92 P92 R92 T92 V92">
    <cfRule type="expression" dxfId="145" priority="3">
      <formula>AND(N83&gt;0,N92=0)</formula>
    </cfRule>
  </conditionalFormatting>
  <conditionalFormatting sqref="N91 P91 R91 T91 V91">
    <cfRule type="expression" dxfId="144" priority="4">
      <formula>AND(N80&gt;0,N91=0)</formula>
    </cfRule>
  </conditionalFormatting>
  <conditionalFormatting sqref="Y92 AA92 AC92 AE92 AG92">
    <cfRule type="expression" dxfId="143" priority="1">
      <formula>AND(Y83&gt;0,Y92=0)</formula>
    </cfRule>
  </conditionalFormatting>
  <conditionalFormatting sqref="Y91 AA91 AC91 AE91 AG91">
    <cfRule type="expression" dxfId="142" priority="2">
      <formula>AND(Y80&gt;0,Y91=0)</formula>
    </cfRule>
  </conditionalFormatting>
  <pageMargins left="0.7" right="0.7" top="0.75" bottom="0.75" header="0.3" footer="0.3"/>
  <pageSetup paperSize="8"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8FE373C-F919-49BA-AE34-F093DFD9B371}">
          <x14:formula1>
            <xm:f>Bouwindex_ABEX!$Q$3:$Q$34</xm:f>
          </x14:formula1>
          <xm:sqref>C91 E91 G91 I91 K91 N91 P91 R91 T91 V91 Y91 AA91 AC91 AE91 AG91</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826A-09CB-4CDE-9E0A-81C7AA7D25B2}">
  <sheetPr codeName="Blad26"/>
  <dimension ref="A1:DM135"/>
  <sheetViews>
    <sheetView topLeftCell="AI34" zoomScaleNormal="100" workbookViewId="0">
      <selection activeCell="C56" sqref="C56"/>
    </sheetView>
  </sheetViews>
  <sheetFormatPr defaultRowHeight="14.4" outlineLevelRow="1" x14ac:dyDescent="0.3"/>
  <cols>
    <col min="1" max="1" width="1.88671875" customWidth="1"/>
    <col min="2" max="2" width="40.6640625" customWidth="1"/>
    <col min="3" max="3" width="12.6640625" hidden="1" customWidth="1"/>
    <col min="4" max="4" width="5.88671875" hidden="1" customWidth="1"/>
    <col min="5" max="5" width="20.33203125" hidden="1" customWidth="1"/>
    <col min="6" max="6" width="5.88671875" hidden="1" customWidth="1"/>
    <col min="7" max="7" width="18.5546875" hidden="1" customWidth="1"/>
    <col min="8" max="8" width="5.88671875" hidden="1" customWidth="1"/>
    <col min="9" max="9" width="11.44140625" hidden="1" customWidth="1"/>
    <col min="10" max="10" width="5.88671875" hidden="1" customWidth="1"/>
    <col min="11" max="11" width="15.33203125" hidden="1" customWidth="1"/>
    <col min="12" max="12" width="5.88671875" hidden="1" customWidth="1"/>
    <col min="13" max="13" width="2.6640625" hidden="1" customWidth="1"/>
    <col min="14" max="14" width="15.6640625" hidden="1" customWidth="1"/>
    <col min="15" max="15" width="5.88671875"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554687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9.44140625" customWidth="1"/>
    <col min="36" max="36" width="67" bestFit="1" customWidth="1"/>
    <col min="38" max="39" width="0" hidden="1" customWidth="1"/>
    <col min="40" max="42" width="25.33203125" hidden="1" customWidth="1"/>
    <col min="43" max="44" width="0" hidden="1" customWidth="1"/>
  </cols>
  <sheetData>
    <row r="1" spans="2:46" ht="18.600000000000001" hidden="1" thickBot="1" x14ac:dyDescent="0.4">
      <c r="B1" s="692" t="s">
        <v>3</v>
      </c>
      <c r="C1" s="1259">
        <f>'Overzicht project'!I4</f>
        <v>0</v>
      </c>
      <c r="D1" s="1260"/>
      <c r="E1" s="1260"/>
      <c r="F1" s="669"/>
      <c r="G1" s="661"/>
      <c r="H1" s="606"/>
      <c r="I1" s="606"/>
      <c r="J1" s="606"/>
      <c r="K1" s="662"/>
    </row>
    <row r="2" spans="2:46" ht="13.95" customHeight="1" x14ac:dyDescent="0.35">
      <c r="B2" s="694" t="s">
        <v>396</v>
      </c>
      <c r="D2" s="672"/>
      <c r="E2" s="673"/>
      <c r="M2" s="340"/>
      <c r="AO2" s="608" t="s">
        <v>25</v>
      </c>
      <c r="AP2" s="608" t="s">
        <v>25</v>
      </c>
      <c r="AQ2" s="608" t="s">
        <v>25</v>
      </c>
      <c r="AR2" s="608" t="s">
        <v>167</v>
      </c>
    </row>
    <row r="3" spans="2:46" ht="15" customHeight="1" thickBot="1" x14ac:dyDescent="0.4">
      <c r="B3" s="695" t="str">
        <f>Bron!C13</f>
        <v>Voltooiingswerken 21% BTW</v>
      </c>
      <c r="C3" s="675"/>
      <c r="D3" s="675"/>
      <c r="E3" s="676"/>
      <c r="G3" s="1263" t="s">
        <v>397</v>
      </c>
      <c r="H3" s="1263"/>
      <c r="I3" s="1263"/>
      <c r="J3" s="1263"/>
      <c r="K3" s="1263"/>
      <c r="L3" s="1263"/>
      <c r="M3" s="340"/>
      <c r="AO3" s="608"/>
      <c r="AP3" s="608"/>
      <c r="AQ3" s="608"/>
      <c r="AR3" s="608"/>
    </row>
    <row r="4" spans="2:46" ht="18" hidden="1" x14ac:dyDescent="0.35">
      <c r="B4" s="696" t="s">
        <v>399</v>
      </c>
      <c r="C4" s="1261">
        <f>'Overzicht project'!B34</f>
        <v>0</v>
      </c>
      <c r="D4" s="1262"/>
      <c r="E4" s="1262"/>
      <c r="F4" s="669"/>
      <c r="AN4" s="106" t="s">
        <v>400</v>
      </c>
      <c r="AO4" s="89">
        <v>0</v>
      </c>
      <c r="AP4" s="89">
        <v>0</v>
      </c>
      <c r="AQ4" s="89">
        <v>0</v>
      </c>
      <c r="AR4" s="89">
        <f>SUM(AO4:AQ4)</f>
        <v>0</v>
      </c>
    </row>
    <row r="5" spans="2:46" ht="20.399999999999999" customHeight="1" x14ac:dyDescent="0.35">
      <c r="B5" s="1034" t="str">
        <f>Bron!C14</f>
        <v>Voltooiingswerken 6-12-21% BTW</v>
      </c>
      <c r="C5" s="674"/>
      <c r="D5" s="675"/>
      <c r="E5" s="676"/>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1278" t="s">
        <v>1460</v>
      </c>
      <c r="AK5" s="1279"/>
      <c r="AL5" s="1279"/>
      <c r="AM5" s="1279"/>
      <c r="AN5" s="1279"/>
      <c r="AO5" s="1279"/>
      <c r="AP5" s="1279"/>
      <c r="AQ5" s="1279"/>
      <c r="AR5" s="1279"/>
      <c r="AS5" s="1279"/>
      <c r="AT5" s="1280"/>
    </row>
    <row r="6" spans="2:46" ht="7.95" hidden="1" customHeight="1" x14ac:dyDescent="0.3">
      <c r="B6" s="683"/>
      <c r="C6" s="683"/>
      <c r="D6" s="683"/>
      <c r="E6" s="683"/>
      <c r="F6" s="683"/>
      <c r="G6" s="683"/>
      <c r="H6" s="683"/>
      <c r="I6" s="683"/>
      <c r="J6" s="683"/>
      <c r="K6" s="683"/>
      <c r="L6" s="683"/>
      <c r="AN6" s="106"/>
    </row>
    <row r="7" spans="2:46" ht="7.95" customHeight="1" x14ac:dyDescent="0.3">
      <c r="B7" s="18"/>
      <c r="C7" s="591"/>
      <c r="AN7" s="106"/>
    </row>
    <row r="8" spans="2:46" ht="15.6" x14ac:dyDescent="0.3">
      <c r="B8" s="18"/>
      <c r="C8" s="1257" t="str">
        <f>'Overzicht project'!$C$40</f>
        <v>Kies de zorgvorm</v>
      </c>
      <c r="D8" s="1257"/>
      <c r="E8" s="1257"/>
      <c r="F8" s="1257"/>
      <c r="G8" s="1257"/>
      <c r="H8" s="1257"/>
      <c r="I8" s="1257"/>
      <c r="J8" s="1257"/>
      <c r="K8" s="1257"/>
      <c r="L8" s="1257"/>
      <c r="N8" s="1257" t="str">
        <f>'Overzicht project'!$C$41</f>
        <v>Kies de zorgvorm</v>
      </c>
      <c r="O8" s="1257"/>
      <c r="P8" s="1257"/>
      <c r="Q8" s="1257"/>
      <c r="R8" s="1257"/>
      <c r="S8" s="1257"/>
      <c r="T8" s="1257"/>
      <c r="U8" s="1257"/>
      <c r="V8" s="1257"/>
      <c r="W8" s="1257"/>
      <c r="X8" s="643"/>
      <c r="Y8" s="1257" t="str">
        <f>'Overzicht project'!$C$42</f>
        <v>Kies de zorgvorm</v>
      </c>
      <c r="Z8" s="1257"/>
      <c r="AA8" s="1257"/>
      <c r="AB8" s="1257"/>
      <c r="AC8" s="1257"/>
      <c r="AD8" s="1257"/>
      <c r="AE8" s="1257"/>
      <c r="AF8" s="1257"/>
      <c r="AG8" s="1257"/>
      <c r="AH8" s="1257"/>
    </row>
    <row r="9" spans="2:46"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46" x14ac:dyDescent="0.3">
      <c r="C10" s="1274" t="s">
        <v>401</v>
      </c>
      <c r="D10" s="1275"/>
      <c r="E10" s="1276"/>
      <c r="F10" s="473">
        <f>IF(ISNUMBER(MATCH($B$3,'Overzicht project'!C48:C51,0)),VLOOKUP($B$3,'Overzicht project'!C48:D51,2,FALSE),0)</f>
        <v>0</v>
      </c>
      <c r="G10" s="658"/>
      <c r="H10" s="658"/>
      <c r="N10" s="1277" t="s">
        <v>401</v>
      </c>
      <c r="O10" s="1277"/>
      <c r="P10" s="1277"/>
      <c r="Q10" s="473">
        <f>IF(ISNUMBER(MATCH($B$3,'Overzicht project'!C55:C58,0)),VLOOKUP($B$3,'Overzicht project'!C55:D58,2,FALSE),0)</f>
        <v>0</v>
      </c>
      <c r="Y10" s="1256" t="s">
        <v>401</v>
      </c>
      <c r="Z10" s="1256"/>
      <c r="AA10" s="1256"/>
      <c r="AB10" s="473">
        <f>IF(ISNUMBER(MATCH($B$3,'Overzicht project'!C62:C65,0)),VLOOKUP($B$3,'Overzicht project'!C62:D65,2,FALSE),0)</f>
        <v>0</v>
      </c>
    </row>
    <row r="11" spans="2:46" x14ac:dyDescent="0.3">
      <c r="C11" s="1274" t="s">
        <v>402</v>
      </c>
      <c r="D11" s="1275"/>
      <c r="E11" s="1276"/>
      <c r="F11" s="473">
        <v>0.21</v>
      </c>
      <c r="G11" s="658"/>
      <c r="H11" s="658"/>
      <c r="N11" s="1277" t="s">
        <v>402</v>
      </c>
      <c r="O11" s="1277"/>
      <c r="P11" s="1277"/>
      <c r="Q11" s="473">
        <v>0.21</v>
      </c>
      <c r="Y11" s="1256" t="s">
        <v>402</v>
      </c>
      <c r="Z11" s="1256"/>
      <c r="AA11" s="1256"/>
      <c r="AB11" s="473">
        <v>0.21</v>
      </c>
    </row>
    <row r="12" spans="2:46" x14ac:dyDescent="0.3">
      <c r="C12" s="1274" t="s">
        <v>403</v>
      </c>
      <c r="D12" s="1275"/>
      <c r="E12" s="1276"/>
      <c r="F12" s="473">
        <v>0.21</v>
      </c>
      <c r="G12" s="658"/>
      <c r="H12" s="658"/>
      <c r="N12" s="1277" t="s">
        <v>403</v>
      </c>
      <c r="O12" s="1277"/>
      <c r="P12" s="1277"/>
      <c r="Q12" s="473">
        <v>0.21</v>
      </c>
      <c r="Y12" s="1256" t="s">
        <v>403</v>
      </c>
      <c r="Z12" s="1256"/>
      <c r="AA12" s="1256"/>
      <c r="AB12" s="473">
        <v>0.21</v>
      </c>
    </row>
    <row r="13" spans="2:46" x14ac:dyDescent="0.3">
      <c r="C13" s="1274" t="s">
        <v>404</v>
      </c>
      <c r="D13" s="1275"/>
      <c r="E13" s="1276"/>
      <c r="F13" s="473">
        <v>0.06</v>
      </c>
      <c r="N13" s="1277" t="s">
        <v>404</v>
      </c>
      <c r="O13" s="1277"/>
      <c r="P13" s="1277"/>
      <c r="Q13" s="473">
        <v>0.06</v>
      </c>
      <c r="Y13" s="1256" t="s">
        <v>404</v>
      </c>
      <c r="Z13" s="1256"/>
      <c r="AA13" s="1256"/>
      <c r="AB13" s="473">
        <v>0.06</v>
      </c>
    </row>
    <row r="14" spans="2:46" x14ac:dyDescent="0.3">
      <c r="B14" s="339"/>
      <c r="C14" s="635"/>
    </row>
    <row r="15" spans="2:46"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609" t="s">
        <v>412</v>
      </c>
      <c r="AO15" s="609" t="s">
        <v>413</v>
      </c>
      <c r="AP15" s="609" t="s">
        <v>414</v>
      </c>
    </row>
    <row r="16" spans="2:46" x14ac:dyDescent="0.3">
      <c r="B16" s="336" t="s">
        <v>415</v>
      </c>
      <c r="C16" s="663">
        <v>0</v>
      </c>
      <c r="D16" s="336"/>
      <c r="E16" s="663">
        <f>C16</f>
        <v>0</v>
      </c>
      <c r="F16" s="336"/>
      <c r="G16" s="664">
        <f>C16</f>
        <v>0</v>
      </c>
      <c r="H16" s="336"/>
      <c r="I16" s="664">
        <f>C16</f>
        <v>0</v>
      </c>
      <c r="J16" s="336"/>
      <c r="K16" s="663">
        <f>C16</f>
        <v>0</v>
      </c>
      <c r="L16" s="336"/>
      <c r="M16" s="23"/>
      <c r="N16" s="663">
        <v>0</v>
      </c>
      <c r="O16" s="336"/>
      <c r="P16" s="663">
        <f>'analyse bij belofte'!Y12</f>
        <v>0</v>
      </c>
      <c r="Q16" s="336"/>
      <c r="R16" s="664">
        <f>N16</f>
        <v>0</v>
      </c>
      <c r="S16" s="336"/>
      <c r="T16" s="664">
        <f>N16</f>
        <v>0</v>
      </c>
      <c r="U16" s="336"/>
      <c r="V16" s="663">
        <f>N16</f>
        <v>0</v>
      </c>
      <c r="W16" s="755"/>
      <c r="X16" s="644"/>
      <c r="Y16" s="663">
        <v>0</v>
      </c>
      <c r="Z16" s="336"/>
      <c r="AA16" s="663">
        <f>Y16</f>
        <v>0</v>
      </c>
      <c r="AB16" s="336"/>
      <c r="AC16" s="664">
        <f>Y16</f>
        <v>0</v>
      </c>
      <c r="AD16" s="336"/>
      <c r="AE16" s="664">
        <f>Y16</f>
        <v>0</v>
      </c>
      <c r="AF16" s="336"/>
      <c r="AG16" s="663">
        <f>Y16</f>
        <v>0</v>
      </c>
      <c r="AH16" s="336"/>
      <c r="AJ16" t="s">
        <v>416</v>
      </c>
      <c r="AL16" s="423">
        <f t="shared" ref="AL16:AL55" si="0">AG16+V16+K16</f>
        <v>0</v>
      </c>
      <c r="AN16" s="599">
        <f>AKzondVERB!B13</f>
        <v>0</v>
      </c>
      <c r="AO16" s="599">
        <f>AKzondVERB!H13</f>
        <v>0</v>
      </c>
      <c r="AP16" s="599">
        <f>AKzondVERB!N13</f>
        <v>0</v>
      </c>
    </row>
    <row r="17" spans="1:83" hidden="1" outlineLevel="1" x14ac:dyDescent="0.3">
      <c r="B17" s="737" t="s">
        <v>417</v>
      </c>
      <c r="C17" s="738">
        <v>0</v>
      </c>
      <c r="D17" s="739"/>
      <c r="E17" s="738">
        <f>C17</f>
        <v>0</v>
      </c>
      <c r="F17" s="739"/>
      <c r="G17" s="738">
        <v>0</v>
      </c>
      <c r="H17" s="739"/>
      <c r="I17" s="750">
        <v>0</v>
      </c>
      <c r="J17" s="739"/>
      <c r="K17" s="750">
        <v>0</v>
      </c>
      <c r="L17" s="739"/>
      <c r="N17" s="738">
        <v>0</v>
      </c>
      <c r="O17" s="739"/>
      <c r="P17" s="738">
        <v>0</v>
      </c>
      <c r="Q17" s="739"/>
      <c r="R17" s="738">
        <v>0</v>
      </c>
      <c r="S17" s="739"/>
      <c r="T17" s="738">
        <v>0</v>
      </c>
      <c r="U17" s="739"/>
      <c r="V17" s="752">
        <v>0</v>
      </c>
      <c r="W17" s="757"/>
      <c r="Y17" s="738">
        <v>0</v>
      </c>
      <c r="Z17" s="739"/>
      <c r="AA17" s="738">
        <v>0</v>
      </c>
      <c r="AB17" s="739"/>
      <c r="AC17" s="738">
        <v>0</v>
      </c>
      <c r="AD17" s="739"/>
      <c r="AE17" s="738">
        <v>0</v>
      </c>
      <c r="AF17" s="739"/>
      <c r="AG17" s="738">
        <v>0</v>
      </c>
      <c r="AH17" s="739"/>
      <c r="AL17" s="423">
        <f t="shared" si="0"/>
        <v>0</v>
      </c>
      <c r="AN17" s="599">
        <f t="shared" ref="AN17:AN51" si="1">IFERROR(K17*$AO$4/$AR$4,0)</f>
        <v>0</v>
      </c>
      <c r="AO17" s="599">
        <f t="shared" ref="AO17:AO51" si="2">IFERROR(K17*$AP$4/$AR$4,0)</f>
        <v>0</v>
      </c>
      <c r="AP17" s="599">
        <f t="shared" ref="AP17:AP51" si="3">IFERROR(K17*$AQ$4/$AR$4,0)</f>
        <v>0</v>
      </c>
    </row>
    <row r="18" spans="1:83" hidden="1" outlineLevel="1" x14ac:dyDescent="0.3">
      <c r="B18" s="737" t="s">
        <v>418</v>
      </c>
      <c r="C18" s="738">
        <v>0</v>
      </c>
      <c r="D18" s="739"/>
      <c r="E18" s="738">
        <f t="shared" ref="E18:E19" si="4">C18</f>
        <v>0</v>
      </c>
      <c r="F18" s="739"/>
      <c r="G18" s="738">
        <v>0</v>
      </c>
      <c r="H18" s="739"/>
      <c r="I18" s="750">
        <v>0</v>
      </c>
      <c r="J18" s="739"/>
      <c r="K18" s="750">
        <v>0</v>
      </c>
      <c r="L18" s="739"/>
      <c r="N18" s="738">
        <v>0</v>
      </c>
      <c r="O18" s="739"/>
      <c r="P18" s="738">
        <v>0</v>
      </c>
      <c r="Q18" s="739"/>
      <c r="R18" s="738">
        <v>0</v>
      </c>
      <c r="S18" s="739"/>
      <c r="T18" s="738">
        <v>0</v>
      </c>
      <c r="U18" s="739"/>
      <c r="V18" s="752">
        <v>0</v>
      </c>
      <c r="W18" s="757"/>
      <c r="Y18" s="738">
        <v>0</v>
      </c>
      <c r="Z18" s="739"/>
      <c r="AA18" s="738">
        <v>0</v>
      </c>
      <c r="AB18" s="739"/>
      <c r="AC18" s="738">
        <v>0</v>
      </c>
      <c r="AD18" s="739"/>
      <c r="AE18" s="738">
        <v>0</v>
      </c>
      <c r="AF18" s="739"/>
      <c r="AG18" s="738">
        <v>0</v>
      </c>
      <c r="AH18" s="739"/>
      <c r="AL18" s="423">
        <f t="shared" si="0"/>
        <v>0</v>
      </c>
      <c r="AN18" s="599">
        <f t="shared" si="1"/>
        <v>0</v>
      </c>
      <c r="AO18" s="599">
        <f t="shared" si="2"/>
        <v>0</v>
      </c>
      <c r="AP18" s="599">
        <f t="shared" si="3"/>
        <v>0</v>
      </c>
    </row>
    <row r="19" spans="1:83" hidden="1" outlineLevel="1" x14ac:dyDescent="0.3">
      <c r="B19" s="737" t="s">
        <v>419</v>
      </c>
      <c r="C19" s="738">
        <v>0</v>
      </c>
      <c r="D19" s="739"/>
      <c r="E19" s="738">
        <f t="shared" si="4"/>
        <v>0</v>
      </c>
      <c r="F19" s="739"/>
      <c r="G19" s="738">
        <v>0</v>
      </c>
      <c r="H19" s="739"/>
      <c r="I19" s="750">
        <v>0</v>
      </c>
      <c r="J19" s="739"/>
      <c r="K19" s="750">
        <v>0</v>
      </c>
      <c r="L19" s="739"/>
      <c r="N19" s="738">
        <v>0</v>
      </c>
      <c r="O19" s="739"/>
      <c r="P19" s="738">
        <v>0</v>
      </c>
      <c r="Q19" s="739"/>
      <c r="R19" s="738">
        <v>0</v>
      </c>
      <c r="S19" s="739"/>
      <c r="T19" s="738">
        <v>0</v>
      </c>
      <c r="U19" s="739"/>
      <c r="V19" s="752">
        <v>0</v>
      </c>
      <c r="W19" s="757"/>
      <c r="Y19" s="738">
        <v>0</v>
      </c>
      <c r="Z19" s="739"/>
      <c r="AA19" s="738">
        <v>0</v>
      </c>
      <c r="AB19" s="739"/>
      <c r="AC19" s="738">
        <v>0</v>
      </c>
      <c r="AD19" s="739"/>
      <c r="AE19" s="738">
        <v>0</v>
      </c>
      <c r="AF19" s="739"/>
      <c r="AG19" s="738">
        <v>0</v>
      </c>
      <c r="AH19" s="739"/>
      <c r="AL19" s="423">
        <f t="shared" si="0"/>
        <v>0</v>
      </c>
      <c r="AN19" s="599">
        <f t="shared" si="1"/>
        <v>0</v>
      </c>
      <c r="AO19" s="599">
        <f t="shared" si="2"/>
        <v>0</v>
      </c>
      <c r="AP19" s="599">
        <f t="shared" si="3"/>
        <v>0</v>
      </c>
    </row>
    <row r="20" spans="1:83" collapsed="1" x14ac:dyDescent="0.3">
      <c r="B20" s="336" t="s">
        <v>420</v>
      </c>
      <c r="C20" s="663"/>
      <c r="D20" s="332"/>
      <c r="E20" s="663">
        <f>C20</f>
        <v>0</v>
      </c>
      <c r="F20" s="332"/>
      <c r="G20" s="664"/>
      <c r="H20" s="332"/>
      <c r="I20" s="431"/>
      <c r="J20" s="332"/>
      <c r="K20" s="332"/>
      <c r="L20" s="332"/>
      <c r="M20" s="51"/>
      <c r="N20" s="663"/>
      <c r="O20" s="332"/>
      <c r="P20" s="663"/>
      <c r="Q20" s="332"/>
      <c r="R20" s="664"/>
      <c r="S20" s="332"/>
      <c r="T20" s="664"/>
      <c r="U20" s="332"/>
      <c r="V20" s="753"/>
      <c r="W20" s="332"/>
      <c r="X20" s="754"/>
      <c r="Y20" s="663"/>
      <c r="Z20" s="332"/>
      <c r="AA20" s="663"/>
      <c r="AB20" s="332"/>
      <c r="AC20" s="664"/>
      <c r="AD20" s="332"/>
      <c r="AE20" s="664"/>
      <c r="AF20" s="332"/>
      <c r="AG20" s="663"/>
      <c r="AH20" s="332"/>
      <c r="AL20" s="423">
        <f t="shared" si="0"/>
        <v>0</v>
      </c>
      <c r="AN20" s="599">
        <f t="shared" si="1"/>
        <v>0</v>
      </c>
      <c r="AO20" s="599">
        <f t="shared" si="2"/>
        <v>0</v>
      </c>
      <c r="AP20" s="599">
        <f t="shared" si="3"/>
        <v>0</v>
      </c>
    </row>
    <row r="21" spans="1:83" s="168" customFormat="1" hidden="1" outlineLevel="1" x14ac:dyDescent="0.3">
      <c r="A21"/>
      <c r="B21" s="737" t="s">
        <v>421</v>
      </c>
      <c r="C21" s="738">
        <v>0</v>
      </c>
      <c r="D21" s="739"/>
      <c r="E21" s="738">
        <f>C21</f>
        <v>0</v>
      </c>
      <c r="F21" s="739"/>
      <c r="G21" s="738">
        <v>0</v>
      </c>
      <c r="H21" s="739"/>
      <c r="I21" s="750">
        <v>0</v>
      </c>
      <c r="J21" s="739"/>
      <c r="K21" s="750">
        <v>0</v>
      </c>
      <c r="L21" s="739"/>
      <c r="M21"/>
      <c r="N21" s="738">
        <v>0</v>
      </c>
      <c r="O21" s="739"/>
      <c r="P21" s="738">
        <v>0</v>
      </c>
      <c r="Q21" s="739"/>
      <c r="R21" s="738">
        <v>0</v>
      </c>
      <c r="S21" s="739"/>
      <c r="T21" s="738">
        <v>0</v>
      </c>
      <c r="U21" s="739"/>
      <c r="V21" s="752">
        <v>0</v>
      </c>
      <c r="W21" s="757"/>
      <c r="X21"/>
      <c r="Y21" s="738">
        <v>0</v>
      </c>
      <c r="Z21" s="739"/>
      <c r="AA21" s="738">
        <v>0</v>
      </c>
      <c r="AB21" s="739"/>
      <c r="AC21" s="738">
        <v>0</v>
      </c>
      <c r="AD21" s="739"/>
      <c r="AE21" s="738">
        <v>0</v>
      </c>
      <c r="AF21" s="739"/>
      <c r="AG21" s="738">
        <v>0</v>
      </c>
      <c r="AH21" s="739"/>
      <c r="AI21"/>
      <c r="AJ21"/>
      <c r="AK21"/>
      <c r="AL21" s="423">
        <f t="shared" si="0"/>
        <v>0</v>
      </c>
      <c r="AM21"/>
      <c r="AN21" s="599">
        <f t="shared" si="1"/>
        <v>0</v>
      </c>
      <c r="AO21" s="599">
        <f t="shared" si="2"/>
        <v>0</v>
      </c>
      <c r="AP21" s="599">
        <f t="shared" si="3"/>
        <v>0</v>
      </c>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row>
    <row r="22" spans="1:83" s="168" customFormat="1" hidden="1" outlineLevel="1" x14ac:dyDescent="0.3">
      <c r="A22"/>
      <c r="B22" s="737" t="s">
        <v>422</v>
      </c>
      <c r="C22" s="738">
        <v>0</v>
      </c>
      <c r="D22" s="739"/>
      <c r="E22" s="738">
        <f t="shared" ref="E22:E23" si="5">C22</f>
        <v>0</v>
      </c>
      <c r="F22" s="739"/>
      <c r="G22" s="738">
        <v>0</v>
      </c>
      <c r="H22" s="739"/>
      <c r="I22" s="750">
        <v>0</v>
      </c>
      <c r="J22" s="739"/>
      <c r="K22" s="750">
        <v>0</v>
      </c>
      <c r="L22" s="739"/>
      <c r="M22"/>
      <c r="N22" s="738">
        <v>0</v>
      </c>
      <c r="O22" s="739"/>
      <c r="P22" s="738">
        <v>0</v>
      </c>
      <c r="Q22" s="739"/>
      <c r="R22" s="738">
        <v>0</v>
      </c>
      <c r="S22" s="739"/>
      <c r="T22" s="738">
        <v>0</v>
      </c>
      <c r="U22" s="739"/>
      <c r="V22" s="752">
        <v>0</v>
      </c>
      <c r="W22" s="757"/>
      <c r="X22"/>
      <c r="Y22" s="738">
        <v>0</v>
      </c>
      <c r="Z22" s="739"/>
      <c r="AA22" s="738">
        <v>0</v>
      </c>
      <c r="AB22" s="739"/>
      <c r="AC22" s="738">
        <v>0</v>
      </c>
      <c r="AD22" s="739"/>
      <c r="AE22" s="738">
        <v>0</v>
      </c>
      <c r="AF22" s="739"/>
      <c r="AG22" s="738">
        <v>0</v>
      </c>
      <c r="AH22" s="739"/>
      <c r="AI22"/>
      <c r="AJ22"/>
      <c r="AK22"/>
      <c r="AL22" s="423">
        <f t="shared" si="0"/>
        <v>0</v>
      </c>
      <c r="AM22"/>
      <c r="AN22" s="599">
        <f t="shared" si="1"/>
        <v>0</v>
      </c>
      <c r="AO22" s="599">
        <f t="shared" si="2"/>
        <v>0</v>
      </c>
      <c r="AP22" s="599">
        <f t="shared" si="3"/>
        <v>0</v>
      </c>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row>
    <row r="23" spans="1:83" s="168" customFormat="1" hidden="1" outlineLevel="1" x14ac:dyDescent="0.3">
      <c r="A23"/>
      <c r="B23" s="737" t="s">
        <v>423</v>
      </c>
      <c r="C23" s="738">
        <v>0</v>
      </c>
      <c r="D23" s="739"/>
      <c r="E23" s="738">
        <f t="shared" si="5"/>
        <v>0</v>
      </c>
      <c r="F23" s="739"/>
      <c r="G23" s="738">
        <v>0</v>
      </c>
      <c r="H23" s="739"/>
      <c r="I23" s="750">
        <v>0</v>
      </c>
      <c r="J23" s="739"/>
      <c r="K23" s="750">
        <v>0</v>
      </c>
      <c r="L23" s="739"/>
      <c r="M23"/>
      <c r="N23" s="738">
        <v>0</v>
      </c>
      <c r="O23" s="739"/>
      <c r="P23" s="738">
        <v>0</v>
      </c>
      <c r="Q23" s="739"/>
      <c r="R23" s="738">
        <v>0</v>
      </c>
      <c r="S23" s="739"/>
      <c r="T23" s="738">
        <v>0</v>
      </c>
      <c r="U23" s="739"/>
      <c r="V23" s="752">
        <v>0</v>
      </c>
      <c r="W23" s="757"/>
      <c r="X23"/>
      <c r="Y23" s="738">
        <v>0</v>
      </c>
      <c r="Z23" s="739"/>
      <c r="AA23" s="738">
        <v>0</v>
      </c>
      <c r="AB23" s="739"/>
      <c r="AC23" s="738">
        <v>0</v>
      </c>
      <c r="AD23" s="739"/>
      <c r="AE23" s="738">
        <v>0</v>
      </c>
      <c r="AF23" s="739"/>
      <c r="AG23" s="738">
        <v>0</v>
      </c>
      <c r="AH23" s="739"/>
      <c r="AI23"/>
      <c r="AJ23"/>
      <c r="AK23"/>
      <c r="AL23" s="423">
        <f t="shared" si="0"/>
        <v>0</v>
      </c>
      <c r="AM23"/>
      <c r="AN23" s="599">
        <f t="shared" si="1"/>
        <v>0</v>
      </c>
      <c r="AO23" s="599">
        <f t="shared" si="2"/>
        <v>0</v>
      </c>
      <c r="AP23" s="599">
        <f t="shared" si="3"/>
        <v>0</v>
      </c>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row>
    <row r="24" spans="1:83" s="168" customFormat="1" hidden="1" collapsed="1" x14ac:dyDescent="0.3">
      <c r="A24"/>
      <c r="B24" s="336" t="s">
        <v>123</v>
      </c>
      <c r="C24" s="663">
        <v>0</v>
      </c>
      <c r="D24" s="335"/>
      <c r="E24" s="663">
        <f>C24</f>
        <v>0</v>
      </c>
      <c r="F24" s="335"/>
      <c r="G24" s="664"/>
      <c r="H24" s="332"/>
      <c r="I24" s="431"/>
      <c r="J24" s="332"/>
      <c r="K24" s="332"/>
      <c r="L24" s="331"/>
      <c r="M24" s="39"/>
      <c r="N24" s="663">
        <v>0</v>
      </c>
      <c r="O24" s="335"/>
      <c r="P24" s="663">
        <f>N24</f>
        <v>0</v>
      </c>
      <c r="Q24" s="335"/>
      <c r="R24" s="664"/>
      <c r="S24" s="335"/>
      <c r="T24" s="664"/>
      <c r="U24" s="335"/>
      <c r="V24" s="663"/>
      <c r="W24" s="756"/>
      <c r="X24" s="646"/>
      <c r="Y24" s="663">
        <v>0</v>
      </c>
      <c r="Z24" s="335"/>
      <c r="AA24" s="663">
        <f>Y24</f>
        <v>0</v>
      </c>
      <c r="AB24" s="335"/>
      <c r="AC24" s="664"/>
      <c r="AD24" s="335"/>
      <c r="AE24" s="664"/>
      <c r="AF24" s="335"/>
      <c r="AG24" s="663"/>
      <c r="AH24" s="335"/>
      <c r="AI24"/>
      <c r="AJ24" s="337" t="s">
        <v>424</v>
      </c>
      <c r="AK24"/>
      <c r="AL24" s="423">
        <f t="shared" si="0"/>
        <v>0</v>
      </c>
      <c r="AM24"/>
      <c r="AN24" s="599">
        <f t="shared" si="1"/>
        <v>0</v>
      </c>
      <c r="AO24" s="599">
        <f t="shared" si="2"/>
        <v>0</v>
      </c>
      <c r="AP24" s="599">
        <f t="shared" si="3"/>
        <v>0</v>
      </c>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row>
    <row r="25" spans="1:83" s="168" customFormat="1" hidden="1" outlineLevel="1" x14ac:dyDescent="0.3">
      <c r="A25"/>
      <c r="B25" s="737" t="s">
        <v>425</v>
      </c>
      <c r="C25" s="740">
        <v>0</v>
      </c>
      <c r="D25" s="741">
        <f>F10</f>
        <v>0</v>
      </c>
      <c r="E25" s="740">
        <f>C25</f>
        <v>0</v>
      </c>
      <c r="F25" s="741">
        <f t="shared" ref="F25:F30" si="6">$F$10</f>
        <v>0</v>
      </c>
      <c r="G25" s="740">
        <v>0</v>
      </c>
      <c r="H25" s="741">
        <f t="shared" ref="H25:H30" si="7">$F$10</f>
        <v>0</v>
      </c>
      <c r="I25" s="751">
        <v>0</v>
      </c>
      <c r="J25" s="741">
        <f t="shared" ref="J25:J30" si="8">$F$10</f>
        <v>0</v>
      </c>
      <c r="K25" s="751">
        <v>0</v>
      </c>
      <c r="L25" s="741">
        <f t="shared" ref="L25:L30" si="9">$F$10</f>
        <v>0</v>
      </c>
      <c r="M25" s="629"/>
      <c r="N25" s="740">
        <v>0</v>
      </c>
      <c r="O25" s="741">
        <f>$Q$10</f>
        <v>0</v>
      </c>
      <c r="P25" s="740">
        <f t="shared" ref="P25:P47" si="10">N25</f>
        <v>0</v>
      </c>
      <c r="Q25" s="741">
        <f>$Q$10</f>
        <v>0</v>
      </c>
      <c r="R25" s="740">
        <v>0</v>
      </c>
      <c r="S25" s="741">
        <f>$Q$10</f>
        <v>0</v>
      </c>
      <c r="T25" s="740">
        <v>0</v>
      </c>
      <c r="U25" s="741">
        <f>$Q$10</f>
        <v>0</v>
      </c>
      <c r="V25" s="740">
        <v>0</v>
      </c>
      <c r="W25" s="741">
        <f>$Q$10</f>
        <v>0</v>
      </c>
      <c r="X25" s="647"/>
      <c r="Y25" s="740">
        <v>0</v>
      </c>
      <c r="Z25" s="741">
        <f>$AB$10</f>
        <v>0</v>
      </c>
      <c r="AA25" s="740">
        <v>0</v>
      </c>
      <c r="AB25" s="741">
        <f>$AB$10</f>
        <v>0</v>
      </c>
      <c r="AC25" s="740">
        <v>0</v>
      </c>
      <c r="AD25" s="741">
        <f>$AB$10</f>
        <v>0</v>
      </c>
      <c r="AE25" s="740">
        <v>0</v>
      </c>
      <c r="AF25" s="741">
        <f>$AB$10</f>
        <v>0</v>
      </c>
      <c r="AG25" s="740">
        <v>0</v>
      </c>
      <c r="AH25" s="741">
        <f>$AB$10</f>
        <v>0</v>
      </c>
      <c r="AI25"/>
      <c r="AJ25" t="s">
        <v>426</v>
      </c>
      <c r="AK25"/>
      <c r="AL25" s="423">
        <f t="shared" si="0"/>
        <v>0</v>
      </c>
      <c r="AM25"/>
      <c r="AN25" s="599">
        <f t="shared" si="1"/>
        <v>0</v>
      </c>
      <c r="AO25" s="599">
        <f t="shared" si="2"/>
        <v>0</v>
      </c>
      <c r="AP25" s="599">
        <f t="shared" si="3"/>
        <v>0</v>
      </c>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row>
    <row r="26" spans="1:83" s="168" customFormat="1" hidden="1" outlineLevel="1" x14ac:dyDescent="0.3">
      <c r="A26"/>
      <c r="B26" s="737" t="s">
        <v>427</v>
      </c>
      <c r="C26" s="740">
        <v>0</v>
      </c>
      <c r="D26" s="741">
        <f>$F$10</f>
        <v>0</v>
      </c>
      <c r="E26" s="740">
        <f t="shared" ref="E26:E30" si="11">C26</f>
        <v>0</v>
      </c>
      <c r="F26" s="741">
        <f t="shared" si="6"/>
        <v>0</v>
      </c>
      <c r="G26" s="740">
        <v>0</v>
      </c>
      <c r="H26" s="741">
        <f t="shared" si="7"/>
        <v>0</v>
      </c>
      <c r="I26" s="751">
        <v>0</v>
      </c>
      <c r="J26" s="741">
        <f t="shared" si="8"/>
        <v>0</v>
      </c>
      <c r="K26" s="751">
        <v>0</v>
      </c>
      <c r="L26" s="741">
        <f t="shared" si="9"/>
        <v>0</v>
      </c>
      <c r="M26" s="629"/>
      <c r="N26" s="740">
        <v>0</v>
      </c>
      <c r="O26" s="741">
        <f t="shared" ref="O26:W30" si="12">$Q$10</f>
        <v>0</v>
      </c>
      <c r="P26" s="740">
        <f t="shared" si="10"/>
        <v>0</v>
      </c>
      <c r="Q26" s="741">
        <f t="shared" si="12"/>
        <v>0</v>
      </c>
      <c r="R26" s="740">
        <v>0</v>
      </c>
      <c r="S26" s="741">
        <f t="shared" si="12"/>
        <v>0</v>
      </c>
      <c r="T26" s="740">
        <v>0</v>
      </c>
      <c r="U26" s="741">
        <f t="shared" si="12"/>
        <v>0</v>
      </c>
      <c r="V26" s="740">
        <v>0</v>
      </c>
      <c r="W26" s="741">
        <f t="shared" si="12"/>
        <v>0</v>
      </c>
      <c r="X26" s="647"/>
      <c r="Y26" s="740">
        <v>0</v>
      </c>
      <c r="Z26" s="741">
        <f t="shared" ref="Z26:AH30" si="13">$AB$10</f>
        <v>0</v>
      </c>
      <c r="AA26" s="740">
        <v>0</v>
      </c>
      <c r="AB26" s="741">
        <f t="shared" si="13"/>
        <v>0</v>
      </c>
      <c r="AC26" s="740">
        <v>0</v>
      </c>
      <c r="AD26" s="741">
        <f t="shared" si="13"/>
        <v>0</v>
      </c>
      <c r="AE26" s="740">
        <v>0</v>
      </c>
      <c r="AF26" s="741">
        <f t="shared" si="13"/>
        <v>0</v>
      </c>
      <c r="AG26" s="740">
        <v>0</v>
      </c>
      <c r="AH26" s="741">
        <f t="shared" si="13"/>
        <v>0</v>
      </c>
      <c r="AI26"/>
      <c r="AJ26"/>
      <c r="AK26"/>
      <c r="AL26" s="423">
        <f t="shared" si="0"/>
        <v>0</v>
      </c>
      <c r="AM26"/>
      <c r="AN26" s="599">
        <f t="shared" si="1"/>
        <v>0</v>
      </c>
      <c r="AO26" s="599">
        <f t="shared" si="2"/>
        <v>0</v>
      </c>
      <c r="AP26" s="599">
        <f t="shared" si="3"/>
        <v>0</v>
      </c>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row>
    <row r="27" spans="1:83" hidden="1" outlineLevel="1" x14ac:dyDescent="0.3">
      <c r="B27" s="737" t="s">
        <v>428</v>
      </c>
      <c r="C27" s="740">
        <v>0</v>
      </c>
      <c r="D27" s="741">
        <f>$F$10</f>
        <v>0</v>
      </c>
      <c r="E27" s="740">
        <f t="shared" si="11"/>
        <v>0</v>
      </c>
      <c r="F27" s="741">
        <f t="shared" si="6"/>
        <v>0</v>
      </c>
      <c r="G27" s="740">
        <v>0</v>
      </c>
      <c r="H27" s="741">
        <f t="shared" si="7"/>
        <v>0</v>
      </c>
      <c r="I27" s="751">
        <v>0</v>
      </c>
      <c r="J27" s="741">
        <f t="shared" si="8"/>
        <v>0</v>
      </c>
      <c r="K27" s="751">
        <v>0</v>
      </c>
      <c r="L27" s="741">
        <f t="shared" si="9"/>
        <v>0</v>
      </c>
      <c r="M27" s="629"/>
      <c r="N27" s="740">
        <v>0</v>
      </c>
      <c r="O27" s="741">
        <f t="shared" si="12"/>
        <v>0</v>
      </c>
      <c r="P27" s="740">
        <f t="shared" si="10"/>
        <v>0</v>
      </c>
      <c r="Q27" s="741">
        <f t="shared" si="12"/>
        <v>0</v>
      </c>
      <c r="R27" s="740">
        <v>0</v>
      </c>
      <c r="S27" s="741">
        <f t="shared" si="12"/>
        <v>0</v>
      </c>
      <c r="T27" s="740">
        <v>0</v>
      </c>
      <c r="U27" s="741">
        <f t="shared" si="12"/>
        <v>0</v>
      </c>
      <c r="V27" s="740">
        <v>0</v>
      </c>
      <c r="W27" s="741">
        <f t="shared" si="12"/>
        <v>0</v>
      </c>
      <c r="X27" s="647"/>
      <c r="Y27" s="740">
        <v>0</v>
      </c>
      <c r="Z27" s="741">
        <f t="shared" si="13"/>
        <v>0</v>
      </c>
      <c r="AA27" s="740">
        <v>0</v>
      </c>
      <c r="AB27" s="741">
        <f t="shared" si="13"/>
        <v>0</v>
      </c>
      <c r="AC27" s="740">
        <v>0</v>
      </c>
      <c r="AD27" s="741">
        <f t="shared" si="13"/>
        <v>0</v>
      </c>
      <c r="AE27" s="740">
        <v>0</v>
      </c>
      <c r="AF27" s="741">
        <f t="shared" si="13"/>
        <v>0</v>
      </c>
      <c r="AG27" s="740">
        <v>0</v>
      </c>
      <c r="AH27" s="741">
        <f t="shared" si="13"/>
        <v>0</v>
      </c>
      <c r="AL27" s="423">
        <f t="shared" si="0"/>
        <v>0</v>
      </c>
      <c r="AN27" s="599">
        <f t="shared" si="1"/>
        <v>0</v>
      </c>
      <c r="AO27" s="599">
        <f t="shared" si="2"/>
        <v>0</v>
      </c>
      <c r="AP27" s="599">
        <f t="shared" si="3"/>
        <v>0</v>
      </c>
    </row>
    <row r="28" spans="1:83" hidden="1" outlineLevel="1" x14ac:dyDescent="0.3">
      <c r="B28" s="737" t="s">
        <v>429</v>
      </c>
      <c r="C28" s="740">
        <v>0</v>
      </c>
      <c r="D28" s="741">
        <f>$F$10</f>
        <v>0</v>
      </c>
      <c r="E28" s="740">
        <f t="shared" si="11"/>
        <v>0</v>
      </c>
      <c r="F28" s="741">
        <f t="shared" si="6"/>
        <v>0</v>
      </c>
      <c r="G28" s="740">
        <v>0</v>
      </c>
      <c r="H28" s="741">
        <f t="shared" si="7"/>
        <v>0</v>
      </c>
      <c r="I28" s="751">
        <v>0</v>
      </c>
      <c r="J28" s="741">
        <f t="shared" si="8"/>
        <v>0</v>
      </c>
      <c r="K28" s="751">
        <v>0</v>
      </c>
      <c r="L28" s="741">
        <f t="shared" si="9"/>
        <v>0</v>
      </c>
      <c r="M28" s="629"/>
      <c r="N28" s="740">
        <v>0</v>
      </c>
      <c r="O28" s="741">
        <f t="shared" si="12"/>
        <v>0</v>
      </c>
      <c r="P28" s="740">
        <f t="shared" si="10"/>
        <v>0</v>
      </c>
      <c r="Q28" s="741">
        <f t="shared" si="12"/>
        <v>0</v>
      </c>
      <c r="R28" s="740">
        <v>0</v>
      </c>
      <c r="S28" s="741">
        <f t="shared" si="12"/>
        <v>0</v>
      </c>
      <c r="T28" s="740">
        <v>0</v>
      </c>
      <c r="U28" s="741">
        <f t="shared" si="12"/>
        <v>0</v>
      </c>
      <c r="V28" s="740">
        <v>0</v>
      </c>
      <c r="W28" s="741">
        <f t="shared" si="12"/>
        <v>0</v>
      </c>
      <c r="X28" s="647"/>
      <c r="Y28" s="740">
        <v>0</v>
      </c>
      <c r="Z28" s="741">
        <f t="shared" si="13"/>
        <v>0</v>
      </c>
      <c r="AA28" s="740">
        <v>0</v>
      </c>
      <c r="AB28" s="741">
        <f t="shared" si="13"/>
        <v>0</v>
      </c>
      <c r="AC28" s="740">
        <v>0</v>
      </c>
      <c r="AD28" s="741">
        <f t="shared" si="13"/>
        <v>0</v>
      </c>
      <c r="AE28" s="740">
        <v>0</v>
      </c>
      <c r="AF28" s="741">
        <f t="shared" si="13"/>
        <v>0</v>
      </c>
      <c r="AG28" s="740">
        <v>0</v>
      </c>
      <c r="AH28" s="741">
        <f t="shared" si="13"/>
        <v>0</v>
      </c>
      <c r="AL28" s="423">
        <f t="shared" si="0"/>
        <v>0</v>
      </c>
      <c r="AN28" s="599">
        <f t="shared" si="1"/>
        <v>0</v>
      </c>
      <c r="AO28" s="599">
        <f t="shared" si="2"/>
        <v>0</v>
      </c>
      <c r="AP28" s="599">
        <f t="shared" si="3"/>
        <v>0</v>
      </c>
    </row>
    <row r="29" spans="1:83" hidden="1" outlineLevel="1" x14ac:dyDescent="0.3">
      <c r="B29" s="737" t="s">
        <v>430</v>
      </c>
      <c r="C29" s="740">
        <v>0</v>
      </c>
      <c r="D29" s="741">
        <f>$F$10</f>
        <v>0</v>
      </c>
      <c r="E29" s="740">
        <f t="shared" si="11"/>
        <v>0</v>
      </c>
      <c r="F29" s="741">
        <f t="shared" si="6"/>
        <v>0</v>
      </c>
      <c r="G29" s="740">
        <v>0</v>
      </c>
      <c r="H29" s="741">
        <f t="shared" si="7"/>
        <v>0</v>
      </c>
      <c r="I29" s="751">
        <v>0</v>
      </c>
      <c r="J29" s="741">
        <f t="shared" si="8"/>
        <v>0</v>
      </c>
      <c r="K29" s="751">
        <v>0</v>
      </c>
      <c r="L29" s="741">
        <f t="shared" si="9"/>
        <v>0</v>
      </c>
      <c r="M29" s="629"/>
      <c r="N29" s="740">
        <v>0</v>
      </c>
      <c r="O29" s="741">
        <f t="shared" si="12"/>
        <v>0</v>
      </c>
      <c r="P29" s="740">
        <f t="shared" si="10"/>
        <v>0</v>
      </c>
      <c r="Q29" s="741">
        <f t="shared" si="12"/>
        <v>0</v>
      </c>
      <c r="R29" s="740">
        <v>0</v>
      </c>
      <c r="S29" s="741">
        <f t="shared" si="12"/>
        <v>0</v>
      </c>
      <c r="T29" s="740">
        <v>0</v>
      </c>
      <c r="U29" s="741">
        <f t="shared" si="12"/>
        <v>0</v>
      </c>
      <c r="V29" s="740">
        <v>0</v>
      </c>
      <c r="W29" s="741">
        <f t="shared" si="12"/>
        <v>0</v>
      </c>
      <c r="X29" s="647"/>
      <c r="Y29" s="740">
        <v>0</v>
      </c>
      <c r="Z29" s="741">
        <f t="shared" si="13"/>
        <v>0</v>
      </c>
      <c r="AA29" s="740">
        <v>0</v>
      </c>
      <c r="AB29" s="741">
        <f t="shared" si="13"/>
        <v>0</v>
      </c>
      <c r="AC29" s="740">
        <v>0</v>
      </c>
      <c r="AD29" s="741">
        <f t="shared" si="13"/>
        <v>0</v>
      </c>
      <c r="AE29" s="740">
        <v>0</v>
      </c>
      <c r="AF29" s="741">
        <f t="shared" si="13"/>
        <v>0</v>
      </c>
      <c r="AG29" s="740">
        <v>0</v>
      </c>
      <c r="AH29" s="741">
        <f t="shared" si="13"/>
        <v>0</v>
      </c>
      <c r="AL29" s="423">
        <f t="shared" si="0"/>
        <v>0</v>
      </c>
      <c r="AN29" s="599">
        <f t="shared" si="1"/>
        <v>0</v>
      </c>
      <c r="AO29" s="599">
        <f t="shared" si="2"/>
        <v>0</v>
      </c>
      <c r="AP29" s="599">
        <f t="shared" si="3"/>
        <v>0</v>
      </c>
    </row>
    <row r="30" spans="1:83" hidden="1" outlineLevel="1" x14ac:dyDescent="0.3">
      <c r="B30" s="737" t="s">
        <v>431</v>
      </c>
      <c r="C30" s="740">
        <f>C24-SUM(C25:C29)</f>
        <v>0</v>
      </c>
      <c r="D30" s="741">
        <f>$F$10</f>
        <v>0</v>
      </c>
      <c r="E30" s="740">
        <f t="shared" si="11"/>
        <v>0</v>
      </c>
      <c r="F30" s="741">
        <f t="shared" si="6"/>
        <v>0</v>
      </c>
      <c r="G30" s="740">
        <f>G24-SUM(G25:G29)</f>
        <v>0</v>
      </c>
      <c r="H30" s="741">
        <f t="shared" si="7"/>
        <v>0</v>
      </c>
      <c r="I30" s="751">
        <f>I24-SUM(I25:I29)</f>
        <v>0</v>
      </c>
      <c r="J30" s="741">
        <f t="shared" si="8"/>
        <v>0</v>
      </c>
      <c r="K30" s="751">
        <f>K24-SUM(K25:K29)</f>
        <v>0</v>
      </c>
      <c r="L30" s="741">
        <f t="shared" si="9"/>
        <v>0</v>
      </c>
      <c r="M30" s="629"/>
      <c r="N30" s="740">
        <f>N24-SUM(N25:N29)</f>
        <v>0</v>
      </c>
      <c r="O30" s="741">
        <f t="shared" si="12"/>
        <v>0</v>
      </c>
      <c r="P30" s="740">
        <f t="shared" si="10"/>
        <v>0</v>
      </c>
      <c r="Q30" s="741">
        <f t="shared" si="12"/>
        <v>0</v>
      </c>
      <c r="R30" s="740">
        <f>R24-SUM(R25:R29)</f>
        <v>0</v>
      </c>
      <c r="S30" s="741">
        <f t="shared" si="12"/>
        <v>0</v>
      </c>
      <c r="T30" s="740">
        <f>T24-SUM(T25:T29)</f>
        <v>0</v>
      </c>
      <c r="U30" s="741">
        <f t="shared" si="12"/>
        <v>0</v>
      </c>
      <c r="V30" s="740">
        <f>V24-SUM(V25:V29)</f>
        <v>0</v>
      </c>
      <c r="W30" s="741">
        <f t="shared" si="12"/>
        <v>0</v>
      </c>
      <c r="X30" s="647"/>
      <c r="Y30" s="740">
        <f>Y24-SUM(Y25:Y29)</f>
        <v>0</v>
      </c>
      <c r="Z30" s="741">
        <f t="shared" si="13"/>
        <v>0</v>
      </c>
      <c r="AA30" s="740">
        <f>AA24-SUM(AA25:AA29)</f>
        <v>0</v>
      </c>
      <c r="AB30" s="741">
        <f t="shared" si="13"/>
        <v>0</v>
      </c>
      <c r="AC30" s="740">
        <f>AC24-SUM(AC25:AC29)</f>
        <v>0</v>
      </c>
      <c r="AD30" s="741">
        <f t="shared" si="13"/>
        <v>0</v>
      </c>
      <c r="AE30" s="740">
        <f>AE24-SUM(AE25:AE29)</f>
        <v>0</v>
      </c>
      <c r="AF30" s="741">
        <f t="shared" si="13"/>
        <v>0</v>
      </c>
      <c r="AG30" s="740">
        <f>AG24-SUM(AG25:AG29)</f>
        <v>0</v>
      </c>
      <c r="AH30" s="741">
        <f t="shared" si="13"/>
        <v>0</v>
      </c>
      <c r="AJ30" t="s">
        <v>432</v>
      </c>
      <c r="AL30" s="423">
        <f t="shared" si="0"/>
        <v>0</v>
      </c>
      <c r="AN30" s="599">
        <f t="shared" si="1"/>
        <v>0</v>
      </c>
      <c r="AO30" s="599">
        <f t="shared" si="2"/>
        <v>0</v>
      </c>
      <c r="AP30" s="599">
        <f t="shared" si="3"/>
        <v>0</v>
      </c>
    </row>
    <row r="31" spans="1:83" collapsed="1" x14ac:dyDescent="0.3">
      <c r="B31" s="336" t="s">
        <v>124</v>
      </c>
      <c r="C31" s="663">
        <v>0</v>
      </c>
      <c r="D31" s="335"/>
      <c r="E31" s="663">
        <f>C31</f>
        <v>0</v>
      </c>
      <c r="F31" s="335"/>
      <c r="G31" s="664"/>
      <c r="H31" s="335"/>
      <c r="I31" s="431"/>
      <c r="J31" s="335"/>
      <c r="K31" s="332"/>
      <c r="L31" s="335"/>
      <c r="M31" s="629"/>
      <c r="N31" s="663">
        <v>0</v>
      </c>
      <c r="O31" s="335"/>
      <c r="P31" s="663">
        <f t="shared" si="10"/>
        <v>0</v>
      </c>
      <c r="Q31" s="335"/>
      <c r="R31" s="664"/>
      <c r="S31" s="335"/>
      <c r="T31" s="664"/>
      <c r="U31" s="335"/>
      <c r="V31" s="663"/>
      <c r="W31" s="335"/>
      <c r="X31" s="647"/>
      <c r="Y31" s="663">
        <v>0</v>
      </c>
      <c r="Z31" s="335"/>
      <c r="AA31" s="663">
        <f>Y31</f>
        <v>0</v>
      </c>
      <c r="AB31" s="335"/>
      <c r="AC31" s="664"/>
      <c r="AD31" s="335"/>
      <c r="AE31" s="664"/>
      <c r="AF31" s="335"/>
      <c r="AG31" s="663"/>
      <c r="AH31" s="335"/>
      <c r="AL31" s="423">
        <f t="shared" si="0"/>
        <v>0</v>
      </c>
      <c r="AN31" s="599">
        <f t="shared" si="1"/>
        <v>0</v>
      </c>
      <c r="AO31" s="599">
        <f t="shared" si="2"/>
        <v>0</v>
      </c>
      <c r="AP31" s="599">
        <f t="shared" si="3"/>
        <v>0</v>
      </c>
    </row>
    <row r="32" spans="1:83" outlineLevel="1" x14ac:dyDescent="0.3">
      <c r="B32" s="737" t="s">
        <v>433</v>
      </c>
      <c r="C32" s="740">
        <v>0</v>
      </c>
      <c r="D32" s="741">
        <f t="shared" ref="D32:D38" si="14">$F$10</f>
        <v>0</v>
      </c>
      <c r="E32" s="740">
        <f>C32</f>
        <v>0</v>
      </c>
      <c r="F32" s="741">
        <f t="shared" ref="F32:F38" si="15">$F$10</f>
        <v>0</v>
      </c>
      <c r="G32" s="740">
        <v>0</v>
      </c>
      <c r="H32" s="741">
        <f t="shared" ref="H32:H38" si="16">$F$10</f>
        <v>0</v>
      </c>
      <c r="I32" s="751">
        <v>0</v>
      </c>
      <c r="J32" s="741">
        <f t="shared" ref="J32:J38" si="17">$F$10</f>
        <v>0</v>
      </c>
      <c r="K32" s="751">
        <v>0</v>
      </c>
      <c r="L32" s="741">
        <f t="shared" ref="L32:L38" si="18">$F$10</f>
        <v>0</v>
      </c>
      <c r="M32" s="629"/>
      <c r="N32" s="740">
        <v>0</v>
      </c>
      <c r="O32" s="741">
        <f>$Q$10</f>
        <v>0</v>
      </c>
      <c r="P32" s="740">
        <f t="shared" si="10"/>
        <v>0</v>
      </c>
      <c r="Q32" s="741">
        <f>$Q$10</f>
        <v>0</v>
      </c>
      <c r="R32" s="740">
        <v>0</v>
      </c>
      <c r="S32" s="741">
        <f>$Q$10</f>
        <v>0</v>
      </c>
      <c r="T32" s="740">
        <v>0</v>
      </c>
      <c r="U32" s="741">
        <f>$Q$10</f>
        <v>0</v>
      </c>
      <c r="V32" s="740">
        <v>0</v>
      </c>
      <c r="W32" s="741">
        <f>$Q$10</f>
        <v>0</v>
      </c>
      <c r="X32" s="647"/>
      <c r="Y32" s="740">
        <v>0</v>
      </c>
      <c r="Z32" s="741">
        <f>$AB$10</f>
        <v>0</v>
      </c>
      <c r="AA32" s="740">
        <v>0</v>
      </c>
      <c r="AB32" s="741">
        <f>$AB$10</f>
        <v>0</v>
      </c>
      <c r="AC32" s="740">
        <v>0</v>
      </c>
      <c r="AD32" s="741">
        <f>$AB$10</f>
        <v>0</v>
      </c>
      <c r="AE32" s="740">
        <v>0</v>
      </c>
      <c r="AF32" s="741">
        <f>$AB$10</f>
        <v>0</v>
      </c>
      <c r="AG32" s="740">
        <v>0</v>
      </c>
      <c r="AH32" s="741">
        <f>$AB$10</f>
        <v>0</v>
      </c>
      <c r="AL32" s="423">
        <f t="shared" si="0"/>
        <v>0</v>
      </c>
      <c r="AN32" s="599">
        <f t="shared" si="1"/>
        <v>0</v>
      </c>
      <c r="AO32" s="599">
        <f t="shared" si="2"/>
        <v>0</v>
      </c>
      <c r="AP32" s="599">
        <f t="shared" si="3"/>
        <v>0</v>
      </c>
    </row>
    <row r="33" spans="2:42" outlineLevel="1" x14ac:dyDescent="0.3">
      <c r="B33" s="737" t="s">
        <v>434</v>
      </c>
      <c r="C33" s="740">
        <v>0</v>
      </c>
      <c r="D33" s="741">
        <f t="shared" si="14"/>
        <v>0</v>
      </c>
      <c r="E33" s="740">
        <f t="shared" ref="E33:E38" si="19">C33</f>
        <v>0</v>
      </c>
      <c r="F33" s="741">
        <f t="shared" si="15"/>
        <v>0</v>
      </c>
      <c r="G33" s="740">
        <v>0</v>
      </c>
      <c r="H33" s="741">
        <f t="shared" si="16"/>
        <v>0</v>
      </c>
      <c r="I33" s="751">
        <v>0</v>
      </c>
      <c r="J33" s="741">
        <f t="shared" si="17"/>
        <v>0</v>
      </c>
      <c r="K33" s="751">
        <v>0</v>
      </c>
      <c r="L33" s="741">
        <f t="shared" si="18"/>
        <v>0</v>
      </c>
      <c r="M33" s="629"/>
      <c r="N33" s="740">
        <v>0</v>
      </c>
      <c r="O33" s="741">
        <f t="shared" ref="O33:W37" si="20">$Q$10</f>
        <v>0</v>
      </c>
      <c r="P33" s="740">
        <f t="shared" si="10"/>
        <v>0</v>
      </c>
      <c r="Q33" s="741">
        <f t="shared" si="20"/>
        <v>0</v>
      </c>
      <c r="R33" s="740">
        <v>0</v>
      </c>
      <c r="S33" s="741">
        <f t="shared" si="20"/>
        <v>0</v>
      </c>
      <c r="T33" s="740">
        <v>0</v>
      </c>
      <c r="U33" s="741">
        <f t="shared" si="20"/>
        <v>0</v>
      </c>
      <c r="V33" s="740">
        <v>0</v>
      </c>
      <c r="W33" s="741">
        <f t="shared" si="20"/>
        <v>0</v>
      </c>
      <c r="X33" s="647"/>
      <c r="Y33" s="740">
        <v>0</v>
      </c>
      <c r="Z33" s="741">
        <f t="shared" ref="Z33:AH38" si="21">$AB$10</f>
        <v>0</v>
      </c>
      <c r="AA33" s="740">
        <v>0</v>
      </c>
      <c r="AB33" s="741">
        <f t="shared" si="21"/>
        <v>0</v>
      </c>
      <c r="AC33" s="740">
        <v>0</v>
      </c>
      <c r="AD33" s="741">
        <f t="shared" si="21"/>
        <v>0</v>
      </c>
      <c r="AE33" s="740">
        <v>0</v>
      </c>
      <c r="AF33" s="741">
        <f t="shared" si="21"/>
        <v>0</v>
      </c>
      <c r="AG33" s="740">
        <v>0</v>
      </c>
      <c r="AH33" s="741">
        <f t="shared" si="21"/>
        <v>0</v>
      </c>
      <c r="AL33" s="423">
        <f t="shared" si="0"/>
        <v>0</v>
      </c>
      <c r="AN33" s="599">
        <f t="shared" si="1"/>
        <v>0</v>
      </c>
      <c r="AO33" s="599">
        <f t="shared" si="2"/>
        <v>0</v>
      </c>
      <c r="AP33" s="599">
        <f t="shared" si="3"/>
        <v>0</v>
      </c>
    </row>
    <row r="34" spans="2:42" outlineLevel="1" x14ac:dyDescent="0.3">
      <c r="B34" s="737" t="s">
        <v>435</v>
      </c>
      <c r="C34" s="740">
        <v>0</v>
      </c>
      <c r="D34" s="741">
        <f t="shared" si="14"/>
        <v>0</v>
      </c>
      <c r="E34" s="740">
        <f t="shared" si="19"/>
        <v>0</v>
      </c>
      <c r="F34" s="741">
        <f t="shared" si="15"/>
        <v>0</v>
      </c>
      <c r="G34" s="740">
        <v>0</v>
      </c>
      <c r="H34" s="741">
        <f t="shared" si="16"/>
        <v>0</v>
      </c>
      <c r="I34" s="751">
        <v>0</v>
      </c>
      <c r="J34" s="741">
        <f t="shared" si="17"/>
        <v>0</v>
      </c>
      <c r="K34" s="751">
        <v>0</v>
      </c>
      <c r="L34" s="741">
        <f t="shared" si="18"/>
        <v>0</v>
      </c>
      <c r="M34" s="629"/>
      <c r="N34" s="740">
        <v>0</v>
      </c>
      <c r="O34" s="741">
        <f t="shared" si="20"/>
        <v>0</v>
      </c>
      <c r="P34" s="740">
        <f t="shared" si="10"/>
        <v>0</v>
      </c>
      <c r="Q34" s="741">
        <f t="shared" si="20"/>
        <v>0</v>
      </c>
      <c r="R34" s="740">
        <v>0</v>
      </c>
      <c r="S34" s="741">
        <f t="shared" si="20"/>
        <v>0</v>
      </c>
      <c r="T34" s="740">
        <v>0</v>
      </c>
      <c r="U34" s="741">
        <f t="shared" si="20"/>
        <v>0</v>
      </c>
      <c r="V34" s="740">
        <v>0</v>
      </c>
      <c r="W34" s="741">
        <f t="shared" si="20"/>
        <v>0</v>
      </c>
      <c r="X34" s="647"/>
      <c r="Y34" s="740">
        <v>0</v>
      </c>
      <c r="Z34" s="741">
        <f t="shared" si="21"/>
        <v>0</v>
      </c>
      <c r="AA34" s="740">
        <v>0</v>
      </c>
      <c r="AB34" s="741">
        <f t="shared" si="21"/>
        <v>0</v>
      </c>
      <c r="AC34" s="740">
        <v>0</v>
      </c>
      <c r="AD34" s="741">
        <f t="shared" si="21"/>
        <v>0</v>
      </c>
      <c r="AE34" s="740">
        <v>0</v>
      </c>
      <c r="AF34" s="741">
        <f t="shared" si="21"/>
        <v>0</v>
      </c>
      <c r="AG34" s="740">
        <v>0</v>
      </c>
      <c r="AH34" s="741">
        <f t="shared" si="21"/>
        <v>0</v>
      </c>
      <c r="AL34" s="423">
        <f t="shared" si="0"/>
        <v>0</v>
      </c>
      <c r="AN34" s="599">
        <f t="shared" si="1"/>
        <v>0</v>
      </c>
      <c r="AO34" s="599">
        <f t="shared" si="2"/>
        <v>0</v>
      </c>
      <c r="AP34" s="599">
        <f t="shared" si="3"/>
        <v>0</v>
      </c>
    </row>
    <row r="35" spans="2:42" outlineLevel="1" x14ac:dyDescent="0.3">
      <c r="B35" s="737" t="s">
        <v>436</v>
      </c>
      <c r="C35" s="740">
        <v>0</v>
      </c>
      <c r="D35" s="741">
        <f t="shared" si="14"/>
        <v>0</v>
      </c>
      <c r="E35" s="740">
        <f t="shared" si="19"/>
        <v>0</v>
      </c>
      <c r="F35" s="741">
        <f t="shared" si="15"/>
        <v>0</v>
      </c>
      <c r="G35" s="740">
        <v>0</v>
      </c>
      <c r="H35" s="741">
        <f t="shared" si="16"/>
        <v>0</v>
      </c>
      <c r="I35" s="751">
        <v>0</v>
      </c>
      <c r="J35" s="741">
        <f t="shared" si="17"/>
        <v>0</v>
      </c>
      <c r="K35" s="751">
        <v>0</v>
      </c>
      <c r="L35" s="741">
        <f t="shared" si="18"/>
        <v>0</v>
      </c>
      <c r="M35" s="629"/>
      <c r="N35" s="740">
        <v>0</v>
      </c>
      <c r="O35" s="741">
        <f t="shared" si="20"/>
        <v>0</v>
      </c>
      <c r="P35" s="740">
        <f t="shared" si="10"/>
        <v>0</v>
      </c>
      <c r="Q35" s="741">
        <f t="shared" si="20"/>
        <v>0</v>
      </c>
      <c r="R35" s="740">
        <v>0</v>
      </c>
      <c r="S35" s="741">
        <f t="shared" si="20"/>
        <v>0</v>
      </c>
      <c r="T35" s="740">
        <v>0</v>
      </c>
      <c r="U35" s="741">
        <f t="shared" si="20"/>
        <v>0</v>
      </c>
      <c r="V35" s="740">
        <v>0</v>
      </c>
      <c r="W35" s="741">
        <f t="shared" si="20"/>
        <v>0</v>
      </c>
      <c r="X35" s="647"/>
      <c r="Y35" s="740">
        <v>0</v>
      </c>
      <c r="Z35" s="741">
        <f t="shared" si="21"/>
        <v>0</v>
      </c>
      <c r="AA35" s="740">
        <v>0</v>
      </c>
      <c r="AB35" s="741">
        <f t="shared" si="21"/>
        <v>0</v>
      </c>
      <c r="AC35" s="740">
        <v>0</v>
      </c>
      <c r="AD35" s="741">
        <f t="shared" si="21"/>
        <v>0</v>
      </c>
      <c r="AE35" s="740">
        <v>0</v>
      </c>
      <c r="AF35" s="741">
        <f t="shared" si="21"/>
        <v>0</v>
      </c>
      <c r="AG35" s="740">
        <v>0</v>
      </c>
      <c r="AH35" s="741">
        <f t="shared" si="21"/>
        <v>0</v>
      </c>
      <c r="AL35" s="423">
        <f t="shared" si="0"/>
        <v>0</v>
      </c>
      <c r="AN35" s="599">
        <f t="shared" si="1"/>
        <v>0</v>
      </c>
      <c r="AO35" s="599">
        <f t="shared" si="2"/>
        <v>0</v>
      </c>
      <c r="AP35" s="599">
        <f t="shared" si="3"/>
        <v>0</v>
      </c>
    </row>
    <row r="36" spans="2:42" outlineLevel="1" x14ac:dyDescent="0.3">
      <c r="B36" s="737" t="s">
        <v>429</v>
      </c>
      <c r="C36" s="740">
        <v>0</v>
      </c>
      <c r="D36" s="741">
        <f t="shared" si="14"/>
        <v>0</v>
      </c>
      <c r="E36" s="740">
        <f t="shared" si="19"/>
        <v>0</v>
      </c>
      <c r="F36" s="741">
        <f t="shared" si="15"/>
        <v>0</v>
      </c>
      <c r="G36" s="740">
        <v>0</v>
      </c>
      <c r="H36" s="741">
        <f t="shared" si="16"/>
        <v>0</v>
      </c>
      <c r="I36" s="751">
        <v>0</v>
      </c>
      <c r="J36" s="741">
        <f t="shared" si="17"/>
        <v>0</v>
      </c>
      <c r="K36" s="751">
        <v>0</v>
      </c>
      <c r="L36" s="741">
        <f t="shared" si="18"/>
        <v>0</v>
      </c>
      <c r="M36" s="629"/>
      <c r="N36" s="740">
        <v>0</v>
      </c>
      <c r="O36" s="741">
        <f t="shared" si="20"/>
        <v>0</v>
      </c>
      <c r="P36" s="740">
        <f t="shared" si="10"/>
        <v>0</v>
      </c>
      <c r="Q36" s="741">
        <f t="shared" si="20"/>
        <v>0</v>
      </c>
      <c r="R36" s="740">
        <v>0</v>
      </c>
      <c r="S36" s="741">
        <f t="shared" si="20"/>
        <v>0</v>
      </c>
      <c r="T36" s="740">
        <v>0</v>
      </c>
      <c r="U36" s="741">
        <f t="shared" si="20"/>
        <v>0</v>
      </c>
      <c r="V36" s="740">
        <v>0</v>
      </c>
      <c r="W36" s="741">
        <f t="shared" si="20"/>
        <v>0</v>
      </c>
      <c r="X36" s="647"/>
      <c r="Y36" s="740">
        <v>0</v>
      </c>
      <c r="Z36" s="741">
        <f t="shared" si="21"/>
        <v>0</v>
      </c>
      <c r="AA36" s="740">
        <v>0</v>
      </c>
      <c r="AB36" s="741">
        <f t="shared" si="21"/>
        <v>0</v>
      </c>
      <c r="AC36" s="740">
        <v>0</v>
      </c>
      <c r="AD36" s="741">
        <f t="shared" si="21"/>
        <v>0</v>
      </c>
      <c r="AE36" s="740">
        <v>0</v>
      </c>
      <c r="AF36" s="741">
        <f t="shared" si="21"/>
        <v>0</v>
      </c>
      <c r="AG36" s="740">
        <v>0</v>
      </c>
      <c r="AH36" s="741">
        <f t="shared" si="21"/>
        <v>0</v>
      </c>
      <c r="AL36" s="423">
        <f t="shared" si="0"/>
        <v>0</v>
      </c>
      <c r="AN36" s="599">
        <f t="shared" si="1"/>
        <v>0</v>
      </c>
      <c r="AO36" s="599">
        <f t="shared" si="2"/>
        <v>0</v>
      </c>
      <c r="AP36" s="599">
        <f t="shared" si="3"/>
        <v>0</v>
      </c>
    </row>
    <row r="37" spans="2:42" outlineLevel="1" x14ac:dyDescent="0.3">
      <c r="B37" s="737" t="s">
        <v>430</v>
      </c>
      <c r="C37" s="740">
        <v>0</v>
      </c>
      <c r="D37" s="741">
        <f t="shared" si="14"/>
        <v>0</v>
      </c>
      <c r="E37" s="740">
        <f t="shared" si="19"/>
        <v>0</v>
      </c>
      <c r="F37" s="741">
        <f t="shared" si="15"/>
        <v>0</v>
      </c>
      <c r="G37" s="740">
        <v>0</v>
      </c>
      <c r="H37" s="741">
        <f t="shared" si="16"/>
        <v>0</v>
      </c>
      <c r="I37" s="751">
        <v>0</v>
      </c>
      <c r="J37" s="741">
        <f t="shared" si="17"/>
        <v>0</v>
      </c>
      <c r="K37" s="751">
        <v>0</v>
      </c>
      <c r="L37" s="741">
        <f t="shared" si="18"/>
        <v>0</v>
      </c>
      <c r="M37" s="629"/>
      <c r="N37" s="740">
        <v>0</v>
      </c>
      <c r="O37" s="741">
        <f t="shared" si="20"/>
        <v>0</v>
      </c>
      <c r="P37" s="740">
        <f t="shared" si="10"/>
        <v>0</v>
      </c>
      <c r="Q37" s="741">
        <f t="shared" si="20"/>
        <v>0</v>
      </c>
      <c r="R37" s="740">
        <v>0</v>
      </c>
      <c r="S37" s="741">
        <f t="shared" si="20"/>
        <v>0</v>
      </c>
      <c r="T37" s="740">
        <v>0</v>
      </c>
      <c r="U37" s="741">
        <f t="shared" si="20"/>
        <v>0</v>
      </c>
      <c r="V37" s="740">
        <v>0</v>
      </c>
      <c r="W37" s="741">
        <f t="shared" si="20"/>
        <v>0</v>
      </c>
      <c r="X37" s="647"/>
      <c r="Y37" s="740">
        <v>0</v>
      </c>
      <c r="Z37" s="741">
        <f t="shared" si="21"/>
        <v>0</v>
      </c>
      <c r="AA37" s="740">
        <v>0</v>
      </c>
      <c r="AB37" s="741">
        <f t="shared" si="21"/>
        <v>0</v>
      </c>
      <c r="AC37" s="740">
        <v>0</v>
      </c>
      <c r="AD37" s="741">
        <f t="shared" si="21"/>
        <v>0</v>
      </c>
      <c r="AE37" s="740">
        <v>0</v>
      </c>
      <c r="AF37" s="741">
        <f t="shared" si="21"/>
        <v>0</v>
      </c>
      <c r="AG37" s="740">
        <v>0</v>
      </c>
      <c r="AH37" s="741">
        <f t="shared" si="21"/>
        <v>0</v>
      </c>
      <c r="AL37" s="423">
        <f t="shared" si="0"/>
        <v>0</v>
      </c>
      <c r="AN37" s="599">
        <f t="shared" si="1"/>
        <v>0</v>
      </c>
      <c r="AO37" s="599">
        <f t="shared" si="2"/>
        <v>0</v>
      </c>
      <c r="AP37" s="599">
        <f t="shared" si="3"/>
        <v>0</v>
      </c>
    </row>
    <row r="38" spans="2:42" outlineLevel="1" x14ac:dyDescent="0.3">
      <c r="B38" s="737" t="s">
        <v>431</v>
      </c>
      <c r="C38" s="740">
        <f>C31-SUM(C32:C37)</f>
        <v>0</v>
      </c>
      <c r="D38" s="741">
        <f t="shared" si="14"/>
        <v>0</v>
      </c>
      <c r="E38" s="740">
        <f t="shared" si="19"/>
        <v>0</v>
      </c>
      <c r="F38" s="741">
        <f t="shared" si="15"/>
        <v>0</v>
      </c>
      <c r="G38" s="740">
        <f>G31-SUM(G32:G37)</f>
        <v>0</v>
      </c>
      <c r="H38" s="741">
        <f t="shared" si="16"/>
        <v>0</v>
      </c>
      <c r="I38" s="751">
        <f>I31-SUM(I32:I37)</f>
        <v>0</v>
      </c>
      <c r="J38" s="741">
        <f t="shared" si="17"/>
        <v>0</v>
      </c>
      <c r="K38" s="751">
        <f>K31-SUM(K32:K37)</f>
        <v>0</v>
      </c>
      <c r="L38" s="741">
        <f t="shared" si="18"/>
        <v>0</v>
      </c>
      <c r="M38" s="629"/>
      <c r="N38" s="740">
        <f>N31-SUM(N32:N37)</f>
        <v>0</v>
      </c>
      <c r="O38" s="741">
        <f>$Q$10</f>
        <v>0</v>
      </c>
      <c r="P38" s="740">
        <f t="shared" si="10"/>
        <v>0</v>
      </c>
      <c r="Q38" s="741">
        <f>$Q$10</f>
        <v>0</v>
      </c>
      <c r="R38" s="740">
        <f>R31-SUM(R32:R37)</f>
        <v>0</v>
      </c>
      <c r="S38" s="741">
        <f>$Q$10</f>
        <v>0</v>
      </c>
      <c r="T38" s="740">
        <f>T31-SUM(T32:T37)</f>
        <v>0</v>
      </c>
      <c r="U38" s="741">
        <f>$Q$10</f>
        <v>0</v>
      </c>
      <c r="V38" s="740">
        <f>V31-SUM(V32:V37)</f>
        <v>0</v>
      </c>
      <c r="W38" s="741">
        <f>$Q$10</f>
        <v>0</v>
      </c>
      <c r="X38" s="647"/>
      <c r="Y38" s="740">
        <f>Y31-SUM(Y32:Y37)</f>
        <v>0</v>
      </c>
      <c r="Z38" s="741">
        <f t="shared" si="21"/>
        <v>0</v>
      </c>
      <c r="AA38" s="740">
        <f>AA31-SUM(AA32:AA37)</f>
        <v>0</v>
      </c>
      <c r="AB38" s="741">
        <f t="shared" si="21"/>
        <v>0</v>
      </c>
      <c r="AC38" s="740">
        <f>AC31-SUM(AC32:AC37)</f>
        <v>0</v>
      </c>
      <c r="AD38" s="741">
        <f t="shared" si="21"/>
        <v>0</v>
      </c>
      <c r="AE38" s="740">
        <f>AE31-SUM(AE32:AE37)</f>
        <v>0</v>
      </c>
      <c r="AF38" s="741">
        <f t="shared" si="21"/>
        <v>0</v>
      </c>
      <c r="AG38" s="740">
        <f>AG31-SUM(AG32:AG37)</f>
        <v>0</v>
      </c>
      <c r="AH38" s="741">
        <f t="shared" si="21"/>
        <v>0</v>
      </c>
      <c r="AL38" s="423">
        <f t="shared" si="0"/>
        <v>0</v>
      </c>
      <c r="AN38" s="599">
        <f t="shared" si="1"/>
        <v>0</v>
      </c>
      <c r="AO38" s="599">
        <f t="shared" si="2"/>
        <v>0</v>
      </c>
      <c r="AP38" s="599">
        <f t="shared" si="3"/>
        <v>0</v>
      </c>
    </row>
    <row r="39" spans="2:42" x14ac:dyDescent="0.3">
      <c r="B39" s="336" t="s">
        <v>125</v>
      </c>
      <c r="C39" s="663">
        <v>0</v>
      </c>
      <c r="D39" s="335"/>
      <c r="E39" s="663">
        <f>C39</f>
        <v>0</v>
      </c>
      <c r="F39" s="335"/>
      <c r="G39" s="664"/>
      <c r="H39" s="335"/>
      <c r="I39" s="431"/>
      <c r="J39" s="335"/>
      <c r="K39" s="332"/>
      <c r="L39" s="335"/>
      <c r="M39" s="629"/>
      <c r="N39" s="663">
        <v>0</v>
      </c>
      <c r="O39" s="335"/>
      <c r="P39" s="663">
        <f t="shared" si="10"/>
        <v>0</v>
      </c>
      <c r="Q39" s="335"/>
      <c r="R39" s="664"/>
      <c r="S39" s="335"/>
      <c r="T39" s="664"/>
      <c r="U39" s="335"/>
      <c r="V39" s="663"/>
      <c r="W39" s="335"/>
      <c r="X39" s="647"/>
      <c r="Y39" s="663">
        <v>0</v>
      </c>
      <c r="Z39" s="335"/>
      <c r="AA39" s="663">
        <f>Y39</f>
        <v>0</v>
      </c>
      <c r="AB39" s="335"/>
      <c r="AC39" s="664"/>
      <c r="AD39" s="335"/>
      <c r="AE39" s="664"/>
      <c r="AF39" s="335"/>
      <c r="AG39" s="663"/>
      <c r="AH39" s="335"/>
      <c r="AL39" s="423">
        <f t="shared" si="0"/>
        <v>0</v>
      </c>
      <c r="AN39" s="599">
        <f t="shared" si="1"/>
        <v>0</v>
      </c>
      <c r="AO39" s="599">
        <f t="shared" si="2"/>
        <v>0</v>
      </c>
      <c r="AP39" s="599">
        <f t="shared" si="3"/>
        <v>0</v>
      </c>
    </row>
    <row r="40" spans="2:42" outlineLevel="1" x14ac:dyDescent="0.3">
      <c r="B40" s="737" t="s">
        <v>437</v>
      </c>
      <c r="C40" s="740">
        <v>0</v>
      </c>
      <c r="D40" s="741">
        <f t="shared" ref="D40:D47" si="22">$F$10</f>
        <v>0</v>
      </c>
      <c r="E40" s="740">
        <f>C40</f>
        <v>0</v>
      </c>
      <c r="F40" s="741">
        <f t="shared" ref="F40:F47" si="23">$F$10</f>
        <v>0</v>
      </c>
      <c r="G40" s="740">
        <v>0</v>
      </c>
      <c r="H40" s="741">
        <f t="shared" ref="H40:H47" si="24">$F$10</f>
        <v>0</v>
      </c>
      <c r="I40" s="751">
        <v>0</v>
      </c>
      <c r="J40" s="741">
        <f t="shared" ref="J40:J47" si="25">$F$10</f>
        <v>0</v>
      </c>
      <c r="K40" s="751">
        <v>0</v>
      </c>
      <c r="L40" s="741">
        <f t="shared" ref="L40:L47" si="26">$F$10</f>
        <v>0</v>
      </c>
      <c r="M40" s="629"/>
      <c r="N40" s="740">
        <v>0</v>
      </c>
      <c r="O40" s="741">
        <f>$Q$10</f>
        <v>0</v>
      </c>
      <c r="P40" s="740">
        <f t="shared" si="10"/>
        <v>0</v>
      </c>
      <c r="Q40" s="741">
        <f>$Q$10</f>
        <v>0</v>
      </c>
      <c r="R40" s="740">
        <v>0</v>
      </c>
      <c r="S40" s="741">
        <f>$Q$10</f>
        <v>0</v>
      </c>
      <c r="T40" s="740">
        <v>0</v>
      </c>
      <c r="U40" s="741">
        <f>$Q$10</f>
        <v>0</v>
      </c>
      <c r="V40" s="740">
        <v>0</v>
      </c>
      <c r="W40" s="741">
        <f>$Q$10</f>
        <v>0</v>
      </c>
      <c r="X40" s="647"/>
      <c r="Y40" s="740">
        <v>0</v>
      </c>
      <c r="Z40" s="741">
        <f>$AB$10</f>
        <v>0</v>
      </c>
      <c r="AA40" s="740">
        <v>0</v>
      </c>
      <c r="AB40" s="741">
        <f>$AB$10</f>
        <v>0</v>
      </c>
      <c r="AC40" s="740">
        <v>0</v>
      </c>
      <c r="AD40" s="741">
        <f>$AB$10</f>
        <v>0</v>
      </c>
      <c r="AE40" s="740">
        <v>0</v>
      </c>
      <c r="AF40" s="741">
        <f>$AB$10</f>
        <v>0</v>
      </c>
      <c r="AG40" s="740">
        <v>0</v>
      </c>
      <c r="AH40" s="741">
        <f>$AB$10</f>
        <v>0</v>
      </c>
      <c r="AL40" s="423">
        <f t="shared" si="0"/>
        <v>0</v>
      </c>
      <c r="AN40" s="599">
        <f t="shared" si="1"/>
        <v>0</v>
      </c>
      <c r="AO40" s="599">
        <f t="shared" si="2"/>
        <v>0</v>
      </c>
      <c r="AP40" s="599">
        <f t="shared" si="3"/>
        <v>0</v>
      </c>
    </row>
    <row r="41" spans="2:42" outlineLevel="1" x14ac:dyDescent="0.3">
      <c r="B41" s="737" t="s">
        <v>438</v>
      </c>
      <c r="C41" s="740">
        <v>0</v>
      </c>
      <c r="D41" s="741">
        <f t="shared" si="22"/>
        <v>0</v>
      </c>
      <c r="E41" s="740">
        <f t="shared" ref="E41:E47" si="27">C41</f>
        <v>0</v>
      </c>
      <c r="F41" s="741">
        <f t="shared" si="23"/>
        <v>0</v>
      </c>
      <c r="G41" s="740">
        <v>0</v>
      </c>
      <c r="H41" s="741">
        <f t="shared" si="24"/>
        <v>0</v>
      </c>
      <c r="I41" s="751">
        <v>0</v>
      </c>
      <c r="J41" s="741">
        <f t="shared" si="25"/>
        <v>0</v>
      </c>
      <c r="K41" s="751">
        <v>0</v>
      </c>
      <c r="L41" s="741">
        <f t="shared" si="26"/>
        <v>0</v>
      </c>
      <c r="M41" s="629"/>
      <c r="N41" s="740">
        <v>0</v>
      </c>
      <c r="O41" s="741">
        <f t="shared" ref="O41:W45" si="28">$Q$10</f>
        <v>0</v>
      </c>
      <c r="P41" s="740">
        <f t="shared" si="10"/>
        <v>0</v>
      </c>
      <c r="Q41" s="741">
        <f t="shared" si="28"/>
        <v>0</v>
      </c>
      <c r="R41" s="740">
        <v>0</v>
      </c>
      <c r="S41" s="741">
        <f t="shared" si="28"/>
        <v>0</v>
      </c>
      <c r="T41" s="740">
        <v>0</v>
      </c>
      <c r="U41" s="741">
        <f t="shared" si="28"/>
        <v>0</v>
      </c>
      <c r="V41" s="740">
        <v>0</v>
      </c>
      <c r="W41" s="741">
        <f t="shared" si="28"/>
        <v>0</v>
      </c>
      <c r="X41" s="647"/>
      <c r="Y41" s="740">
        <v>0</v>
      </c>
      <c r="Z41" s="741">
        <f t="shared" ref="Z41:AH47" si="29">$AB$10</f>
        <v>0</v>
      </c>
      <c r="AA41" s="740">
        <v>0</v>
      </c>
      <c r="AB41" s="741">
        <f t="shared" si="29"/>
        <v>0</v>
      </c>
      <c r="AC41" s="740">
        <v>0</v>
      </c>
      <c r="AD41" s="741">
        <f t="shared" si="29"/>
        <v>0</v>
      </c>
      <c r="AE41" s="740">
        <v>0</v>
      </c>
      <c r="AF41" s="741">
        <f t="shared" si="29"/>
        <v>0</v>
      </c>
      <c r="AG41" s="740">
        <v>0</v>
      </c>
      <c r="AH41" s="741">
        <f t="shared" si="29"/>
        <v>0</v>
      </c>
      <c r="AL41" s="423">
        <f t="shared" si="0"/>
        <v>0</v>
      </c>
      <c r="AN41" s="599">
        <f t="shared" si="1"/>
        <v>0</v>
      </c>
      <c r="AO41" s="599">
        <f t="shared" si="2"/>
        <v>0</v>
      </c>
      <c r="AP41" s="599">
        <f t="shared" si="3"/>
        <v>0</v>
      </c>
    </row>
    <row r="42" spans="2:42" outlineLevel="1" x14ac:dyDescent="0.3">
      <c r="B42" s="737" t="s">
        <v>439</v>
      </c>
      <c r="C42" s="740">
        <v>0</v>
      </c>
      <c r="D42" s="741">
        <f t="shared" si="22"/>
        <v>0</v>
      </c>
      <c r="E42" s="740">
        <f t="shared" si="27"/>
        <v>0</v>
      </c>
      <c r="F42" s="741">
        <f t="shared" si="23"/>
        <v>0</v>
      </c>
      <c r="G42" s="740">
        <v>0</v>
      </c>
      <c r="H42" s="741">
        <f t="shared" si="24"/>
        <v>0</v>
      </c>
      <c r="I42" s="751">
        <v>0</v>
      </c>
      <c r="J42" s="741">
        <f t="shared" si="25"/>
        <v>0</v>
      </c>
      <c r="K42" s="751">
        <v>0</v>
      </c>
      <c r="L42" s="741">
        <f t="shared" si="26"/>
        <v>0</v>
      </c>
      <c r="M42" s="629"/>
      <c r="N42" s="740">
        <v>0</v>
      </c>
      <c r="O42" s="741">
        <f t="shared" si="28"/>
        <v>0</v>
      </c>
      <c r="P42" s="740">
        <f t="shared" si="10"/>
        <v>0</v>
      </c>
      <c r="Q42" s="741">
        <f t="shared" si="28"/>
        <v>0</v>
      </c>
      <c r="R42" s="740">
        <v>0</v>
      </c>
      <c r="S42" s="741">
        <f t="shared" si="28"/>
        <v>0</v>
      </c>
      <c r="T42" s="740">
        <v>0</v>
      </c>
      <c r="U42" s="741">
        <f t="shared" si="28"/>
        <v>0</v>
      </c>
      <c r="V42" s="740">
        <v>0</v>
      </c>
      <c r="W42" s="741">
        <f t="shared" si="28"/>
        <v>0</v>
      </c>
      <c r="X42" s="647"/>
      <c r="Y42" s="740">
        <v>0</v>
      </c>
      <c r="Z42" s="741">
        <f t="shared" si="29"/>
        <v>0</v>
      </c>
      <c r="AA42" s="740">
        <v>0</v>
      </c>
      <c r="AB42" s="741">
        <f t="shared" si="29"/>
        <v>0</v>
      </c>
      <c r="AC42" s="740">
        <v>0</v>
      </c>
      <c r="AD42" s="741">
        <f t="shared" si="29"/>
        <v>0</v>
      </c>
      <c r="AE42" s="740">
        <v>0</v>
      </c>
      <c r="AF42" s="741">
        <f t="shared" si="29"/>
        <v>0</v>
      </c>
      <c r="AG42" s="740">
        <v>0</v>
      </c>
      <c r="AH42" s="741">
        <f t="shared" si="29"/>
        <v>0</v>
      </c>
      <c r="AL42" s="423">
        <f t="shared" si="0"/>
        <v>0</v>
      </c>
      <c r="AN42" s="599">
        <f t="shared" si="1"/>
        <v>0</v>
      </c>
      <c r="AO42" s="599">
        <f t="shared" si="2"/>
        <v>0</v>
      </c>
      <c r="AP42" s="599">
        <f t="shared" si="3"/>
        <v>0</v>
      </c>
    </row>
    <row r="43" spans="2:42" outlineLevel="1" x14ac:dyDescent="0.3">
      <c r="B43" s="737" t="s">
        <v>440</v>
      </c>
      <c r="C43" s="740">
        <v>0</v>
      </c>
      <c r="D43" s="741">
        <f t="shared" si="22"/>
        <v>0</v>
      </c>
      <c r="E43" s="740">
        <f t="shared" si="27"/>
        <v>0</v>
      </c>
      <c r="F43" s="741">
        <f t="shared" si="23"/>
        <v>0</v>
      </c>
      <c r="G43" s="740">
        <v>0</v>
      </c>
      <c r="H43" s="741">
        <f t="shared" si="24"/>
        <v>0</v>
      </c>
      <c r="I43" s="751">
        <v>0</v>
      </c>
      <c r="J43" s="741">
        <f t="shared" si="25"/>
        <v>0</v>
      </c>
      <c r="K43" s="751">
        <v>0</v>
      </c>
      <c r="L43" s="741">
        <f t="shared" si="26"/>
        <v>0</v>
      </c>
      <c r="M43" s="629"/>
      <c r="N43" s="740">
        <v>0</v>
      </c>
      <c r="O43" s="741">
        <f t="shared" si="28"/>
        <v>0</v>
      </c>
      <c r="P43" s="740">
        <f t="shared" si="10"/>
        <v>0</v>
      </c>
      <c r="Q43" s="741">
        <f t="shared" si="28"/>
        <v>0</v>
      </c>
      <c r="R43" s="740">
        <v>0</v>
      </c>
      <c r="S43" s="741">
        <f t="shared" si="28"/>
        <v>0</v>
      </c>
      <c r="T43" s="740">
        <v>0</v>
      </c>
      <c r="U43" s="741">
        <f t="shared" si="28"/>
        <v>0</v>
      </c>
      <c r="V43" s="740">
        <v>0</v>
      </c>
      <c r="W43" s="741">
        <f t="shared" si="28"/>
        <v>0</v>
      </c>
      <c r="X43" s="647"/>
      <c r="Y43" s="740">
        <v>0</v>
      </c>
      <c r="Z43" s="741">
        <f t="shared" si="29"/>
        <v>0</v>
      </c>
      <c r="AA43" s="740">
        <v>0</v>
      </c>
      <c r="AB43" s="741">
        <f t="shared" si="29"/>
        <v>0</v>
      </c>
      <c r="AC43" s="740">
        <v>0</v>
      </c>
      <c r="AD43" s="741">
        <f t="shared" si="29"/>
        <v>0</v>
      </c>
      <c r="AE43" s="740">
        <v>0</v>
      </c>
      <c r="AF43" s="741">
        <f t="shared" si="29"/>
        <v>0</v>
      </c>
      <c r="AG43" s="740">
        <v>0</v>
      </c>
      <c r="AH43" s="741">
        <f t="shared" si="29"/>
        <v>0</v>
      </c>
      <c r="AL43" s="423">
        <f t="shared" si="0"/>
        <v>0</v>
      </c>
      <c r="AN43" s="599">
        <f t="shared" si="1"/>
        <v>0</v>
      </c>
      <c r="AO43" s="599">
        <f t="shared" si="2"/>
        <v>0</v>
      </c>
      <c r="AP43" s="599">
        <f t="shared" si="3"/>
        <v>0</v>
      </c>
    </row>
    <row r="44" spans="2:42" outlineLevel="1" x14ac:dyDescent="0.3">
      <c r="B44" s="737" t="s">
        <v>441</v>
      </c>
      <c r="C44" s="740">
        <v>0</v>
      </c>
      <c r="D44" s="741">
        <f t="shared" si="22"/>
        <v>0</v>
      </c>
      <c r="E44" s="740">
        <f t="shared" si="27"/>
        <v>0</v>
      </c>
      <c r="F44" s="741">
        <f t="shared" si="23"/>
        <v>0</v>
      </c>
      <c r="G44" s="740">
        <v>0</v>
      </c>
      <c r="H44" s="741">
        <f t="shared" si="24"/>
        <v>0</v>
      </c>
      <c r="I44" s="751">
        <v>0</v>
      </c>
      <c r="J44" s="741">
        <f t="shared" si="25"/>
        <v>0</v>
      </c>
      <c r="K44" s="751">
        <v>0</v>
      </c>
      <c r="L44" s="741">
        <f t="shared" si="26"/>
        <v>0</v>
      </c>
      <c r="M44" s="629"/>
      <c r="N44" s="740">
        <v>0</v>
      </c>
      <c r="O44" s="741">
        <f t="shared" si="28"/>
        <v>0</v>
      </c>
      <c r="P44" s="740">
        <f t="shared" si="10"/>
        <v>0</v>
      </c>
      <c r="Q44" s="741">
        <f t="shared" si="28"/>
        <v>0</v>
      </c>
      <c r="R44" s="740">
        <v>0</v>
      </c>
      <c r="S44" s="741">
        <f t="shared" si="28"/>
        <v>0</v>
      </c>
      <c r="T44" s="740">
        <v>0</v>
      </c>
      <c r="U44" s="741">
        <f t="shared" si="28"/>
        <v>0</v>
      </c>
      <c r="V44" s="740">
        <v>0</v>
      </c>
      <c r="W44" s="741">
        <f t="shared" si="28"/>
        <v>0</v>
      </c>
      <c r="X44" s="647"/>
      <c r="Y44" s="740">
        <v>0</v>
      </c>
      <c r="Z44" s="741">
        <f t="shared" si="29"/>
        <v>0</v>
      </c>
      <c r="AA44" s="740">
        <v>0</v>
      </c>
      <c r="AB44" s="741">
        <f t="shared" si="29"/>
        <v>0</v>
      </c>
      <c r="AC44" s="740">
        <v>0</v>
      </c>
      <c r="AD44" s="741">
        <f t="shared" si="29"/>
        <v>0</v>
      </c>
      <c r="AE44" s="740">
        <v>0</v>
      </c>
      <c r="AF44" s="741">
        <f t="shared" si="29"/>
        <v>0</v>
      </c>
      <c r="AG44" s="740">
        <v>0</v>
      </c>
      <c r="AH44" s="741">
        <f t="shared" si="29"/>
        <v>0</v>
      </c>
      <c r="AL44" s="423">
        <f t="shared" si="0"/>
        <v>0</v>
      </c>
      <c r="AN44" s="599">
        <f t="shared" si="1"/>
        <v>0</v>
      </c>
      <c r="AO44" s="599">
        <f t="shared" si="2"/>
        <v>0</v>
      </c>
      <c r="AP44" s="599">
        <f t="shared" si="3"/>
        <v>0</v>
      </c>
    </row>
    <row r="45" spans="2:42" outlineLevel="1" x14ac:dyDescent="0.3">
      <c r="B45" s="737" t="s">
        <v>429</v>
      </c>
      <c r="C45" s="740">
        <v>0</v>
      </c>
      <c r="D45" s="741">
        <f t="shared" si="22"/>
        <v>0</v>
      </c>
      <c r="E45" s="740">
        <f t="shared" si="27"/>
        <v>0</v>
      </c>
      <c r="F45" s="741">
        <f t="shared" si="23"/>
        <v>0</v>
      </c>
      <c r="G45" s="740">
        <v>0</v>
      </c>
      <c r="H45" s="741">
        <f t="shared" si="24"/>
        <v>0</v>
      </c>
      <c r="I45" s="751">
        <v>0</v>
      </c>
      <c r="J45" s="741">
        <f t="shared" si="25"/>
        <v>0</v>
      </c>
      <c r="K45" s="751">
        <v>0</v>
      </c>
      <c r="L45" s="741">
        <f t="shared" si="26"/>
        <v>0</v>
      </c>
      <c r="M45" s="629"/>
      <c r="N45" s="740">
        <v>0</v>
      </c>
      <c r="O45" s="741">
        <f t="shared" si="28"/>
        <v>0</v>
      </c>
      <c r="P45" s="740">
        <f t="shared" si="10"/>
        <v>0</v>
      </c>
      <c r="Q45" s="741">
        <f t="shared" si="28"/>
        <v>0</v>
      </c>
      <c r="R45" s="740">
        <v>0</v>
      </c>
      <c r="S45" s="741">
        <f t="shared" si="28"/>
        <v>0</v>
      </c>
      <c r="T45" s="740">
        <v>0</v>
      </c>
      <c r="U45" s="741">
        <f t="shared" si="28"/>
        <v>0</v>
      </c>
      <c r="V45" s="740">
        <v>0</v>
      </c>
      <c r="W45" s="741">
        <f t="shared" si="28"/>
        <v>0</v>
      </c>
      <c r="X45" s="647"/>
      <c r="Y45" s="740">
        <v>0</v>
      </c>
      <c r="Z45" s="741">
        <f t="shared" si="29"/>
        <v>0</v>
      </c>
      <c r="AA45" s="740">
        <v>0</v>
      </c>
      <c r="AB45" s="741">
        <f t="shared" si="29"/>
        <v>0</v>
      </c>
      <c r="AC45" s="740">
        <v>0</v>
      </c>
      <c r="AD45" s="741">
        <f t="shared" si="29"/>
        <v>0</v>
      </c>
      <c r="AE45" s="740">
        <v>0</v>
      </c>
      <c r="AF45" s="741">
        <f t="shared" si="29"/>
        <v>0</v>
      </c>
      <c r="AG45" s="740">
        <v>0</v>
      </c>
      <c r="AH45" s="741">
        <f t="shared" si="29"/>
        <v>0</v>
      </c>
      <c r="AL45" s="423">
        <f t="shared" si="0"/>
        <v>0</v>
      </c>
      <c r="AN45" s="599">
        <f t="shared" si="1"/>
        <v>0</v>
      </c>
      <c r="AO45" s="599">
        <f t="shared" si="2"/>
        <v>0</v>
      </c>
      <c r="AP45" s="599">
        <f t="shared" si="3"/>
        <v>0</v>
      </c>
    </row>
    <row r="46" spans="2:42" outlineLevel="1" x14ac:dyDescent="0.3">
      <c r="B46" s="737" t="s">
        <v>430</v>
      </c>
      <c r="C46" s="740">
        <v>0</v>
      </c>
      <c r="D46" s="741">
        <f t="shared" si="22"/>
        <v>0</v>
      </c>
      <c r="E46" s="740">
        <f t="shared" si="27"/>
        <v>0</v>
      </c>
      <c r="F46" s="741">
        <f t="shared" si="23"/>
        <v>0</v>
      </c>
      <c r="G46" s="740">
        <v>0</v>
      </c>
      <c r="H46" s="741">
        <f t="shared" si="24"/>
        <v>0</v>
      </c>
      <c r="I46" s="751">
        <v>0</v>
      </c>
      <c r="J46" s="741">
        <f t="shared" si="25"/>
        <v>0</v>
      </c>
      <c r="K46" s="751">
        <v>0</v>
      </c>
      <c r="L46" s="741">
        <f t="shared" si="26"/>
        <v>0</v>
      </c>
      <c r="M46" s="629"/>
      <c r="N46" s="740">
        <v>0</v>
      </c>
      <c r="O46" s="741">
        <f>$Q$10</f>
        <v>0</v>
      </c>
      <c r="P46" s="740">
        <f t="shared" si="10"/>
        <v>0</v>
      </c>
      <c r="Q46" s="741">
        <f>$Q$10</f>
        <v>0</v>
      </c>
      <c r="R46" s="740">
        <v>0</v>
      </c>
      <c r="S46" s="741">
        <f>$Q$10</f>
        <v>0</v>
      </c>
      <c r="T46" s="740">
        <v>0</v>
      </c>
      <c r="U46" s="741">
        <f>$Q$10</f>
        <v>0</v>
      </c>
      <c r="V46" s="740">
        <v>0</v>
      </c>
      <c r="W46" s="741">
        <f>$Q$10</f>
        <v>0</v>
      </c>
      <c r="X46" s="647"/>
      <c r="Y46" s="740">
        <v>0</v>
      </c>
      <c r="Z46" s="741">
        <f t="shared" si="29"/>
        <v>0</v>
      </c>
      <c r="AA46" s="740">
        <v>0</v>
      </c>
      <c r="AB46" s="741">
        <f t="shared" si="29"/>
        <v>0</v>
      </c>
      <c r="AC46" s="740">
        <v>0</v>
      </c>
      <c r="AD46" s="741">
        <f t="shared" si="29"/>
        <v>0</v>
      </c>
      <c r="AE46" s="740">
        <v>0</v>
      </c>
      <c r="AF46" s="741">
        <f t="shared" si="29"/>
        <v>0</v>
      </c>
      <c r="AG46" s="740">
        <v>0</v>
      </c>
      <c r="AH46" s="741">
        <f t="shared" si="29"/>
        <v>0</v>
      </c>
      <c r="AL46" s="423">
        <f t="shared" si="0"/>
        <v>0</v>
      </c>
      <c r="AN46" s="599">
        <f t="shared" si="1"/>
        <v>0</v>
      </c>
      <c r="AO46" s="599">
        <f t="shared" si="2"/>
        <v>0</v>
      </c>
      <c r="AP46" s="599">
        <f t="shared" si="3"/>
        <v>0</v>
      </c>
    </row>
    <row r="47" spans="2:42" outlineLevel="1" x14ac:dyDescent="0.3">
      <c r="B47" s="737" t="s">
        <v>431</v>
      </c>
      <c r="C47" s="740">
        <f>C39-SUM(C40:C46)</f>
        <v>0</v>
      </c>
      <c r="D47" s="741">
        <f t="shared" si="22"/>
        <v>0</v>
      </c>
      <c r="E47" s="740">
        <f t="shared" si="27"/>
        <v>0</v>
      </c>
      <c r="F47" s="741">
        <f t="shared" si="23"/>
        <v>0</v>
      </c>
      <c r="G47" s="740">
        <f>G39-SUM(G40:G46)</f>
        <v>0</v>
      </c>
      <c r="H47" s="741">
        <f t="shared" si="24"/>
        <v>0</v>
      </c>
      <c r="I47" s="751">
        <f>I39-SUM(I40:I46)</f>
        <v>0</v>
      </c>
      <c r="J47" s="741">
        <f t="shared" si="25"/>
        <v>0</v>
      </c>
      <c r="K47" s="751">
        <f>K39-SUM(K40:K46)</f>
        <v>0</v>
      </c>
      <c r="L47" s="741">
        <f t="shared" si="26"/>
        <v>0</v>
      </c>
      <c r="M47" s="629"/>
      <c r="N47" s="740">
        <f>N39-SUM(N40:N46)</f>
        <v>0</v>
      </c>
      <c r="O47" s="741">
        <f>$Q$10</f>
        <v>0</v>
      </c>
      <c r="P47" s="740">
        <f t="shared" si="10"/>
        <v>0</v>
      </c>
      <c r="Q47" s="741">
        <f>$Q$10</f>
        <v>0</v>
      </c>
      <c r="R47" s="740">
        <f>R39-SUM(R40:R46)</f>
        <v>0</v>
      </c>
      <c r="S47" s="741">
        <f>$Q$10</f>
        <v>0</v>
      </c>
      <c r="T47" s="740">
        <f>T39-SUM(T40:T46)</f>
        <v>0</v>
      </c>
      <c r="U47" s="741">
        <f>$Q$10</f>
        <v>0</v>
      </c>
      <c r="V47" s="740">
        <f>V39-SUM(V40:V46)</f>
        <v>0</v>
      </c>
      <c r="W47" s="741">
        <f>$Q$10</f>
        <v>0</v>
      </c>
      <c r="X47" s="647"/>
      <c r="Y47" s="740">
        <f>Y39-SUM(Y40:Y46)</f>
        <v>0</v>
      </c>
      <c r="Z47" s="741">
        <f t="shared" si="29"/>
        <v>0</v>
      </c>
      <c r="AA47" s="740">
        <f>AA39-SUM(AA40:AA46)</f>
        <v>0</v>
      </c>
      <c r="AB47" s="741">
        <f t="shared" si="29"/>
        <v>0</v>
      </c>
      <c r="AC47" s="740">
        <f>AC39-SUM(AC40:AC46)</f>
        <v>0</v>
      </c>
      <c r="AD47" s="741">
        <f t="shared" si="29"/>
        <v>0</v>
      </c>
      <c r="AE47" s="740">
        <f>AE39-SUM(AE40:AE46)</f>
        <v>0</v>
      </c>
      <c r="AF47" s="741">
        <f t="shared" si="29"/>
        <v>0</v>
      </c>
      <c r="AG47" s="740">
        <f>AG39-SUM(AG40:AG46)</f>
        <v>0</v>
      </c>
      <c r="AH47" s="741">
        <f t="shared" si="29"/>
        <v>0</v>
      </c>
      <c r="AJ47" s="334"/>
      <c r="AL47" s="423">
        <f t="shared" si="0"/>
        <v>0</v>
      </c>
      <c r="AN47" s="599">
        <f t="shared" si="1"/>
        <v>0</v>
      </c>
      <c r="AO47" s="599">
        <f t="shared" si="2"/>
        <v>0</v>
      </c>
      <c r="AP47" s="599">
        <f t="shared" si="3"/>
        <v>0</v>
      </c>
    </row>
    <row r="48" spans="2:42" x14ac:dyDescent="0.3">
      <c r="B48" s="328" t="s">
        <v>126</v>
      </c>
      <c r="C48" s="670">
        <f>C24+C31+C39</f>
        <v>0</v>
      </c>
      <c r="D48" s="327"/>
      <c r="E48" s="670">
        <f>E24+E31+E39</f>
        <v>0</v>
      </c>
      <c r="F48" s="327"/>
      <c r="G48" s="671">
        <f>G24+G31+G39</f>
        <v>0</v>
      </c>
      <c r="H48" s="327"/>
      <c r="I48" s="432">
        <f>I24+I31+I39</f>
        <v>0</v>
      </c>
      <c r="J48" s="327"/>
      <c r="K48" s="670">
        <f>K24+K31+K39</f>
        <v>0</v>
      </c>
      <c r="L48" s="327"/>
      <c r="M48" s="39"/>
      <c r="N48" s="670">
        <f>N24+N31+N39</f>
        <v>0</v>
      </c>
      <c r="O48" s="327"/>
      <c r="P48" s="670">
        <f>P24+P31+P39</f>
        <v>0</v>
      </c>
      <c r="Q48" s="327"/>
      <c r="R48" s="670">
        <f>R24+R31+R39</f>
        <v>0</v>
      </c>
      <c r="S48" s="327"/>
      <c r="T48" s="670">
        <f>T24+T31+T39</f>
        <v>0</v>
      </c>
      <c r="U48" s="327"/>
      <c r="V48" s="670">
        <f>V24+V31+V39</f>
        <v>0</v>
      </c>
      <c r="W48" s="327"/>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0"/>
        <v>0</v>
      </c>
      <c r="AN48" s="599">
        <f t="shared" si="1"/>
        <v>0</v>
      </c>
      <c r="AO48" s="599">
        <f t="shared" si="2"/>
        <v>0</v>
      </c>
      <c r="AP48" s="599">
        <f t="shared" si="3"/>
        <v>0</v>
      </c>
    </row>
    <row r="49" spans="1:117" x14ac:dyDescent="0.3">
      <c r="B49" s="333" t="s">
        <v>127</v>
      </c>
      <c r="C49" s="663">
        <v>0</v>
      </c>
      <c r="D49" s="331">
        <f>$F$11</f>
        <v>0.21</v>
      </c>
      <c r="E49" s="663">
        <f>C49</f>
        <v>0</v>
      </c>
      <c r="F49" s="331">
        <f>$F$11</f>
        <v>0.21</v>
      </c>
      <c r="G49" s="663"/>
      <c r="H49" s="331">
        <f>$F$11</f>
        <v>0.21</v>
      </c>
      <c r="I49" s="332"/>
      <c r="J49" s="331">
        <f>$F$11</f>
        <v>0.21</v>
      </c>
      <c r="K49" s="332"/>
      <c r="L49" s="331">
        <f>$F$11</f>
        <v>0.21</v>
      </c>
      <c r="M49" s="39"/>
      <c r="N49" s="663">
        <v>0</v>
      </c>
      <c r="O49" s="331">
        <f>$Q$11</f>
        <v>0.21</v>
      </c>
      <c r="P49" s="663">
        <f>N49</f>
        <v>0</v>
      </c>
      <c r="Q49" s="331">
        <f>$Q$11</f>
        <v>0.21</v>
      </c>
      <c r="R49" s="663"/>
      <c r="S49" s="331">
        <f>$Q$11</f>
        <v>0.21</v>
      </c>
      <c r="T49" s="663"/>
      <c r="U49" s="331">
        <f>$Q$11</f>
        <v>0.21</v>
      </c>
      <c r="V49" s="663"/>
      <c r="W49" s="331">
        <f>$Q$11</f>
        <v>0.21</v>
      </c>
      <c r="X49" s="646"/>
      <c r="Y49" s="663">
        <v>0</v>
      </c>
      <c r="Z49" s="331">
        <f>$AB$11</f>
        <v>0.21</v>
      </c>
      <c r="AA49" s="663">
        <f>Y49</f>
        <v>0</v>
      </c>
      <c r="AB49" s="331">
        <f>$AB$11</f>
        <v>0.21</v>
      </c>
      <c r="AC49" s="663"/>
      <c r="AD49" s="331">
        <f>$AB$11</f>
        <v>0.21</v>
      </c>
      <c r="AE49" s="663"/>
      <c r="AF49" s="331">
        <f>$AB$11</f>
        <v>0.21</v>
      </c>
      <c r="AG49" s="663"/>
      <c r="AH49" s="331">
        <f>$AB$11</f>
        <v>0.21</v>
      </c>
      <c r="AL49" s="423">
        <f t="shared" si="0"/>
        <v>0</v>
      </c>
      <c r="AN49" s="599">
        <f t="shared" si="1"/>
        <v>0</v>
      </c>
      <c r="AO49" s="599">
        <f t="shared" si="2"/>
        <v>0</v>
      </c>
      <c r="AP49" s="599">
        <f t="shared" si="3"/>
        <v>0</v>
      </c>
    </row>
    <row r="50" spans="1:117" x14ac:dyDescent="0.3">
      <c r="B50" s="328" t="s">
        <v>443</v>
      </c>
      <c r="C50" s="670">
        <f>SUM(C48+C49)</f>
        <v>0</v>
      </c>
      <c r="D50" s="327"/>
      <c r="E50" s="670">
        <f>SUM(E48+E49)</f>
        <v>0</v>
      </c>
      <c r="F50" s="327"/>
      <c r="G50" s="671">
        <f>SUM(G48+G49)</f>
        <v>0</v>
      </c>
      <c r="H50" s="327"/>
      <c r="I50" s="432">
        <f>SUM(I48:I49)</f>
        <v>0</v>
      </c>
      <c r="J50" s="327"/>
      <c r="K50" s="330">
        <f>SUM(K48:K49)</f>
        <v>0</v>
      </c>
      <c r="L50" s="327"/>
      <c r="M50" s="39"/>
      <c r="N50" s="670">
        <f>SUM(N48+N49)</f>
        <v>0</v>
      </c>
      <c r="O50" s="327"/>
      <c r="P50" s="670">
        <f>SUM(P48+P49)</f>
        <v>0</v>
      </c>
      <c r="Q50" s="327"/>
      <c r="R50" s="670">
        <f>SUM(R48+R49)</f>
        <v>0</v>
      </c>
      <c r="S50" s="327"/>
      <c r="T50" s="670">
        <f>SUM(T48:T49)</f>
        <v>0</v>
      </c>
      <c r="U50" s="327"/>
      <c r="V50" s="670">
        <f>SUM(V48:V49)</f>
        <v>0</v>
      </c>
      <c r="W50" s="327"/>
      <c r="X50" s="646"/>
      <c r="Y50" s="670">
        <f>SUM(Y48+Y49)</f>
        <v>0</v>
      </c>
      <c r="Z50" s="327"/>
      <c r="AA50" s="670">
        <f>SUM(AA48+AA49)</f>
        <v>0</v>
      </c>
      <c r="AB50" s="688"/>
      <c r="AC50" s="671">
        <f>SUM(AC48+AC49)</f>
        <v>0</v>
      </c>
      <c r="AD50" s="688"/>
      <c r="AE50" s="671">
        <f>SUM(AE48:AE49)</f>
        <v>0</v>
      </c>
      <c r="AF50" s="688"/>
      <c r="AG50" s="670">
        <f>SUM(AG48:AG49)</f>
        <v>0</v>
      </c>
      <c r="AH50" s="327"/>
      <c r="AL50" s="423">
        <f t="shared" si="0"/>
        <v>0</v>
      </c>
      <c r="AN50" s="599">
        <f t="shared" si="1"/>
        <v>0</v>
      </c>
      <c r="AO50" s="599">
        <f t="shared" si="2"/>
        <v>0</v>
      </c>
      <c r="AP50" s="599">
        <f t="shared" si="3"/>
        <v>0</v>
      </c>
    </row>
    <row r="51" spans="1:117" x14ac:dyDescent="0.3">
      <c r="B51" s="333" t="s">
        <v>444</v>
      </c>
      <c r="C51" s="665">
        <f>SUM(C52:C53)</f>
        <v>0</v>
      </c>
      <c r="D51" s="656">
        <f>$F$10</f>
        <v>0</v>
      </c>
      <c r="E51" s="665">
        <f>SUM(E52:E53)</f>
        <v>0</v>
      </c>
      <c r="F51" s="656">
        <f>$F$10</f>
        <v>0</v>
      </c>
      <c r="G51" s="665">
        <f>SUM(G52:G53)</f>
        <v>0</v>
      </c>
      <c r="H51" s="656">
        <f>$F$10</f>
        <v>0</v>
      </c>
      <c r="I51" s="665">
        <f>SUM(I52:I53)</f>
        <v>0</v>
      </c>
      <c r="J51" s="656">
        <f>$F$10</f>
        <v>0</v>
      </c>
      <c r="K51" s="665">
        <f>SUM(K52:K53)</f>
        <v>0</v>
      </c>
      <c r="L51" s="656">
        <f>$F$10</f>
        <v>0</v>
      </c>
      <c r="M51" s="628"/>
      <c r="N51" s="665">
        <v>0</v>
      </c>
      <c r="O51" s="656">
        <f>$Q$10</f>
        <v>0</v>
      </c>
      <c r="P51" s="665">
        <f>N51</f>
        <v>0</v>
      </c>
      <c r="Q51" s="656">
        <f>$Q$10</f>
        <v>0</v>
      </c>
      <c r="R51" s="665">
        <f>SUM(R52:R53)</f>
        <v>0</v>
      </c>
      <c r="S51" s="656">
        <f>$F$10</f>
        <v>0</v>
      </c>
      <c r="T51" s="665">
        <f>SUM(T52:T53)</f>
        <v>0</v>
      </c>
      <c r="U51" s="656">
        <f>$F$10</f>
        <v>0</v>
      </c>
      <c r="V51" s="665">
        <f>SUM(V52:V53)</f>
        <v>0</v>
      </c>
      <c r="W51" s="656">
        <f>$Q$10</f>
        <v>0</v>
      </c>
      <c r="X51" s="648"/>
      <c r="Y51" s="665">
        <v>0</v>
      </c>
      <c r="Z51" s="656">
        <f>$AB$10</f>
        <v>0</v>
      </c>
      <c r="AA51" s="663">
        <f t="shared" ref="AA51:AA56" si="30">Y51</f>
        <v>0</v>
      </c>
      <c r="AB51" s="656">
        <f>$AB$10</f>
        <v>0</v>
      </c>
      <c r="AC51" s="665">
        <f>SUM(AC52:AC53)</f>
        <v>0</v>
      </c>
      <c r="AD51" s="656">
        <f>$F$10</f>
        <v>0</v>
      </c>
      <c r="AE51" s="665">
        <f>SUM(AE52:AE53)</f>
        <v>0</v>
      </c>
      <c r="AF51" s="656">
        <f>$F$10</f>
        <v>0</v>
      </c>
      <c r="AG51" s="665">
        <f>SUM(AG52:AG53)</f>
        <v>0</v>
      </c>
      <c r="AH51" s="656">
        <f>$AB$10</f>
        <v>0</v>
      </c>
      <c r="AL51" s="819">
        <f t="shared" si="0"/>
        <v>0</v>
      </c>
      <c r="AN51" s="599">
        <f t="shared" si="1"/>
        <v>0</v>
      </c>
      <c r="AO51" s="599">
        <f t="shared" si="2"/>
        <v>0</v>
      </c>
      <c r="AP51" s="599">
        <f t="shared" si="3"/>
        <v>0</v>
      </c>
    </row>
    <row r="52" spans="1:117" x14ac:dyDescent="0.3">
      <c r="B52" s="737" t="s">
        <v>445</v>
      </c>
      <c r="C52" s="740">
        <v>0</v>
      </c>
      <c r="D52" s="743">
        <f>$F$10</f>
        <v>0</v>
      </c>
      <c r="E52" s="740">
        <v>0</v>
      </c>
      <c r="F52" s="743"/>
      <c r="G52" s="740">
        <v>0</v>
      </c>
      <c r="H52" s="743"/>
      <c r="I52" s="740">
        <v>0</v>
      </c>
      <c r="J52" s="743"/>
      <c r="K52" s="740">
        <v>0</v>
      </c>
      <c r="L52" s="743"/>
      <c r="M52" s="628"/>
      <c r="N52" s="740">
        <v>0</v>
      </c>
      <c r="O52" s="743">
        <f t="shared" ref="O52:W54" si="31">$Q$10</f>
        <v>0</v>
      </c>
      <c r="P52" s="740">
        <v>0</v>
      </c>
      <c r="Q52" s="743">
        <f t="shared" si="31"/>
        <v>0</v>
      </c>
      <c r="R52" s="740">
        <v>0</v>
      </c>
      <c r="S52" s="743"/>
      <c r="T52" s="740">
        <v>0</v>
      </c>
      <c r="U52" s="743"/>
      <c r="V52" s="740">
        <v>0</v>
      </c>
      <c r="W52" s="743">
        <f t="shared" si="31"/>
        <v>0</v>
      </c>
      <c r="X52" s="648"/>
      <c r="Y52" s="740">
        <v>0</v>
      </c>
      <c r="Z52" s="743">
        <f t="shared" ref="Z52:AH54" si="32">$AB$10</f>
        <v>0</v>
      </c>
      <c r="AA52" s="740">
        <f t="shared" si="30"/>
        <v>0</v>
      </c>
      <c r="AB52" s="743">
        <f t="shared" si="32"/>
        <v>0</v>
      </c>
      <c r="AC52" s="740">
        <v>0</v>
      </c>
      <c r="AD52" s="743"/>
      <c r="AE52" s="740">
        <v>0</v>
      </c>
      <c r="AF52" s="743"/>
      <c r="AG52" s="740">
        <v>0</v>
      </c>
      <c r="AH52" s="743">
        <f t="shared" si="32"/>
        <v>0</v>
      </c>
      <c r="AL52" s="423">
        <f t="shared" si="0"/>
        <v>0</v>
      </c>
      <c r="AN52" s="599"/>
      <c r="AO52" s="599"/>
      <c r="AP52" s="599"/>
    </row>
    <row r="53" spans="1:117" x14ac:dyDescent="0.3">
      <c r="B53" s="737" t="s">
        <v>446</v>
      </c>
      <c r="C53" s="740">
        <v>0</v>
      </c>
      <c r="D53" s="743">
        <f>$F$10</f>
        <v>0</v>
      </c>
      <c r="E53" s="740">
        <v>0</v>
      </c>
      <c r="F53" s="743"/>
      <c r="G53" s="740">
        <v>0</v>
      </c>
      <c r="H53" s="743"/>
      <c r="I53" s="740">
        <v>0</v>
      </c>
      <c r="J53" s="743"/>
      <c r="K53" s="740">
        <v>0</v>
      </c>
      <c r="L53" s="743"/>
      <c r="M53" s="628"/>
      <c r="N53" s="740">
        <v>0</v>
      </c>
      <c r="O53" s="743">
        <f t="shared" si="31"/>
        <v>0</v>
      </c>
      <c r="P53" s="740">
        <v>0</v>
      </c>
      <c r="Q53" s="743">
        <f t="shared" si="31"/>
        <v>0</v>
      </c>
      <c r="R53" s="740">
        <v>0</v>
      </c>
      <c r="S53" s="743"/>
      <c r="T53" s="740">
        <v>0</v>
      </c>
      <c r="U53" s="743"/>
      <c r="V53" s="740">
        <v>0</v>
      </c>
      <c r="W53" s="743">
        <f t="shared" si="31"/>
        <v>0</v>
      </c>
      <c r="X53" s="648"/>
      <c r="Y53" s="740">
        <v>0</v>
      </c>
      <c r="Z53" s="743">
        <f t="shared" si="32"/>
        <v>0</v>
      </c>
      <c r="AA53" s="740">
        <f t="shared" si="30"/>
        <v>0</v>
      </c>
      <c r="AB53" s="743">
        <f t="shared" si="32"/>
        <v>0</v>
      </c>
      <c r="AC53" s="740">
        <v>0</v>
      </c>
      <c r="AD53" s="743"/>
      <c r="AE53" s="740">
        <v>0</v>
      </c>
      <c r="AF53" s="743"/>
      <c r="AG53" s="740">
        <v>0</v>
      </c>
      <c r="AH53" s="743">
        <f t="shared" si="32"/>
        <v>0</v>
      </c>
      <c r="AL53" s="423">
        <f t="shared" si="0"/>
        <v>0</v>
      </c>
      <c r="AN53" s="599"/>
      <c r="AO53" s="599"/>
      <c r="AP53" s="599"/>
    </row>
    <row r="54" spans="1:117" x14ac:dyDescent="0.3">
      <c r="B54" s="333" t="s">
        <v>447</v>
      </c>
      <c r="C54" s="665">
        <v>0</v>
      </c>
      <c r="D54" s="656">
        <f>$F$10</f>
        <v>0</v>
      </c>
      <c r="E54" s="665">
        <f t="shared" ref="E54" si="33">C54</f>
        <v>0</v>
      </c>
      <c r="F54" s="656">
        <f>$F$10</f>
        <v>0</v>
      </c>
      <c r="G54" s="665">
        <v>0</v>
      </c>
      <c r="H54" s="656">
        <f>$F$10</f>
        <v>0</v>
      </c>
      <c r="I54" s="665">
        <v>0</v>
      </c>
      <c r="J54" s="656">
        <f>$F$10</f>
        <v>0</v>
      </c>
      <c r="K54" s="665">
        <v>0</v>
      </c>
      <c r="L54" s="656">
        <f>$F$10</f>
        <v>0</v>
      </c>
      <c r="M54" s="628"/>
      <c r="N54" s="665">
        <v>0</v>
      </c>
      <c r="O54" s="656">
        <f t="shared" si="31"/>
        <v>0</v>
      </c>
      <c r="P54" s="665">
        <v>0</v>
      </c>
      <c r="Q54" s="656">
        <f t="shared" si="31"/>
        <v>0</v>
      </c>
      <c r="R54" s="665">
        <v>0</v>
      </c>
      <c r="S54" s="656">
        <f>$F$10</f>
        <v>0</v>
      </c>
      <c r="T54" s="665">
        <v>0</v>
      </c>
      <c r="U54" s="656">
        <f>$F$10</f>
        <v>0</v>
      </c>
      <c r="V54" s="665">
        <v>0</v>
      </c>
      <c r="W54" s="656">
        <f t="shared" si="31"/>
        <v>0</v>
      </c>
      <c r="X54" s="648"/>
      <c r="Y54" s="665">
        <v>0</v>
      </c>
      <c r="Z54" s="656">
        <f t="shared" si="32"/>
        <v>0</v>
      </c>
      <c r="AA54" s="663">
        <f t="shared" si="30"/>
        <v>0</v>
      </c>
      <c r="AB54" s="656">
        <f t="shared" si="32"/>
        <v>0</v>
      </c>
      <c r="AC54" s="665">
        <v>0</v>
      </c>
      <c r="AD54" s="656">
        <f>$F$10</f>
        <v>0</v>
      </c>
      <c r="AE54" s="665">
        <v>0</v>
      </c>
      <c r="AF54" s="656">
        <f>$F$10</f>
        <v>0</v>
      </c>
      <c r="AG54" s="665">
        <v>0</v>
      </c>
      <c r="AH54" s="656">
        <f t="shared" si="32"/>
        <v>0</v>
      </c>
      <c r="AL54" s="819">
        <f t="shared" si="0"/>
        <v>0</v>
      </c>
      <c r="AN54" s="599"/>
      <c r="AO54" s="599"/>
      <c r="AP54" s="599"/>
    </row>
    <row r="55" spans="1:117" s="669" customFormat="1" x14ac:dyDescent="0.3">
      <c r="A55"/>
      <c r="B55" s="333" t="s">
        <v>335</v>
      </c>
      <c r="C55" s="665">
        <f ca="1">IFERROR(kunst!$B$11*(('Overzicht BTA'!D18+'Overzicht BTA'!F19+'Overzicht BTA'!D19)/'Overzicht project'!$E$66),0)</f>
        <v>0</v>
      </c>
      <c r="D55" s="335">
        <v>0.06</v>
      </c>
      <c r="E55" s="665">
        <f ca="1">C55</f>
        <v>0</v>
      </c>
      <c r="F55" s="335">
        <v>0.06</v>
      </c>
      <c r="G55" s="665">
        <v>0</v>
      </c>
      <c r="H55" s="335">
        <v>0.06</v>
      </c>
      <c r="I55" s="665">
        <v>0</v>
      </c>
      <c r="J55" s="335">
        <v>0.06</v>
      </c>
      <c r="K55" s="665">
        <v>0</v>
      </c>
      <c r="L55" s="335">
        <v>0.06</v>
      </c>
      <c r="M55" s="629"/>
      <c r="N55" s="665">
        <f ca="1">IFERROR(kunst!$B$11*(('Overzicht BTA'!J19+'Overzicht BTA'!L19+'Overzicht BTA'!J18)/'Overzicht project'!$E$66),0)</f>
        <v>0</v>
      </c>
      <c r="O55" s="335">
        <v>0.06</v>
      </c>
      <c r="P55" s="665">
        <f ca="1">N55</f>
        <v>0</v>
      </c>
      <c r="Q55" s="335">
        <v>0.06</v>
      </c>
      <c r="R55" s="665">
        <v>0</v>
      </c>
      <c r="S55" s="335">
        <v>0.06</v>
      </c>
      <c r="T55" s="665">
        <v>0</v>
      </c>
      <c r="U55" s="335">
        <v>0.06</v>
      </c>
      <c r="V55" s="665">
        <v>0</v>
      </c>
      <c r="W55" s="335">
        <v>0.06</v>
      </c>
      <c r="X55" s="647"/>
      <c r="Y55" s="665">
        <f ca="1">IFERROR(kunst!$B$11*(('Overzicht BTA'!$P$19+'Overzicht BTA'!$R$19+'Overzicht BTA'!$P$18)/'Overzicht project'!$E$66),0)</f>
        <v>0</v>
      </c>
      <c r="Z55" s="335">
        <v>0.06</v>
      </c>
      <c r="AA55" s="665">
        <f t="shared" ca="1" si="30"/>
        <v>0</v>
      </c>
      <c r="AB55" s="335">
        <v>0.06</v>
      </c>
      <c r="AC55" s="665">
        <v>0</v>
      </c>
      <c r="AD55" s="335">
        <v>0.06</v>
      </c>
      <c r="AE55" s="665">
        <v>0</v>
      </c>
      <c r="AF55" s="335">
        <v>0.06</v>
      </c>
      <c r="AG55" s="665">
        <v>0</v>
      </c>
      <c r="AH55" s="335">
        <v>0.06</v>
      </c>
      <c r="AI55"/>
      <c r="AJ55"/>
      <c r="AK55"/>
      <c r="AL55" s="423">
        <f t="shared" si="0"/>
        <v>0</v>
      </c>
      <c r="AM55"/>
      <c r="AN55" s="599">
        <f>IFERROR(K55*$AP$5/$AS$5,0)</f>
        <v>0</v>
      </c>
      <c r="AO55" s="599">
        <f>IFERROR(K55*$AQ$5/$AS$5,0)</f>
        <v>0</v>
      </c>
      <c r="AP55" s="599">
        <f>IFERROR(K55*$AR$5/$AS$5,0)</f>
        <v>0</v>
      </c>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row>
    <row r="56" spans="1:117" s="669" customFormat="1" x14ac:dyDescent="0.3">
      <c r="A56"/>
      <c r="B56" s="333" t="s">
        <v>448</v>
      </c>
      <c r="C56" s="665">
        <v>0</v>
      </c>
      <c r="D56" s="656">
        <f>$F$11</f>
        <v>0.21</v>
      </c>
      <c r="E56" s="665">
        <f t="shared" ref="E56:E57" si="34">C56</f>
        <v>0</v>
      </c>
      <c r="F56" s="656">
        <f>$F$11</f>
        <v>0.21</v>
      </c>
      <c r="G56" s="665">
        <v>0</v>
      </c>
      <c r="H56" s="656">
        <f>$F$11</f>
        <v>0.21</v>
      </c>
      <c r="I56" s="665">
        <v>0</v>
      </c>
      <c r="J56" s="656">
        <f>$F$11</f>
        <v>0.21</v>
      </c>
      <c r="K56" s="665">
        <v>0</v>
      </c>
      <c r="L56" s="656">
        <f>$F$11</f>
        <v>0.21</v>
      </c>
      <c r="M56" s="629"/>
      <c r="N56" s="665">
        <v>0</v>
      </c>
      <c r="O56" s="656">
        <f t="shared" ref="O56:W56" si="35">$Q$11</f>
        <v>0.21</v>
      </c>
      <c r="P56" s="665">
        <f t="shared" ref="P56" si="36">N56</f>
        <v>0</v>
      </c>
      <c r="Q56" s="656">
        <f t="shared" si="35"/>
        <v>0.21</v>
      </c>
      <c r="R56" s="665">
        <v>0</v>
      </c>
      <c r="S56" s="656">
        <f>$F$11</f>
        <v>0.21</v>
      </c>
      <c r="T56" s="665">
        <v>0</v>
      </c>
      <c r="U56" s="656">
        <f>$F$11</f>
        <v>0.21</v>
      </c>
      <c r="V56" s="665">
        <v>0</v>
      </c>
      <c r="W56" s="656">
        <f t="shared" si="35"/>
        <v>0.21</v>
      </c>
      <c r="X56" s="647"/>
      <c r="Y56" s="665">
        <v>0</v>
      </c>
      <c r="Z56" s="656">
        <f t="shared" ref="Z56:AH56" si="37">$AB$11</f>
        <v>0.21</v>
      </c>
      <c r="AA56" s="663">
        <f t="shared" si="30"/>
        <v>0</v>
      </c>
      <c r="AB56" s="656">
        <f t="shared" si="37"/>
        <v>0.21</v>
      </c>
      <c r="AC56" s="665">
        <v>0</v>
      </c>
      <c r="AD56" s="656">
        <f>$F$11</f>
        <v>0.21</v>
      </c>
      <c r="AE56" s="665">
        <v>0</v>
      </c>
      <c r="AF56" s="656">
        <f>$F$11</f>
        <v>0.21</v>
      </c>
      <c r="AG56" s="665">
        <v>0</v>
      </c>
      <c r="AH56" s="656">
        <f t="shared" si="37"/>
        <v>0.21</v>
      </c>
      <c r="AI56"/>
      <c r="AJ56"/>
      <c r="AK56"/>
      <c r="AL56" s="423"/>
      <c r="AM56"/>
      <c r="AN56" s="599"/>
      <c r="AO56" s="599"/>
      <c r="AP56" s="599"/>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1456</v>
      </c>
      <c r="C57" s="665">
        <v>0</v>
      </c>
      <c r="D57" s="656">
        <f>$F$10</f>
        <v>0</v>
      </c>
      <c r="E57" s="665">
        <f t="shared" si="34"/>
        <v>0</v>
      </c>
      <c r="F57" s="656">
        <f>$F$10</f>
        <v>0</v>
      </c>
      <c r="G57" s="665">
        <v>0</v>
      </c>
      <c r="H57" s="656">
        <f>$F$10</f>
        <v>0</v>
      </c>
      <c r="I57" s="665">
        <v>0</v>
      </c>
      <c r="J57" s="656">
        <f>$F$10</f>
        <v>0</v>
      </c>
      <c r="K57" s="665">
        <v>0</v>
      </c>
      <c r="L57" s="656">
        <f>$F$10</f>
        <v>0</v>
      </c>
      <c r="M57" s="628"/>
      <c r="N57" s="665">
        <v>0</v>
      </c>
      <c r="O57" s="656">
        <f t="shared" ref="O57:W57" si="38">$Q$10</f>
        <v>0</v>
      </c>
      <c r="P57" s="665">
        <v>0</v>
      </c>
      <c r="Q57" s="656">
        <f t="shared" si="38"/>
        <v>0</v>
      </c>
      <c r="R57" s="665">
        <v>0</v>
      </c>
      <c r="S57" s="656">
        <f>$F$10</f>
        <v>0</v>
      </c>
      <c r="T57" s="665">
        <v>0</v>
      </c>
      <c r="U57" s="656">
        <f>$F$10</f>
        <v>0</v>
      </c>
      <c r="V57" s="665">
        <v>0</v>
      </c>
      <c r="W57" s="656">
        <f t="shared" si="38"/>
        <v>0</v>
      </c>
      <c r="X57" s="648"/>
      <c r="Y57" s="665">
        <v>0</v>
      </c>
      <c r="Z57" s="656">
        <f t="shared" ref="Z57" si="39">$AB$10</f>
        <v>0</v>
      </c>
      <c r="AA57" s="663"/>
      <c r="AB57" s="656"/>
      <c r="AC57" s="665"/>
      <c r="AD57" s="656"/>
      <c r="AE57" s="665"/>
      <c r="AF57" s="656"/>
      <c r="AG57" s="665"/>
      <c r="AH57" s="656"/>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x14ac:dyDescent="0.3">
      <c r="B58" s="737" t="s">
        <v>450</v>
      </c>
      <c r="C58" s="740">
        <v>0</v>
      </c>
      <c r="D58" s="743">
        <f>$F$10</f>
        <v>0</v>
      </c>
      <c r="E58" s="740">
        <v>0</v>
      </c>
      <c r="F58" s="743">
        <f>$F$10</f>
        <v>0</v>
      </c>
      <c r="G58" s="740">
        <v>0</v>
      </c>
      <c r="H58" s="741">
        <v>0.21</v>
      </c>
      <c r="I58" s="740">
        <v>0</v>
      </c>
      <c r="J58" s="741">
        <v>0.21</v>
      </c>
      <c r="K58" s="740">
        <v>0</v>
      </c>
      <c r="L58" s="741">
        <v>0.21</v>
      </c>
      <c r="M58" s="629"/>
      <c r="N58" s="740">
        <v>0</v>
      </c>
      <c r="O58" s="743">
        <f>$Q$10</f>
        <v>0</v>
      </c>
      <c r="P58" s="740">
        <v>0</v>
      </c>
      <c r="Q58" s="743">
        <f>$Q$10</f>
        <v>0</v>
      </c>
      <c r="R58" s="740">
        <v>0</v>
      </c>
      <c r="S58" s="741">
        <v>0.21</v>
      </c>
      <c r="T58" s="740">
        <v>0</v>
      </c>
      <c r="U58" s="741">
        <v>0.21</v>
      </c>
      <c r="V58" s="740">
        <v>0</v>
      </c>
      <c r="W58" s="743">
        <f>$Q$10</f>
        <v>0</v>
      </c>
      <c r="X58" s="647"/>
      <c r="Y58" s="740">
        <v>0</v>
      </c>
      <c r="Z58" s="743">
        <f>$AB$10</f>
        <v>0</v>
      </c>
      <c r="AA58" s="740">
        <f>Y58</f>
        <v>0</v>
      </c>
      <c r="AB58" s="743">
        <f>$AB$10</f>
        <v>0</v>
      </c>
      <c r="AC58" s="740">
        <v>0</v>
      </c>
      <c r="AD58" s="741">
        <v>0.21</v>
      </c>
      <c r="AE58" s="740">
        <v>0</v>
      </c>
      <c r="AF58" s="741">
        <v>0.21</v>
      </c>
      <c r="AG58" s="740">
        <v>0</v>
      </c>
      <c r="AH58" s="743">
        <f>$AB$10</f>
        <v>0</v>
      </c>
      <c r="AL58" s="423">
        <f t="shared" ref="AL58:AL79" si="40">AG58+V58+K58</f>
        <v>0</v>
      </c>
      <c r="AN58" s="599">
        <f t="shared" ref="AN58:AN65" si="41">IFERROR(K58*$AO$4/$AR$4,0)</f>
        <v>0</v>
      </c>
      <c r="AO58" s="599">
        <f t="shared" ref="AO58:AO65" si="42">IFERROR(K58*$AP$4/$AR$4,0)</f>
        <v>0</v>
      </c>
      <c r="AP58" s="599">
        <f t="shared" ref="AP58:AP65" si="43">IFERROR(K58*$AQ$4/$AR$4,0)</f>
        <v>0</v>
      </c>
    </row>
    <row r="59" spans="1:117" x14ac:dyDescent="0.3">
      <c r="B59" s="737" t="s">
        <v>451</v>
      </c>
      <c r="C59" s="740">
        <v>0</v>
      </c>
      <c r="D59" s="741">
        <f>$F$10</f>
        <v>0</v>
      </c>
      <c r="E59" s="740">
        <v>0</v>
      </c>
      <c r="F59" s="741">
        <f>$F$10</f>
        <v>0</v>
      </c>
      <c r="G59" s="740">
        <v>0</v>
      </c>
      <c r="H59" s="741">
        <f>$F$10</f>
        <v>0</v>
      </c>
      <c r="I59" s="740">
        <v>0</v>
      </c>
      <c r="J59" s="741">
        <f>$F$10</f>
        <v>0</v>
      </c>
      <c r="K59" s="740">
        <v>0</v>
      </c>
      <c r="L59" s="741">
        <f>$F$10</f>
        <v>0</v>
      </c>
      <c r="M59" s="629"/>
      <c r="N59" s="740">
        <v>0</v>
      </c>
      <c r="O59" s="741">
        <f>$F$10</f>
        <v>0</v>
      </c>
      <c r="P59" s="740">
        <v>0</v>
      </c>
      <c r="Q59" s="741">
        <f>$F$10</f>
        <v>0</v>
      </c>
      <c r="R59" s="740">
        <v>0</v>
      </c>
      <c r="S59" s="741">
        <f>$F$10</f>
        <v>0</v>
      </c>
      <c r="T59" s="740">
        <v>0</v>
      </c>
      <c r="U59" s="741">
        <f>$F$10</f>
        <v>0</v>
      </c>
      <c r="V59" s="740">
        <v>0</v>
      </c>
      <c r="W59" s="741">
        <f>$F$10</f>
        <v>0</v>
      </c>
      <c r="X59" s="647"/>
      <c r="Y59" s="740">
        <v>0</v>
      </c>
      <c r="Z59" s="743">
        <f t="shared" ref="Z59:AH60" si="44">$AB$10</f>
        <v>0</v>
      </c>
      <c r="AA59" s="740">
        <f t="shared" ref="AA59:AA60" si="45">Y59</f>
        <v>0</v>
      </c>
      <c r="AB59" s="743">
        <f t="shared" si="44"/>
        <v>0</v>
      </c>
      <c r="AC59" s="740">
        <v>0</v>
      </c>
      <c r="AD59" s="741">
        <f>$F$10</f>
        <v>0</v>
      </c>
      <c r="AE59" s="740">
        <v>0</v>
      </c>
      <c r="AF59" s="741">
        <f>$F$10</f>
        <v>0</v>
      </c>
      <c r="AG59" s="740">
        <v>0</v>
      </c>
      <c r="AH59" s="743">
        <f t="shared" si="44"/>
        <v>0</v>
      </c>
      <c r="AL59" s="423">
        <f t="shared" si="40"/>
        <v>0</v>
      </c>
      <c r="AN59" s="599">
        <f t="shared" si="41"/>
        <v>0</v>
      </c>
      <c r="AO59" s="599">
        <f t="shared" si="42"/>
        <v>0</v>
      </c>
      <c r="AP59" s="599">
        <f t="shared" si="43"/>
        <v>0</v>
      </c>
    </row>
    <row r="60" spans="1:117" x14ac:dyDescent="0.3">
      <c r="B60" s="737" t="s">
        <v>452</v>
      </c>
      <c r="C60" s="740">
        <v>0</v>
      </c>
      <c r="D60" s="741">
        <f>$F$10</f>
        <v>0</v>
      </c>
      <c r="E60" s="740">
        <v>0</v>
      </c>
      <c r="F60" s="741">
        <f>$F$10</f>
        <v>0</v>
      </c>
      <c r="G60" s="740">
        <v>0</v>
      </c>
      <c r="H60" s="741">
        <f>$F$10</f>
        <v>0</v>
      </c>
      <c r="I60" s="740">
        <v>0</v>
      </c>
      <c r="J60" s="741">
        <f>$F$10</f>
        <v>0</v>
      </c>
      <c r="K60" s="740">
        <v>0</v>
      </c>
      <c r="L60" s="741">
        <f>$F$10</f>
        <v>0</v>
      </c>
      <c r="M60" s="629"/>
      <c r="N60" s="740">
        <v>0</v>
      </c>
      <c r="O60" s="741">
        <f>$F$10</f>
        <v>0</v>
      </c>
      <c r="P60" s="740">
        <v>0</v>
      </c>
      <c r="Q60" s="741">
        <f>$F$10</f>
        <v>0</v>
      </c>
      <c r="R60" s="740">
        <v>0</v>
      </c>
      <c r="S60" s="741">
        <f>$F$10</f>
        <v>0</v>
      </c>
      <c r="T60" s="740">
        <v>0</v>
      </c>
      <c r="U60" s="741">
        <f>$F$10</f>
        <v>0</v>
      </c>
      <c r="V60" s="740">
        <v>0</v>
      </c>
      <c r="W60" s="741">
        <f>$F$10</f>
        <v>0</v>
      </c>
      <c r="X60" s="647"/>
      <c r="Y60" s="740">
        <v>0</v>
      </c>
      <c r="Z60" s="743">
        <f t="shared" si="44"/>
        <v>0</v>
      </c>
      <c r="AA60" s="740">
        <f t="shared" si="45"/>
        <v>0</v>
      </c>
      <c r="AB60" s="743">
        <f t="shared" si="44"/>
        <v>0</v>
      </c>
      <c r="AC60" s="740">
        <v>0</v>
      </c>
      <c r="AD60" s="741">
        <f>$F$10</f>
        <v>0</v>
      </c>
      <c r="AE60" s="740">
        <v>0</v>
      </c>
      <c r="AF60" s="741">
        <f>$F$10</f>
        <v>0</v>
      </c>
      <c r="AG60" s="740">
        <v>0</v>
      </c>
      <c r="AH60" s="743">
        <f t="shared" si="44"/>
        <v>0</v>
      </c>
      <c r="AL60" s="423">
        <f t="shared" si="40"/>
        <v>0</v>
      </c>
      <c r="AN60" s="599">
        <f t="shared" si="41"/>
        <v>0</v>
      </c>
      <c r="AO60" s="599">
        <f t="shared" si="42"/>
        <v>0</v>
      </c>
      <c r="AP60" s="599">
        <f t="shared" si="43"/>
        <v>0</v>
      </c>
    </row>
    <row r="61" spans="1:117" x14ac:dyDescent="0.3">
      <c r="B61" s="328" t="s">
        <v>282</v>
      </c>
      <c r="C61" s="670">
        <f ca="1">C50+C51+C54+C55+C56+C57+C58+C59+C60</f>
        <v>0</v>
      </c>
      <c r="D61" s="327"/>
      <c r="E61" s="670">
        <f ca="1">E50+E51+E54+E55+E56+E57+E58+E59+E60</f>
        <v>0</v>
      </c>
      <c r="F61" s="327"/>
      <c r="G61" s="670">
        <f>G50+G51+G54+G55+G56+G57+G58+G59+G60</f>
        <v>0</v>
      </c>
      <c r="H61" s="327"/>
      <c r="I61" s="670">
        <f>I50+I51+I54+I55+I56+I57+I58+I59+I60</f>
        <v>0</v>
      </c>
      <c r="J61" s="327"/>
      <c r="K61" s="670">
        <f>K50+K51+K54+K55+K56+K57+K58+K59+K60</f>
        <v>0</v>
      </c>
      <c r="L61" s="327"/>
      <c r="M61" s="39"/>
      <c r="N61" s="670">
        <f ca="1">N50+N51+N54+N55+N56+N57+N58+N59+N60</f>
        <v>0</v>
      </c>
      <c r="O61" s="327"/>
      <c r="P61" s="670">
        <f ca="1">P50+P51+P54+P55+P56+P57+P58+P59+P60</f>
        <v>0</v>
      </c>
      <c r="Q61" s="327"/>
      <c r="R61" s="670">
        <f>R50+R51+R54+R55+R56+R57+R58+R59+R60</f>
        <v>0</v>
      </c>
      <c r="S61" s="327"/>
      <c r="T61" s="670">
        <f>T50+T51+T54+T55+T56+T57+T58+T59+T60</f>
        <v>0</v>
      </c>
      <c r="U61" s="327"/>
      <c r="V61" s="670">
        <f>V50+V51+V54+V55+V56+V57+V58+V59+V60</f>
        <v>0</v>
      </c>
      <c r="W61" s="327"/>
      <c r="X61" s="646"/>
      <c r="Y61" s="670">
        <f ca="1">Y50+Y51+Y54+Y55+Y56+Y57+Y58+Y59+Y60</f>
        <v>0</v>
      </c>
      <c r="Z61" s="327"/>
      <c r="AA61" s="670">
        <f ca="1">AA50+AA51+AA54+AA55+AA56+AA57+AA58+AA59+AA60</f>
        <v>0</v>
      </c>
      <c r="AB61" s="670"/>
      <c r="AC61" s="670">
        <f>AC50+AC51+AC54+AC55+AC56+AC57+AC58+AC59+AC60</f>
        <v>0</v>
      </c>
      <c r="AD61" s="670"/>
      <c r="AE61" s="670">
        <f>AE50+AE51+AE54+AE55+AE56+AE57+AE58+AE59+AE60</f>
        <v>0</v>
      </c>
      <c r="AF61" s="670"/>
      <c r="AG61" s="670">
        <f>AG50+AG51+AG54+AG55+AG56+AG57+AG58+AG59+AG60</f>
        <v>0</v>
      </c>
      <c r="AH61" s="670"/>
      <c r="AL61" s="423">
        <f t="shared" si="40"/>
        <v>0</v>
      </c>
      <c r="AN61" s="599">
        <f t="shared" si="41"/>
        <v>0</v>
      </c>
      <c r="AO61" s="599">
        <f t="shared" si="42"/>
        <v>0</v>
      </c>
      <c r="AP61" s="599">
        <f t="shared" si="43"/>
        <v>0</v>
      </c>
    </row>
    <row r="62" spans="1:117" x14ac:dyDescent="0.3">
      <c r="B62" s="18"/>
      <c r="C62" s="666"/>
      <c r="D62" s="18"/>
      <c r="E62" s="666"/>
      <c r="F62" s="18"/>
      <c r="G62" s="666"/>
      <c r="H62" s="18"/>
      <c r="I62" s="18"/>
      <c r="J62" s="18"/>
      <c r="K62" s="18"/>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40"/>
        <v>0</v>
      </c>
      <c r="AN62" s="599">
        <f t="shared" si="41"/>
        <v>0</v>
      </c>
      <c r="AO62" s="599">
        <f t="shared" si="42"/>
        <v>0</v>
      </c>
      <c r="AP62" s="599">
        <f t="shared" si="43"/>
        <v>0</v>
      </c>
    </row>
    <row r="63" spans="1:117" x14ac:dyDescent="0.3">
      <c r="B63" s="328" t="s">
        <v>453</v>
      </c>
      <c r="C63" s="667">
        <v>0</v>
      </c>
      <c r="D63" s="327"/>
      <c r="E63" s="667">
        <f>C63</f>
        <v>0</v>
      </c>
      <c r="F63" s="327"/>
      <c r="G63" s="667">
        <v>0</v>
      </c>
      <c r="H63" s="327"/>
      <c r="I63" s="667">
        <v>0</v>
      </c>
      <c r="J63" s="327"/>
      <c r="K63" s="611">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40"/>
        <v>0</v>
      </c>
      <c r="AN63" s="599">
        <f t="shared" si="41"/>
        <v>0</v>
      </c>
      <c r="AO63" s="599">
        <f t="shared" si="42"/>
        <v>0</v>
      </c>
      <c r="AP63" s="599">
        <f t="shared" si="43"/>
        <v>0</v>
      </c>
    </row>
    <row r="64" spans="1:117" x14ac:dyDescent="0.3">
      <c r="B64" s="748" t="s">
        <v>455</v>
      </c>
      <c r="C64" s="740">
        <v>0</v>
      </c>
      <c r="D64" s="741">
        <f t="shared" ref="D64:D79" si="46">$F$12</f>
        <v>0.21</v>
      </c>
      <c r="E64" s="740">
        <v>0</v>
      </c>
      <c r="F64" s="741">
        <f t="shared" ref="F64:F79" si="47">$F$12</f>
        <v>0.21</v>
      </c>
      <c r="G64" s="740">
        <v>0</v>
      </c>
      <c r="H64" s="741">
        <f t="shared" ref="H64:H79" si="48">$F$12</f>
        <v>0.21</v>
      </c>
      <c r="I64" s="740">
        <v>0</v>
      </c>
      <c r="J64" s="741">
        <f t="shared" ref="J64:J79" si="49">$F$12</f>
        <v>0.21</v>
      </c>
      <c r="K64" s="740">
        <v>0</v>
      </c>
      <c r="L64" s="741">
        <f t="shared" ref="L64:L79" si="50">$F$12</f>
        <v>0.21</v>
      </c>
      <c r="M64" s="629"/>
      <c r="N64" s="740">
        <v>0</v>
      </c>
      <c r="O64" s="741">
        <f>$Q$12</f>
        <v>0.21</v>
      </c>
      <c r="P64" s="740">
        <f>N64</f>
        <v>0</v>
      </c>
      <c r="Q64" s="741">
        <f>$Q$12</f>
        <v>0.21</v>
      </c>
      <c r="R64" s="740">
        <v>0</v>
      </c>
      <c r="S64" s="741">
        <f>$Q$12</f>
        <v>0.21</v>
      </c>
      <c r="T64" s="740">
        <v>0</v>
      </c>
      <c r="U64" s="741">
        <f>$Q$12</f>
        <v>0.21</v>
      </c>
      <c r="V64" s="740">
        <v>0</v>
      </c>
      <c r="W64" s="741">
        <f>$Q$12</f>
        <v>0.21</v>
      </c>
      <c r="X64" s="647"/>
      <c r="Y64" s="740">
        <v>0</v>
      </c>
      <c r="Z64" s="741">
        <f>$AB$12</f>
        <v>0.21</v>
      </c>
      <c r="AA64" s="740">
        <f>Y64</f>
        <v>0</v>
      </c>
      <c r="AB64" s="741">
        <f>$AB$12</f>
        <v>0.21</v>
      </c>
      <c r="AC64" s="740">
        <v>0</v>
      </c>
      <c r="AD64" s="741">
        <f>$AB$12</f>
        <v>0.21</v>
      </c>
      <c r="AE64" s="740">
        <v>0</v>
      </c>
      <c r="AF64" s="741">
        <f>$AB$12</f>
        <v>0.21</v>
      </c>
      <c r="AG64" s="740">
        <v>0</v>
      </c>
      <c r="AH64" s="741">
        <f>$AB$12</f>
        <v>0.21</v>
      </c>
      <c r="AI64" s="18"/>
      <c r="AL64" s="423">
        <f t="shared" si="40"/>
        <v>0</v>
      </c>
      <c r="AN64" s="599">
        <f t="shared" si="41"/>
        <v>0</v>
      </c>
      <c r="AO64" s="599">
        <f t="shared" si="42"/>
        <v>0</v>
      </c>
      <c r="AP64" s="599">
        <f t="shared" si="43"/>
        <v>0</v>
      </c>
    </row>
    <row r="65" spans="2:42" x14ac:dyDescent="0.3">
      <c r="B65" s="749" t="s">
        <v>456</v>
      </c>
      <c r="C65" s="740">
        <v>0</v>
      </c>
      <c r="D65" s="741">
        <f t="shared" si="46"/>
        <v>0.21</v>
      </c>
      <c r="E65" s="740">
        <v>0</v>
      </c>
      <c r="F65" s="741">
        <f t="shared" si="47"/>
        <v>0.21</v>
      </c>
      <c r="G65" s="740">
        <v>0</v>
      </c>
      <c r="H65" s="741">
        <f t="shared" si="48"/>
        <v>0.21</v>
      </c>
      <c r="I65" s="740">
        <v>0</v>
      </c>
      <c r="J65" s="741">
        <f t="shared" si="49"/>
        <v>0.21</v>
      </c>
      <c r="K65" s="740">
        <v>0</v>
      </c>
      <c r="L65" s="741">
        <f t="shared" si="50"/>
        <v>0.21</v>
      </c>
      <c r="M65" s="629"/>
      <c r="N65" s="740">
        <v>0</v>
      </c>
      <c r="O65" s="741">
        <f t="shared" ref="O65:W79" si="51">$Q$12</f>
        <v>0.21</v>
      </c>
      <c r="P65" s="740">
        <f t="shared" ref="P65:P78" si="52">N65</f>
        <v>0</v>
      </c>
      <c r="Q65" s="741">
        <f t="shared" si="51"/>
        <v>0.21</v>
      </c>
      <c r="R65" s="740">
        <v>0</v>
      </c>
      <c r="S65" s="741">
        <f t="shared" si="51"/>
        <v>0.21</v>
      </c>
      <c r="T65" s="740">
        <v>0</v>
      </c>
      <c r="U65" s="741">
        <f t="shared" si="51"/>
        <v>0.21</v>
      </c>
      <c r="V65" s="740">
        <v>0</v>
      </c>
      <c r="W65" s="741">
        <f t="shared" si="51"/>
        <v>0.21</v>
      </c>
      <c r="X65" s="647"/>
      <c r="Y65" s="740">
        <v>0</v>
      </c>
      <c r="Z65" s="741">
        <f t="shared" ref="Z65:AH79" si="53">$AB$12</f>
        <v>0.21</v>
      </c>
      <c r="AA65" s="740">
        <f t="shared" ref="AA65:AA78" si="54">Y65</f>
        <v>0</v>
      </c>
      <c r="AB65" s="741">
        <f t="shared" si="53"/>
        <v>0.21</v>
      </c>
      <c r="AC65" s="740">
        <v>0</v>
      </c>
      <c r="AD65" s="741">
        <f t="shared" si="53"/>
        <v>0.21</v>
      </c>
      <c r="AE65" s="740">
        <v>0</v>
      </c>
      <c r="AF65" s="741">
        <f t="shared" si="53"/>
        <v>0.21</v>
      </c>
      <c r="AG65" s="740">
        <v>0</v>
      </c>
      <c r="AH65" s="741">
        <f t="shared" si="53"/>
        <v>0.21</v>
      </c>
      <c r="AI65" s="18"/>
      <c r="AJ65" s="18"/>
      <c r="AL65" s="423">
        <f t="shared" si="40"/>
        <v>0</v>
      </c>
      <c r="AN65" s="599">
        <f t="shared" si="41"/>
        <v>0</v>
      </c>
      <c r="AO65" s="599">
        <f t="shared" si="42"/>
        <v>0</v>
      </c>
      <c r="AP65" s="599">
        <f t="shared" si="43"/>
        <v>0</v>
      </c>
    </row>
    <row r="66" spans="2:42" x14ac:dyDescent="0.3">
      <c r="B66" s="749" t="s">
        <v>457</v>
      </c>
      <c r="C66" s="740">
        <v>0</v>
      </c>
      <c r="D66" s="741">
        <f t="shared" si="46"/>
        <v>0.21</v>
      </c>
      <c r="E66" s="740">
        <v>0</v>
      </c>
      <c r="F66" s="741">
        <f t="shared" si="47"/>
        <v>0.21</v>
      </c>
      <c r="G66" s="740">
        <v>0</v>
      </c>
      <c r="H66" s="741">
        <f t="shared" si="48"/>
        <v>0.21</v>
      </c>
      <c r="I66" s="740">
        <v>0</v>
      </c>
      <c r="J66" s="741">
        <f t="shared" si="49"/>
        <v>0.21</v>
      </c>
      <c r="K66" s="740">
        <v>0</v>
      </c>
      <c r="L66" s="741">
        <f t="shared" si="50"/>
        <v>0.21</v>
      </c>
      <c r="M66" s="629"/>
      <c r="N66" s="740">
        <v>0</v>
      </c>
      <c r="O66" s="741">
        <f t="shared" si="51"/>
        <v>0.21</v>
      </c>
      <c r="P66" s="740">
        <f t="shared" si="52"/>
        <v>0</v>
      </c>
      <c r="Q66" s="741">
        <f t="shared" si="51"/>
        <v>0.21</v>
      </c>
      <c r="R66" s="740">
        <v>0</v>
      </c>
      <c r="S66" s="741">
        <f t="shared" si="51"/>
        <v>0.21</v>
      </c>
      <c r="T66" s="740">
        <v>0</v>
      </c>
      <c r="U66" s="741">
        <f t="shared" si="51"/>
        <v>0.21</v>
      </c>
      <c r="V66" s="740">
        <v>0</v>
      </c>
      <c r="W66" s="741">
        <f t="shared" si="51"/>
        <v>0.21</v>
      </c>
      <c r="X66" s="647"/>
      <c r="Y66" s="740">
        <v>0</v>
      </c>
      <c r="Z66" s="741">
        <f t="shared" si="53"/>
        <v>0.21</v>
      </c>
      <c r="AA66" s="740">
        <f t="shared" si="54"/>
        <v>0</v>
      </c>
      <c r="AB66" s="741">
        <f t="shared" si="53"/>
        <v>0.21</v>
      </c>
      <c r="AC66" s="740">
        <v>0</v>
      </c>
      <c r="AD66" s="741">
        <f t="shared" si="53"/>
        <v>0.21</v>
      </c>
      <c r="AE66" s="740">
        <v>0</v>
      </c>
      <c r="AF66" s="741">
        <f t="shared" si="53"/>
        <v>0.21</v>
      </c>
      <c r="AG66" s="740">
        <v>0</v>
      </c>
      <c r="AH66" s="741">
        <f t="shared" si="53"/>
        <v>0.21</v>
      </c>
      <c r="AI66" s="18"/>
      <c r="AJ66" s="18"/>
      <c r="AL66" s="423">
        <f t="shared" si="40"/>
        <v>0</v>
      </c>
      <c r="AN66" s="599"/>
      <c r="AO66" s="599"/>
      <c r="AP66" s="599"/>
    </row>
    <row r="67" spans="2:42" x14ac:dyDescent="0.3">
      <c r="B67" s="748" t="s">
        <v>458</v>
      </c>
      <c r="C67" s="740">
        <v>0</v>
      </c>
      <c r="D67" s="741">
        <f t="shared" si="46"/>
        <v>0.21</v>
      </c>
      <c r="E67" s="740">
        <v>0</v>
      </c>
      <c r="F67" s="741">
        <f t="shared" si="47"/>
        <v>0.21</v>
      </c>
      <c r="G67" s="740">
        <v>0</v>
      </c>
      <c r="H67" s="741">
        <f t="shared" si="48"/>
        <v>0.21</v>
      </c>
      <c r="I67" s="740">
        <v>0</v>
      </c>
      <c r="J67" s="741">
        <f t="shared" si="49"/>
        <v>0.21</v>
      </c>
      <c r="K67" s="740">
        <v>0</v>
      </c>
      <c r="L67" s="741">
        <f t="shared" si="50"/>
        <v>0.21</v>
      </c>
      <c r="M67" s="629"/>
      <c r="N67" s="740">
        <v>0</v>
      </c>
      <c r="O67" s="741">
        <f t="shared" si="51"/>
        <v>0.21</v>
      </c>
      <c r="P67" s="740">
        <f t="shared" si="52"/>
        <v>0</v>
      </c>
      <c r="Q67" s="741">
        <f t="shared" si="51"/>
        <v>0.21</v>
      </c>
      <c r="R67" s="740">
        <v>0</v>
      </c>
      <c r="S67" s="741">
        <f t="shared" si="51"/>
        <v>0.21</v>
      </c>
      <c r="T67" s="740">
        <v>0</v>
      </c>
      <c r="U67" s="741">
        <f t="shared" si="51"/>
        <v>0.21</v>
      </c>
      <c r="V67" s="740">
        <v>0</v>
      </c>
      <c r="W67" s="741">
        <f t="shared" si="51"/>
        <v>0.21</v>
      </c>
      <c r="X67" s="647"/>
      <c r="Y67" s="740">
        <v>0</v>
      </c>
      <c r="Z67" s="741">
        <f t="shared" si="53"/>
        <v>0.21</v>
      </c>
      <c r="AA67" s="740">
        <f t="shared" si="54"/>
        <v>0</v>
      </c>
      <c r="AB67" s="741">
        <f t="shared" si="53"/>
        <v>0.21</v>
      </c>
      <c r="AC67" s="740">
        <v>0</v>
      </c>
      <c r="AD67" s="741">
        <f t="shared" si="53"/>
        <v>0.21</v>
      </c>
      <c r="AE67" s="740">
        <v>0</v>
      </c>
      <c r="AF67" s="741">
        <f t="shared" si="53"/>
        <v>0.21</v>
      </c>
      <c r="AG67" s="740">
        <v>0</v>
      </c>
      <c r="AH67" s="741">
        <f t="shared" si="53"/>
        <v>0.21</v>
      </c>
      <c r="AI67" s="18"/>
      <c r="AJ67" s="18"/>
      <c r="AL67" s="423">
        <f t="shared" si="40"/>
        <v>0</v>
      </c>
      <c r="AN67" s="599"/>
      <c r="AO67" s="599"/>
      <c r="AP67" s="599"/>
    </row>
    <row r="68" spans="2:42" x14ac:dyDescent="0.3">
      <c r="B68" s="748" t="s">
        <v>459</v>
      </c>
      <c r="C68" s="740">
        <v>0</v>
      </c>
      <c r="D68" s="741">
        <f t="shared" si="46"/>
        <v>0.21</v>
      </c>
      <c r="E68" s="740">
        <v>0</v>
      </c>
      <c r="F68" s="741">
        <f t="shared" si="47"/>
        <v>0.21</v>
      </c>
      <c r="G68" s="740">
        <v>0</v>
      </c>
      <c r="H68" s="741">
        <f t="shared" si="48"/>
        <v>0.21</v>
      </c>
      <c r="I68" s="740">
        <v>0</v>
      </c>
      <c r="J68" s="741">
        <f t="shared" si="49"/>
        <v>0.21</v>
      </c>
      <c r="K68" s="740">
        <v>0</v>
      </c>
      <c r="L68" s="741">
        <f t="shared" si="50"/>
        <v>0.21</v>
      </c>
      <c r="M68" s="629"/>
      <c r="N68" s="740">
        <v>0</v>
      </c>
      <c r="O68" s="741">
        <f t="shared" si="51"/>
        <v>0.21</v>
      </c>
      <c r="P68" s="740">
        <f t="shared" si="52"/>
        <v>0</v>
      </c>
      <c r="Q68" s="741">
        <f t="shared" si="51"/>
        <v>0.21</v>
      </c>
      <c r="R68" s="740">
        <v>0</v>
      </c>
      <c r="S68" s="741">
        <f t="shared" si="51"/>
        <v>0.21</v>
      </c>
      <c r="T68" s="740">
        <v>0</v>
      </c>
      <c r="U68" s="741">
        <f t="shared" si="51"/>
        <v>0.21</v>
      </c>
      <c r="V68" s="740">
        <v>0</v>
      </c>
      <c r="W68" s="741">
        <f t="shared" si="51"/>
        <v>0.21</v>
      </c>
      <c r="X68" s="647"/>
      <c r="Y68" s="740">
        <v>0</v>
      </c>
      <c r="Z68" s="741">
        <f t="shared" si="53"/>
        <v>0.21</v>
      </c>
      <c r="AA68" s="740">
        <f t="shared" si="54"/>
        <v>0</v>
      </c>
      <c r="AB68" s="741">
        <f t="shared" si="53"/>
        <v>0.21</v>
      </c>
      <c r="AC68" s="740">
        <v>0</v>
      </c>
      <c r="AD68" s="741">
        <f t="shared" si="53"/>
        <v>0.21</v>
      </c>
      <c r="AE68" s="740">
        <v>0</v>
      </c>
      <c r="AF68" s="741">
        <f t="shared" si="53"/>
        <v>0.21</v>
      </c>
      <c r="AG68" s="740">
        <v>0</v>
      </c>
      <c r="AH68" s="741">
        <f t="shared" si="53"/>
        <v>0.21</v>
      </c>
      <c r="AI68" s="18"/>
      <c r="AJ68" s="18"/>
      <c r="AL68" s="423">
        <f t="shared" si="40"/>
        <v>0</v>
      </c>
      <c r="AN68" s="599">
        <f>IFERROR(K68*$AO$4/$AR$4,0)</f>
        <v>0</v>
      </c>
      <c r="AO68" s="599">
        <f>IFERROR(K68*$AP$4/$AR$4,0)</f>
        <v>0</v>
      </c>
      <c r="AP68" s="599">
        <f>IFERROR(K68*$AQ$4/$AR$4,0)</f>
        <v>0</v>
      </c>
    </row>
    <row r="69" spans="2:42" x14ac:dyDescent="0.3">
      <c r="B69" s="748" t="s">
        <v>460</v>
      </c>
      <c r="C69" s="740">
        <v>0</v>
      </c>
      <c r="D69" s="741">
        <f t="shared" si="46"/>
        <v>0.21</v>
      </c>
      <c r="E69" s="740">
        <v>0</v>
      </c>
      <c r="F69" s="741">
        <f t="shared" si="47"/>
        <v>0.21</v>
      </c>
      <c r="G69" s="740">
        <v>0</v>
      </c>
      <c r="H69" s="741">
        <f t="shared" si="48"/>
        <v>0.21</v>
      </c>
      <c r="I69" s="740">
        <v>0</v>
      </c>
      <c r="J69" s="741">
        <f t="shared" si="49"/>
        <v>0.21</v>
      </c>
      <c r="K69" s="740">
        <v>0</v>
      </c>
      <c r="L69" s="741">
        <f t="shared" si="50"/>
        <v>0.21</v>
      </c>
      <c r="M69" s="629"/>
      <c r="N69" s="740">
        <v>0</v>
      </c>
      <c r="O69" s="741">
        <f t="shared" si="51"/>
        <v>0.21</v>
      </c>
      <c r="P69" s="740">
        <f t="shared" si="52"/>
        <v>0</v>
      </c>
      <c r="Q69" s="741">
        <f t="shared" si="51"/>
        <v>0.21</v>
      </c>
      <c r="R69" s="740">
        <v>0</v>
      </c>
      <c r="S69" s="741">
        <f t="shared" si="51"/>
        <v>0.21</v>
      </c>
      <c r="T69" s="740">
        <v>0</v>
      </c>
      <c r="U69" s="741">
        <f t="shared" si="51"/>
        <v>0.21</v>
      </c>
      <c r="V69" s="740">
        <v>0</v>
      </c>
      <c r="W69" s="741">
        <f t="shared" si="51"/>
        <v>0.21</v>
      </c>
      <c r="X69" s="647"/>
      <c r="Y69" s="740">
        <v>0</v>
      </c>
      <c r="Z69" s="741">
        <f t="shared" si="53"/>
        <v>0.21</v>
      </c>
      <c r="AA69" s="740">
        <f t="shared" si="54"/>
        <v>0</v>
      </c>
      <c r="AB69" s="741">
        <f t="shared" si="53"/>
        <v>0.21</v>
      </c>
      <c r="AC69" s="740">
        <v>0</v>
      </c>
      <c r="AD69" s="741">
        <f t="shared" si="53"/>
        <v>0.21</v>
      </c>
      <c r="AE69" s="740">
        <v>0</v>
      </c>
      <c r="AF69" s="741">
        <f t="shared" si="53"/>
        <v>0.21</v>
      </c>
      <c r="AG69" s="740">
        <v>0</v>
      </c>
      <c r="AH69" s="741">
        <f t="shared" si="53"/>
        <v>0.21</v>
      </c>
      <c r="AI69" s="18"/>
      <c r="AJ69" s="18"/>
      <c r="AL69" s="423">
        <f t="shared" si="40"/>
        <v>0</v>
      </c>
      <c r="AN69" s="599">
        <f>IFERROR(K69*$AO$4/$AR$4,0)</f>
        <v>0</v>
      </c>
      <c r="AO69" s="599">
        <f>IFERROR(K69*$AP$4/$AR$4,0)</f>
        <v>0</v>
      </c>
      <c r="AP69" s="599">
        <f>IFERROR(K69*$AQ$4/$AR$4,0)</f>
        <v>0</v>
      </c>
    </row>
    <row r="70" spans="2:42" x14ac:dyDescent="0.3">
      <c r="B70" s="749" t="s">
        <v>461</v>
      </c>
      <c r="C70" s="740">
        <v>0</v>
      </c>
      <c r="D70" s="741">
        <f t="shared" si="46"/>
        <v>0.21</v>
      </c>
      <c r="E70" s="740">
        <v>0</v>
      </c>
      <c r="F70" s="741">
        <f t="shared" si="47"/>
        <v>0.21</v>
      </c>
      <c r="G70" s="740">
        <v>0</v>
      </c>
      <c r="H70" s="741">
        <f t="shared" si="48"/>
        <v>0.21</v>
      </c>
      <c r="I70" s="740">
        <v>0</v>
      </c>
      <c r="J70" s="741">
        <f t="shared" si="49"/>
        <v>0.21</v>
      </c>
      <c r="K70" s="740">
        <v>0</v>
      </c>
      <c r="L70" s="741">
        <f t="shared" si="50"/>
        <v>0.21</v>
      </c>
      <c r="M70" s="629"/>
      <c r="N70" s="740">
        <v>0</v>
      </c>
      <c r="O70" s="741">
        <f t="shared" si="51"/>
        <v>0.21</v>
      </c>
      <c r="P70" s="740">
        <f t="shared" si="52"/>
        <v>0</v>
      </c>
      <c r="Q70" s="741">
        <f t="shared" si="51"/>
        <v>0.21</v>
      </c>
      <c r="R70" s="740">
        <v>0</v>
      </c>
      <c r="S70" s="741">
        <f t="shared" si="51"/>
        <v>0.21</v>
      </c>
      <c r="T70" s="740">
        <v>0</v>
      </c>
      <c r="U70" s="741">
        <f t="shared" si="51"/>
        <v>0.21</v>
      </c>
      <c r="V70" s="740">
        <v>0</v>
      </c>
      <c r="W70" s="741">
        <f t="shared" si="51"/>
        <v>0.21</v>
      </c>
      <c r="X70" s="647"/>
      <c r="Y70" s="740">
        <v>0</v>
      </c>
      <c r="Z70" s="741">
        <f t="shared" si="53"/>
        <v>0.21</v>
      </c>
      <c r="AA70" s="740">
        <f t="shared" si="54"/>
        <v>0</v>
      </c>
      <c r="AB70" s="741">
        <f t="shared" si="53"/>
        <v>0.21</v>
      </c>
      <c r="AC70" s="740">
        <v>0</v>
      </c>
      <c r="AD70" s="741">
        <f t="shared" si="53"/>
        <v>0.21</v>
      </c>
      <c r="AE70" s="740">
        <v>0</v>
      </c>
      <c r="AF70" s="741">
        <f t="shared" si="53"/>
        <v>0.21</v>
      </c>
      <c r="AG70" s="740">
        <v>0</v>
      </c>
      <c r="AH70" s="741">
        <f t="shared" si="53"/>
        <v>0.21</v>
      </c>
      <c r="AI70" s="18"/>
      <c r="AJ70" s="18"/>
      <c r="AL70" s="423">
        <f t="shared" si="40"/>
        <v>0</v>
      </c>
      <c r="AN70" s="599">
        <f>IFERROR(K70*$AO$4/$AR$4,0)</f>
        <v>0</v>
      </c>
      <c r="AO70" s="599">
        <f>IFERROR(K70*$AP$4/$AR$4,0)</f>
        <v>0</v>
      </c>
      <c r="AP70" s="599">
        <f>IFERROR(K70*$AQ$4/$AR$4,0)</f>
        <v>0</v>
      </c>
    </row>
    <row r="71" spans="2:42" x14ac:dyDescent="0.3">
      <c r="B71" s="748" t="s">
        <v>462</v>
      </c>
      <c r="C71" s="740">
        <v>0</v>
      </c>
      <c r="D71" s="741">
        <f t="shared" si="46"/>
        <v>0.21</v>
      </c>
      <c r="E71" s="740">
        <v>0</v>
      </c>
      <c r="F71" s="741">
        <f t="shared" si="47"/>
        <v>0.21</v>
      </c>
      <c r="G71" s="740">
        <v>0</v>
      </c>
      <c r="H71" s="741">
        <f t="shared" si="48"/>
        <v>0.21</v>
      </c>
      <c r="I71" s="740">
        <v>0</v>
      </c>
      <c r="J71" s="741">
        <f t="shared" si="49"/>
        <v>0.21</v>
      </c>
      <c r="K71" s="740">
        <v>0</v>
      </c>
      <c r="L71" s="741">
        <f t="shared" si="50"/>
        <v>0.21</v>
      </c>
      <c r="M71" s="629"/>
      <c r="N71" s="740">
        <v>0</v>
      </c>
      <c r="O71" s="741">
        <f t="shared" si="51"/>
        <v>0.21</v>
      </c>
      <c r="P71" s="740">
        <f t="shared" si="52"/>
        <v>0</v>
      </c>
      <c r="Q71" s="741">
        <f t="shared" si="51"/>
        <v>0.21</v>
      </c>
      <c r="R71" s="740">
        <v>0</v>
      </c>
      <c r="S71" s="741">
        <f t="shared" si="51"/>
        <v>0.21</v>
      </c>
      <c r="T71" s="740">
        <v>0</v>
      </c>
      <c r="U71" s="741">
        <f t="shared" si="51"/>
        <v>0.21</v>
      </c>
      <c r="V71" s="740">
        <v>0</v>
      </c>
      <c r="W71" s="741">
        <f t="shared" si="51"/>
        <v>0.21</v>
      </c>
      <c r="X71" s="647"/>
      <c r="Y71" s="740">
        <v>0</v>
      </c>
      <c r="Z71" s="741">
        <f t="shared" si="53"/>
        <v>0.21</v>
      </c>
      <c r="AA71" s="740">
        <f t="shared" si="54"/>
        <v>0</v>
      </c>
      <c r="AB71" s="741">
        <f t="shared" si="53"/>
        <v>0.21</v>
      </c>
      <c r="AC71" s="740">
        <v>0</v>
      </c>
      <c r="AD71" s="741">
        <f t="shared" si="53"/>
        <v>0.21</v>
      </c>
      <c r="AE71" s="740">
        <v>0</v>
      </c>
      <c r="AF71" s="741">
        <f t="shared" si="53"/>
        <v>0.21</v>
      </c>
      <c r="AG71" s="740">
        <v>0</v>
      </c>
      <c r="AH71" s="741">
        <f t="shared" si="53"/>
        <v>0.21</v>
      </c>
      <c r="AI71" s="18"/>
      <c r="AJ71" s="18"/>
      <c r="AL71" s="423">
        <f t="shared" si="40"/>
        <v>0</v>
      </c>
      <c r="AN71" s="599"/>
      <c r="AO71" s="599"/>
      <c r="AP71" s="599"/>
    </row>
    <row r="72" spans="2:42" x14ac:dyDescent="0.3">
      <c r="B72" s="749" t="s">
        <v>463</v>
      </c>
      <c r="C72" s="740">
        <v>0</v>
      </c>
      <c r="D72" s="741">
        <f t="shared" si="46"/>
        <v>0.21</v>
      </c>
      <c r="E72" s="740">
        <v>0</v>
      </c>
      <c r="F72" s="741">
        <f t="shared" si="47"/>
        <v>0.21</v>
      </c>
      <c r="G72" s="740">
        <v>0</v>
      </c>
      <c r="H72" s="741">
        <f t="shared" si="48"/>
        <v>0.21</v>
      </c>
      <c r="I72" s="740">
        <v>0</v>
      </c>
      <c r="J72" s="741">
        <f t="shared" si="49"/>
        <v>0.21</v>
      </c>
      <c r="K72" s="740">
        <v>0</v>
      </c>
      <c r="L72" s="741">
        <f t="shared" si="50"/>
        <v>0.21</v>
      </c>
      <c r="M72" s="629"/>
      <c r="N72" s="740">
        <v>0</v>
      </c>
      <c r="O72" s="741">
        <f t="shared" si="51"/>
        <v>0.21</v>
      </c>
      <c r="P72" s="740">
        <f t="shared" si="52"/>
        <v>0</v>
      </c>
      <c r="Q72" s="741">
        <f t="shared" si="51"/>
        <v>0.21</v>
      </c>
      <c r="R72" s="740">
        <v>0</v>
      </c>
      <c r="S72" s="741">
        <f t="shared" si="51"/>
        <v>0.21</v>
      </c>
      <c r="T72" s="740">
        <v>0</v>
      </c>
      <c r="U72" s="741">
        <f t="shared" si="51"/>
        <v>0.21</v>
      </c>
      <c r="V72" s="740">
        <v>0</v>
      </c>
      <c r="W72" s="741">
        <f t="shared" si="51"/>
        <v>0.21</v>
      </c>
      <c r="X72" s="647"/>
      <c r="Y72" s="740">
        <v>0</v>
      </c>
      <c r="Z72" s="741">
        <f t="shared" si="53"/>
        <v>0.21</v>
      </c>
      <c r="AA72" s="740">
        <f t="shared" si="54"/>
        <v>0</v>
      </c>
      <c r="AB72" s="741">
        <f t="shared" si="53"/>
        <v>0.21</v>
      </c>
      <c r="AC72" s="740">
        <v>0</v>
      </c>
      <c r="AD72" s="741">
        <f t="shared" si="53"/>
        <v>0.21</v>
      </c>
      <c r="AE72" s="740">
        <v>0</v>
      </c>
      <c r="AF72" s="741">
        <f t="shared" si="53"/>
        <v>0.21</v>
      </c>
      <c r="AG72" s="740">
        <v>0</v>
      </c>
      <c r="AH72" s="741">
        <f t="shared" si="53"/>
        <v>0.21</v>
      </c>
      <c r="AI72" s="18"/>
      <c r="AJ72" s="18"/>
      <c r="AL72" s="423">
        <f t="shared" si="40"/>
        <v>0</v>
      </c>
      <c r="AN72" s="599">
        <f>IFERROR(K72*$AO$4/$AR$4,0)</f>
        <v>0</v>
      </c>
      <c r="AO72" s="599">
        <f>IFERROR(K72*$AP$4/$AR$4,0)</f>
        <v>0</v>
      </c>
      <c r="AP72" s="599">
        <f>IFERROR(K72*$AQ$4/$AR$4,0)</f>
        <v>0</v>
      </c>
    </row>
    <row r="73" spans="2:42" x14ac:dyDescent="0.3">
      <c r="B73" s="749" t="s">
        <v>464</v>
      </c>
      <c r="C73" s="740">
        <v>0</v>
      </c>
      <c r="D73" s="741">
        <f t="shared" si="46"/>
        <v>0.21</v>
      </c>
      <c r="E73" s="740">
        <v>0</v>
      </c>
      <c r="F73" s="741">
        <f t="shared" si="47"/>
        <v>0.21</v>
      </c>
      <c r="G73" s="740">
        <v>0</v>
      </c>
      <c r="H73" s="741">
        <f t="shared" si="48"/>
        <v>0.21</v>
      </c>
      <c r="I73" s="740">
        <v>0</v>
      </c>
      <c r="J73" s="741">
        <f t="shared" si="49"/>
        <v>0.21</v>
      </c>
      <c r="K73" s="740">
        <v>0</v>
      </c>
      <c r="L73" s="741">
        <f t="shared" si="50"/>
        <v>0.21</v>
      </c>
      <c r="M73" s="629"/>
      <c r="N73" s="740">
        <v>0</v>
      </c>
      <c r="O73" s="741">
        <f t="shared" si="51"/>
        <v>0.21</v>
      </c>
      <c r="P73" s="740">
        <f t="shared" si="52"/>
        <v>0</v>
      </c>
      <c r="Q73" s="741">
        <f t="shared" si="51"/>
        <v>0.21</v>
      </c>
      <c r="R73" s="740">
        <v>0</v>
      </c>
      <c r="S73" s="741">
        <f t="shared" si="51"/>
        <v>0.21</v>
      </c>
      <c r="T73" s="740">
        <v>0</v>
      </c>
      <c r="U73" s="741">
        <f t="shared" si="51"/>
        <v>0.21</v>
      </c>
      <c r="V73" s="740">
        <v>0</v>
      </c>
      <c r="W73" s="741">
        <f t="shared" si="51"/>
        <v>0.21</v>
      </c>
      <c r="X73" s="647"/>
      <c r="Y73" s="740">
        <v>0</v>
      </c>
      <c r="Z73" s="741">
        <f t="shared" si="53"/>
        <v>0.21</v>
      </c>
      <c r="AA73" s="740">
        <f t="shared" si="54"/>
        <v>0</v>
      </c>
      <c r="AB73" s="741">
        <f t="shared" si="53"/>
        <v>0.21</v>
      </c>
      <c r="AC73" s="740">
        <v>0</v>
      </c>
      <c r="AD73" s="741">
        <f t="shared" si="53"/>
        <v>0.21</v>
      </c>
      <c r="AE73" s="740">
        <v>0</v>
      </c>
      <c r="AF73" s="741">
        <f t="shared" si="53"/>
        <v>0.21</v>
      </c>
      <c r="AG73" s="740">
        <v>0</v>
      </c>
      <c r="AH73" s="741">
        <f t="shared" si="53"/>
        <v>0.21</v>
      </c>
      <c r="AI73" s="18"/>
      <c r="AJ73" s="18"/>
      <c r="AL73" s="423">
        <f t="shared" si="40"/>
        <v>0</v>
      </c>
      <c r="AN73" s="599">
        <f>IFERROR(K73*$AO$4/$AR$4,0)</f>
        <v>0</v>
      </c>
      <c r="AO73" s="599">
        <f>IFERROR(K73*$AP$4/$AR$4,0)</f>
        <v>0</v>
      </c>
      <c r="AP73" s="599">
        <f>IFERROR(K73*$AQ$4/$AR$4,0)</f>
        <v>0</v>
      </c>
    </row>
    <row r="74" spans="2:42" x14ac:dyDescent="0.3">
      <c r="B74" s="748" t="s">
        <v>465</v>
      </c>
      <c r="C74" s="740">
        <v>0</v>
      </c>
      <c r="D74" s="741">
        <f t="shared" si="46"/>
        <v>0.21</v>
      </c>
      <c r="E74" s="740">
        <v>0</v>
      </c>
      <c r="F74" s="741">
        <f t="shared" si="47"/>
        <v>0.21</v>
      </c>
      <c r="G74" s="740">
        <v>0</v>
      </c>
      <c r="H74" s="741">
        <f t="shared" si="48"/>
        <v>0.21</v>
      </c>
      <c r="I74" s="740">
        <v>0</v>
      </c>
      <c r="J74" s="741">
        <f t="shared" si="49"/>
        <v>0.21</v>
      </c>
      <c r="K74" s="740">
        <v>0</v>
      </c>
      <c r="L74" s="741">
        <f t="shared" si="50"/>
        <v>0.21</v>
      </c>
      <c r="M74" s="629"/>
      <c r="N74" s="740">
        <v>0</v>
      </c>
      <c r="O74" s="741">
        <f t="shared" si="51"/>
        <v>0.21</v>
      </c>
      <c r="P74" s="740">
        <f t="shared" si="52"/>
        <v>0</v>
      </c>
      <c r="Q74" s="741">
        <f t="shared" si="51"/>
        <v>0.21</v>
      </c>
      <c r="R74" s="740">
        <v>0</v>
      </c>
      <c r="S74" s="741">
        <f t="shared" si="51"/>
        <v>0.21</v>
      </c>
      <c r="T74" s="740">
        <v>0</v>
      </c>
      <c r="U74" s="741">
        <f t="shared" si="51"/>
        <v>0.21</v>
      </c>
      <c r="V74" s="740">
        <v>0</v>
      </c>
      <c r="W74" s="741">
        <f t="shared" si="51"/>
        <v>0.21</v>
      </c>
      <c r="X74" s="647"/>
      <c r="Y74" s="740">
        <v>0</v>
      </c>
      <c r="Z74" s="741">
        <f t="shared" si="53"/>
        <v>0.21</v>
      </c>
      <c r="AA74" s="740">
        <f t="shared" si="54"/>
        <v>0</v>
      </c>
      <c r="AB74" s="741">
        <f t="shared" si="53"/>
        <v>0.21</v>
      </c>
      <c r="AC74" s="740">
        <v>0</v>
      </c>
      <c r="AD74" s="741">
        <f t="shared" si="53"/>
        <v>0.21</v>
      </c>
      <c r="AE74" s="740">
        <v>0</v>
      </c>
      <c r="AF74" s="741">
        <f t="shared" si="53"/>
        <v>0.21</v>
      </c>
      <c r="AG74" s="740">
        <v>0</v>
      </c>
      <c r="AH74" s="741">
        <f t="shared" si="53"/>
        <v>0.21</v>
      </c>
      <c r="AI74" s="18"/>
      <c r="AJ74" s="18"/>
      <c r="AL74" s="423">
        <f t="shared" si="40"/>
        <v>0</v>
      </c>
      <c r="AN74" s="599">
        <f>IFERROR(K74*$AO$4/$AR$4,0)</f>
        <v>0</v>
      </c>
      <c r="AO74" s="599">
        <f>IFERROR(K74*$AP$4/$AR$4,0)</f>
        <v>0</v>
      </c>
      <c r="AP74" s="599">
        <f>IFERROR(K74*$AQ$4/$AR$4,0)</f>
        <v>0</v>
      </c>
    </row>
    <row r="75" spans="2:42" x14ac:dyDescent="0.3">
      <c r="B75" s="748" t="s">
        <v>466</v>
      </c>
      <c r="C75" s="740">
        <v>0</v>
      </c>
      <c r="D75" s="741">
        <f t="shared" si="46"/>
        <v>0.21</v>
      </c>
      <c r="E75" s="740">
        <v>0</v>
      </c>
      <c r="F75" s="741">
        <f t="shared" si="47"/>
        <v>0.21</v>
      </c>
      <c r="G75" s="740">
        <v>0</v>
      </c>
      <c r="H75" s="741">
        <f t="shared" si="48"/>
        <v>0.21</v>
      </c>
      <c r="I75" s="740">
        <v>0</v>
      </c>
      <c r="J75" s="741">
        <f t="shared" si="49"/>
        <v>0.21</v>
      </c>
      <c r="K75" s="740">
        <v>0</v>
      </c>
      <c r="L75" s="741">
        <f t="shared" si="50"/>
        <v>0.21</v>
      </c>
      <c r="M75" s="629"/>
      <c r="N75" s="740">
        <v>0</v>
      </c>
      <c r="O75" s="741">
        <f t="shared" si="51"/>
        <v>0.21</v>
      </c>
      <c r="P75" s="740">
        <f t="shared" si="52"/>
        <v>0</v>
      </c>
      <c r="Q75" s="741">
        <f t="shared" si="51"/>
        <v>0.21</v>
      </c>
      <c r="R75" s="740">
        <v>0</v>
      </c>
      <c r="S75" s="741">
        <f t="shared" si="51"/>
        <v>0.21</v>
      </c>
      <c r="T75" s="740">
        <v>0</v>
      </c>
      <c r="U75" s="741">
        <f t="shared" si="51"/>
        <v>0.21</v>
      </c>
      <c r="V75" s="740">
        <v>0</v>
      </c>
      <c r="W75" s="741">
        <f t="shared" si="51"/>
        <v>0.21</v>
      </c>
      <c r="X75" s="647"/>
      <c r="Y75" s="740">
        <v>0</v>
      </c>
      <c r="Z75" s="741">
        <f t="shared" si="53"/>
        <v>0.21</v>
      </c>
      <c r="AA75" s="740">
        <f t="shared" si="54"/>
        <v>0</v>
      </c>
      <c r="AB75" s="741">
        <f t="shared" si="53"/>
        <v>0.21</v>
      </c>
      <c r="AC75" s="740">
        <v>0</v>
      </c>
      <c r="AD75" s="741">
        <f t="shared" si="53"/>
        <v>0.21</v>
      </c>
      <c r="AE75" s="740">
        <v>0</v>
      </c>
      <c r="AF75" s="741">
        <f t="shared" si="53"/>
        <v>0.21</v>
      </c>
      <c r="AG75" s="740">
        <v>0</v>
      </c>
      <c r="AH75" s="741">
        <f t="shared" si="53"/>
        <v>0.21</v>
      </c>
      <c r="AI75" s="18"/>
      <c r="AJ75" s="18"/>
      <c r="AL75" s="423">
        <f t="shared" si="40"/>
        <v>0</v>
      </c>
      <c r="AN75" s="599">
        <f>IFERROR(K75*$AO$4/$AR$4,0)</f>
        <v>0</v>
      </c>
      <c r="AO75" s="599">
        <f>IFERROR(K75*$AP$4/$AR$4,0)</f>
        <v>0</v>
      </c>
      <c r="AP75" s="599">
        <f>IFERROR(K75*$AQ$4/$AR$4,0)</f>
        <v>0</v>
      </c>
    </row>
    <row r="76" spans="2:42" x14ac:dyDescent="0.3">
      <c r="B76" s="748" t="s">
        <v>467</v>
      </c>
      <c r="C76" s="740">
        <v>0</v>
      </c>
      <c r="D76" s="741">
        <f t="shared" si="46"/>
        <v>0.21</v>
      </c>
      <c r="E76" s="740">
        <v>0</v>
      </c>
      <c r="F76" s="741">
        <f t="shared" si="47"/>
        <v>0.21</v>
      </c>
      <c r="G76" s="740">
        <v>0</v>
      </c>
      <c r="H76" s="741">
        <f t="shared" si="48"/>
        <v>0.21</v>
      </c>
      <c r="I76" s="740">
        <v>0</v>
      </c>
      <c r="J76" s="741">
        <f t="shared" si="49"/>
        <v>0.21</v>
      </c>
      <c r="K76" s="740">
        <v>0</v>
      </c>
      <c r="L76" s="741">
        <f t="shared" si="50"/>
        <v>0.21</v>
      </c>
      <c r="M76" s="629"/>
      <c r="N76" s="740">
        <v>0</v>
      </c>
      <c r="O76" s="741">
        <f t="shared" si="51"/>
        <v>0.21</v>
      </c>
      <c r="P76" s="740">
        <f t="shared" si="52"/>
        <v>0</v>
      </c>
      <c r="Q76" s="741">
        <f t="shared" si="51"/>
        <v>0.21</v>
      </c>
      <c r="R76" s="740">
        <v>0</v>
      </c>
      <c r="S76" s="741">
        <f t="shared" si="51"/>
        <v>0.21</v>
      </c>
      <c r="T76" s="740">
        <v>0</v>
      </c>
      <c r="U76" s="741">
        <f t="shared" si="51"/>
        <v>0.21</v>
      </c>
      <c r="V76" s="740">
        <v>0</v>
      </c>
      <c r="W76" s="741">
        <f t="shared" si="51"/>
        <v>0.21</v>
      </c>
      <c r="X76" s="647"/>
      <c r="Y76" s="740">
        <v>0</v>
      </c>
      <c r="Z76" s="741">
        <f t="shared" si="53"/>
        <v>0.21</v>
      </c>
      <c r="AA76" s="740">
        <f t="shared" si="54"/>
        <v>0</v>
      </c>
      <c r="AB76" s="741">
        <f t="shared" si="53"/>
        <v>0.21</v>
      </c>
      <c r="AC76" s="740">
        <v>0</v>
      </c>
      <c r="AD76" s="741">
        <f t="shared" si="53"/>
        <v>0.21</v>
      </c>
      <c r="AE76" s="740">
        <v>0</v>
      </c>
      <c r="AF76" s="741">
        <f t="shared" si="53"/>
        <v>0.21</v>
      </c>
      <c r="AG76" s="740">
        <v>0</v>
      </c>
      <c r="AH76" s="741">
        <f t="shared" si="53"/>
        <v>0.21</v>
      </c>
      <c r="AI76" s="18"/>
      <c r="AJ76" s="18"/>
      <c r="AL76" s="423">
        <f t="shared" si="40"/>
        <v>0</v>
      </c>
      <c r="AN76" s="599">
        <f>IFERROR(K76*$AO$4/$AR$4,0)</f>
        <v>0</v>
      </c>
      <c r="AO76" s="599">
        <f>IFERROR(K76*$AP$4/$AR$4,0)</f>
        <v>0</v>
      </c>
      <c r="AP76" s="599">
        <f>IFERROR(K76*$AQ$4/$AR$4,0)</f>
        <v>0</v>
      </c>
    </row>
    <row r="77" spans="2:42" x14ac:dyDescent="0.3">
      <c r="B77" s="744" t="s">
        <v>498</v>
      </c>
      <c r="C77" s="740">
        <v>0</v>
      </c>
      <c r="D77" s="741">
        <f t="shared" si="46"/>
        <v>0.21</v>
      </c>
      <c r="E77" s="740">
        <v>0</v>
      </c>
      <c r="F77" s="741">
        <f t="shared" si="47"/>
        <v>0.21</v>
      </c>
      <c r="G77" s="740">
        <v>0</v>
      </c>
      <c r="H77" s="741">
        <f t="shared" si="48"/>
        <v>0.21</v>
      </c>
      <c r="I77" s="740">
        <v>0</v>
      </c>
      <c r="J77" s="741">
        <f t="shared" si="49"/>
        <v>0.21</v>
      </c>
      <c r="K77" s="740">
        <v>0</v>
      </c>
      <c r="L77" s="741">
        <f t="shared" si="50"/>
        <v>0.21</v>
      </c>
      <c r="M77" s="629"/>
      <c r="N77" s="740">
        <v>0</v>
      </c>
      <c r="O77" s="741">
        <f t="shared" si="51"/>
        <v>0.21</v>
      </c>
      <c r="P77" s="740">
        <f t="shared" si="52"/>
        <v>0</v>
      </c>
      <c r="Q77" s="741">
        <f t="shared" si="51"/>
        <v>0.21</v>
      </c>
      <c r="R77" s="740">
        <v>0</v>
      </c>
      <c r="S77" s="741">
        <f t="shared" si="51"/>
        <v>0.21</v>
      </c>
      <c r="T77" s="740">
        <v>0</v>
      </c>
      <c r="U77" s="741">
        <f t="shared" si="51"/>
        <v>0.21</v>
      </c>
      <c r="V77" s="740">
        <v>0</v>
      </c>
      <c r="W77" s="741">
        <f t="shared" si="51"/>
        <v>0.21</v>
      </c>
      <c r="X77" s="647"/>
      <c r="Y77" s="740">
        <v>0</v>
      </c>
      <c r="Z77" s="741">
        <f t="shared" si="53"/>
        <v>0.21</v>
      </c>
      <c r="AA77" s="740">
        <f t="shared" si="54"/>
        <v>0</v>
      </c>
      <c r="AB77" s="741">
        <f t="shared" si="53"/>
        <v>0.21</v>
      </c>
      <c r="AC77" s="740">
        <v>0</v>
      </c>
      <c r="AD77" s="741">
        <f t="shared" si="53"/>
        <v>0.21</v>
      </c>
      <c r="AE77" s="740">
        <v>0</v>
      </c>
      <c r="AF77" s="741">
        <f t="shared" si="53"/>
        <v>0.21</v>
      </c>
      <c r="AG77" s="740">
        <v>0</v>
      </c>
      <c r="AH77" s="741">
        <f t="shared" si="53"/>
        <v>0.21</v>
      </c>
      <c r="AI77" s="18"/>
      <c r="AJ77" s="18"/>
      <c r="AL77" s="423">
        <f t="shared" si="40"/>
        <v>0</v>
      </c>
      <c r="AN77" s="599"/>
      <c r="AO77" s="599"/>
      <c r="AP77" s="599"/>
    </row>
    <row r="78" spans="2:42" x14ac:dyDescent="0.3">
      <c r="B78" s="744" t="s">
        <v>499</v>
      </c>
      <c r="C78" s="740">
        <v>0</v>
      </c>
      <c r="D78" s="741">
        <f t="shared" si="46"/>
        <v>0.21</v>
      </c>
      <c r="E78" s="740">
        <v>0</v>
      </c>
      <c r="F78" s="741">
        <f t="shared" si="47"/>
        <v>0.21</v>
      </c>
      <c r="G78" s="740">
        <v>0</v>
      </c>
      <c r="H78" s="741">
        <f t="shared" si="48"/>
        <v>0.21</v>
      </c>
      <c r="I78" s="740">
        <v>0</v>
      </c>
      <c r="J78" s="741">
        <f t="shared" si="49"/>
        <v>0.21</v>
      </c>
      <c r="K78" s="740">
        <v>0</v>
      </c>
      <c r="L78" s="741">
        <f t="shared" si="50"/>
        <v>0.21</v>
      </c>
      <c r="M78" s="629"/>
      <c r="N78" s="740">
        <v>0</v>
      </c>
      <c r="O78" s="741">
        <f t="shared" si="51"/>
        <v>0.21</v>
      </c>
      <c r="P78" s="740">
        <f t="shared" si="52"/>
        <v>0</v>
      </c>
      <c r="Q78" s="741">
        <f t="shared" si="51"/>
        <v>0.21</v>
      </c>
      <c r="R78" s="740">
        <v>0</v>
      </c>
      <c r="S78" s="741">
        <f t="shared" si="51"/>
        <v>0.21</v>
      </c>
      <c r="T78" s="740">
        <v>0</v>
      </c>
      <c r="U78" s="741">
        <f t="shared" si="51"/>
        <v>0.21</v>
      </c>
      <c r="V78" s="740">
        <v>0</v>
      </c>
      <c r="W78" s="741">
        <f t="shared" si="51"/>
        <v>0.21</v>
      </c>
      <c r="X78" s="647"/>
      <c r="Y78" s="740">
        <v>0</v>
      </c>
      <c r="Z78" s="741">
        <f t="shared" si="53"/>
        <v>0.21</v>
      </c>
      <c r="AA78" s="740">
        <f t="shared" si="54"/>
        <v>0</v>
      </c>
      <c r="AB78" s="741">
        <f t="shared" si="53"/>
        <v>0.21</v>
      </c>
      <c r="AC78" s="740">
        <v>0</v>
      </c>
      <c r="AD78" s="741">
        <f t="shared" si="53"/>
        <v>0.21</v>
      </c>
      <c r="AE78" s="740">
        <v>0</v>
      </c>
      <c r="AF78" s="741">
        <f t="shared" si="53"/>
        <v>0.21</v>
      </c>
      <c r="AG78" s="740">
        <v>0</v>
      </c>
      <c r="AH78" s="741">
        <f t="shared" si="53"/>
        <v>0.21</v>
      </c>
      <c r="AI78" s="18"/>
      <c r="AJ78" s="18"/>
      <c r="AL78" s="423">
        <f t="shared" si="40"/>
        <v>0</v>
      </c>
      <c r="AN78" s="599">
        <f>IFERROR(K78*$AO$4/$AR$4,0)</f>
        <v>0</v>
      </c>
      <c r="AO78" s="599">
        <f>IFERROR(K78*$AP$4/$AR$4,0)</f>
        <v>0</v>
      </c>
      <c r="AP78" s="599">
        <f>IFERROR(K78*$AQ$4/$AR$4,0)</f>
        <v>0</v>
      </c>
    </row>
    <row r="79" spans="2:42" x14ac:dyDescent="0.3">
      <c r="B79" s="737" t="s">
        <v>431</v>
      </c>
      <c r="C79" s="740">
        <f>C63-SUM(C68:C78)</f>
        <v>0</v>
      </c>
      <c r="D79" s="741">
        <f t="shared" si="46"/>
        <v>0.21</v>
      </c>
      <c r="E79" s="740">
        <f>E63-SUM(E68:E78)</f>
        <v>0</v>
      </c>
      <c r="F79" s="741">
        <f t="shared" si="47"/>
        <v>0.21</v>
      </c>
      <c r="G79" s="740">
        <f>G63-SUM(G68:G78)</f>
        <v>0</v>
      </c>
      <c r="H79" s="741">
        <f t="shared" si="48"/>
        <v>0.21</v>
      </c>
      <c r="I79" s="740">
        <f>I63-SUM(I68:I78)</f>
        <v>0</v>
      </c>
      <c r="J79" s="741">
        <f t="shared" si="49"/>
        <v>0.21</v>
      </c>
      <c r="K79" s="740">
        <f>K63-SUM(K68:K78)</f>
        <v>0</v>
      </c>
      <c r="L79" s="741">
        <f t="shared" si="50"/>
        <v>0.21</v>
      </c>
      <c r="M79" s="629"/>
      <c r="N79" s="740">
        <f>N63-SUM(N68:N78)</f>
        <v>0</v>
      </c>
      <c r="O79" s="741">
        <f t="shared" si="51"/>
        <v>0.21</v>
      </c>
      <c r="P79" s="740">
        <f>P63-SUM(P68:P78)</f>
        <v>0</v>
      </c>
      <c r="Q79" s="741">
        <f t="shared" si="51"/>
        <v>0.21</v>
      </c>
      <c r="R79" s="740">
        <f>R63-SUM(R68:R78)</f>
        <v>0</v>
      </c>
      <c r="S79" s="741">
        <f t="shared" si="51"/>
        <v>0.21</v>
      </c>
      <c r="T79" s="740">
        <f>T63-SUM(T68:T78)</f>
        <v>0</v>
      </c>
      <c r="U79" s="741">
        <f t="shared" si="51"/>
        <v>0.21</v>
      </c>
      <c r="V79" s="740">
        <f>V63-SUM(V68:V78)</f>
        <v>0</v>
      </c>
      <c r="W79" s="741">
        <f t="shared" si="51"/>
        <v>0.21</v>
      </c>
      <c r="X79" s="647"/>
      <c r="Y79" s="740">
        <v>0</v>
      </c>
      <c r="Z79" s="741">
        <f t="shared" si="53"/>
        <v>0.21</v>
      </c>
      <c r="AA79" s="740">
        <f>AA63-SUM(AA68:AA78)</f>
        <v>0</v>
      </c>
      <c r="AB79" s="741">
        <f t="shared" si="53"/>
        <v>0.21</v>
      </c>
      <c r="AC79" s="740">
        <f>AC63-SUM(AC68:AC78)</f>
        <v>0</v>
      </c>
      <c r="AD79" s="741">
        <f t="shared" si="53"/>
        <v>0.21</v>
      </c>
      <c r="AE79" s="740">
        <f>AE63-SUM(AE68:AE78)</f>
        <v>0</v>
      </c>
      <c r="AF79" s="741">
        <f t="shared" si="53"/>
        <v>0.21</v>
      </c>
      <c r="AG79" s="740">
        <f>AG63-SUM(AG68:AG78)</f>
        <v>0</v>
      </c>
      <c r="AH79" s="741">
        <f t="shared" si="53"/>
        <v>0.21</v>
      </c>
      <c r="AI79" s="18"/>
      <c r="AJ79" s="18"/>
      <c r="AL79" s="423">
        <f t="shared" si="40"/>
        <v>0</v>
      </c>
      <c r="AN79" s="599">
        <f>IFERROR(K79*$AO$4/$AR$4,0)</f>
        <v>0</v>
      </c>
      <c r="AO79" s="599">
        <f>IFERROR(K79*$AP$4/$AR$4,0)</f>
        <v>0</v>
      </c>
      <c r="AP79" s="599">
        <f>IFERROR(K79*$AQ$4/$AR$4,0)</f>
        <v>0</v>
      </c>
    </row>
    <row r="80" spans="2:42"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N80" s="599">
        <f>IFERROR(K80*$AO$4/$AR$4,0)</f>
        <v>0</v>
      </c>
      <c r="AO80" s="599">
        <f>IFERROR(K80*$AP$4/$AR$4,0)</f>
        <v>0</v>
      </c>
      <c r="AP80" s="599">
        <f>IFERROR(K80*$AQ$4/$AR$4,0)</f>
        <v>0</v>
      </c>
    </row>
    <row r="81" spans="2:42" ht="15" thickBot="1" x14ac:dyDescent="0.35">
      <c r="B81" s="307" t="s">
        <v>471</v>
      </c>
      <c r="C81" s="326">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J81" s="18" t="s">
        <v>470</v>
      </c>
      <c r="AL81" s="819">
        <f>AG81+V81+K81</f>
        <v>0</v>
      </c>
      <c r="AN81" s="599"/>
    </row>
    <row r="82" spans="2:42" x14ac:dyDescent="0.3">
      <c r="B82" s="54"/>
      <c r="C82" s="978"/>
      <c r="D82" s="978"/>
      <c r="E82" s="978"/>
      <c r="F82" s="978"/>
      <c r="G82" s="978"/>
      <c r="H82" s="978"/>
      <c r="I82" s="978"/>
      <c r="J82" s="978"/>
      <c r="K82" s="51"/>
      <c r="L82" s="18"/>
      <c r="M82" s="18"/>
      <c r="N82" s="978"/>
      <c r="O82" s="978"/>
      <c r="P82" s="978"/>
      <c r="Q82" s="978"/>
      <c r="R82" s="978"/>
      <c r="S82" s="978"/>
      <c r="T82" s="978"/>
      <c r="U82" s="978"/>
      <c r="V82" s="51"/>
      <c r="W82" s="18"/>
      <c r="X82" s="18"/>
      <c r="Y82" s="978"/>
      <c r="Z82" s="978"/>
      <c r="AA82" s="978"/>
      <c r="AB82" s="978"/>
      <c r="AC82" s="978"/>
      <c r="AD82" s="978"/>
      <c r="AE82" s="978"/>
      <c r="AF82" s="978"/>
      <c r="AG82" s="51"/>
      <c r="AH82" s="18"/>
      <c r="AI82" s="18"/>
      <c r="AJ82" s="18"/>
      <c r="AL82" s="423"/>
      <c r="AN82" s="423"/>
    </row>
    <row r="83" spans="2:42" ht="15" thickBot="1" x14ac:dyDescent="0.35">
      <c r="B83" s="977" t="s">
        <v>500</v>
      </c>
      <c r="C83" s="978"/>
      <c r="D83" s="978"/>
      <c r="E83" s="978"/>
      <c r="F83" s="978"/>
      <c r="G83" s="978"/>
      <c r="H83" s="978"/>
      <c r="I83" s="978">
        <f>I48*F10+I55*J55+I49*J49+I51*J51+I63+I63*J64+I61+I16</f>
        <v>0</v>
      </c>
      <c r="J83" s="978"/>
      <c r="K83" s="978">
        <f>K48*H10+K55*L55+K49*L49+K51*L51+K63+K63*L64+K61+K16</f>
        <v>0</v>
      </c>
      <c r="L83" s="18"/>
      <c r="M83" s="18"/>
      <c r="N83" s="978"/>
      <c r="O83" s="978"/>
      <c r="P83" s="978"/>
      <c r="Q83" s="978"/>
      <c r="R83" s="978"/>
      <c r="S83" s="978"/>
      <c r="T83" s="978">
        <f>T48*Q10+T55*U55+T49*U49+T51*U51+T63+T63*U64+T61+T16</f>
        <v>0</v>
      </c>
      <c r="U83" s="978"/>
      <c r="V83" s="978">
        <f>V48*S10+V55*W55+V49*W49+V51*W51+V63+V63*W64+V61+V16</f>
        <v>0</v>
      </c>
      <c r="W83" s="18"/>
      <c r="X83" s="18"/>
      <c r="Y83" s="978"/>
      <c r="Z83" s="978"/>
      <c r="AA83" s="978"/>
      <c r="AB83" s="978"/>
      <c r="AC83" s="978"/>
      <c r="AD83" s="978"/>
      <c r="AE83" s="978">
        <f>AE48*AB10+AE55*AF55+AE49*AF49+AE51*AF51+AE63+AE63*AF64+AE61+AE16</f>
        <v>0</v>
      </c>
      <c r="AF83" s="978"/>
      <c r="AG83" s="978">
        <f>AG48*AD10+AG55*AH55+AG49*AH49+AG51*AH51+AG63+AG63*AH64+AG61+AG16</f>
        <v>0</v>
      </c>
      <c r="AH83" s="18"/>
      <c r="AI83" s="18"/>
      <c r="AJ83" s="18"/>
      <c r="AL83" s="819"/>
      <c r="AN83" s="51"/>
      <c r="AO83" s="423"/>
      <c r="AP83" s="423"/>
    </row>
    <row r="84" spans="2:42" ht="15" thickBot="1" x14ac:dyDescent="0.35">
      <c r="AI84" s="18"/>
      <c r="AN84" s="597">
        <f>SUM(AN62:AN64)+AN16+AN20</f>
        <v>0</v>
      </c>
      <c r="AO84" s="599">
        <f>IFERROR(K84*$AP$4/$AR$4,0)</f>
        <v>0</v>
      </c>
      <c r="AP84" s="599">
        <f>IFERROR(K84*$AQ$4/$AR$4,0)</f>
        <v>0</v>
      </c>
    </row>
    <row r="85" spans="2:42" x14ac:dyDescent="0.3">
      <c r="B85" s="307" t="s">
        <v>61</v>
      </c>
      <c r="C85" s="102" t="s">
        <v>406</v>
      </c>
      <c r="D85" s="103"/>
      <c r="E85" s="102" t="s">
        <v>408</v>
      </c>
      <c r="F85" s="103"/>
      <c r="G85" s="104" t="s">
        <v>409</v>
      </c>
      <c r="H85" s="103"/>
      <c r="I85" s="104" t="s">
        <v>410</v>
      </c>
      <c r="J85" s="103"/>
      <c r="K85" s="104" t="s">
        <v>411</v>
      </c>
      <c r="L85" s="105"/>
      <c r="M85" s="480"/>
      <c r="N85" s="102" t="s">
        <v>406</v>
      </c>
      <c r="O85" s="103"/>
      <c r="P85" s="102" t="s">
        <v>408</v>
      </c>
      <c r="Q85" s="103"/>
      <c r="R85" s="104" t="s">
        <v>409</v>
      </c>
      <c r="S85" s="103"/>
      <c r="T85" s="104" t="s">
        <v>410</v>
      </c>
      <c r="U85" s="103"/>
      <c r="V85" s="104" t="s">
        <v>411</v>
      </c>
      <c r="W85" s="105"/>
      <c r="X85" s="480"/>
      <c r="Y85" s="102" t="s">
        <v>406</v>
      </c>
      <c r="Z85" s="103"/>
      <c r="AA85" s="102" t="s">
        <v>408</v>
      </c>
      <c r="AB85" s="103"/>
      <c r="AC85" s="104" t="s">
        <v>409</v>
      </c>
      <c r="AD85" s="103"/>
      <c r="AE85" s="104" t="s">
        <v>410</v>
      </c>
      <c r="AF85" s="103"/>
      <c r="AG85" s="104" t="s">
        <v>411</v>
      </c>
      <c r="AH85" s="105"/>
      <c r="AJ85" s="18"/>
      <c r="AN85" s="599"/>
    </row>
    <row r="86" spans="2:42" x14ac:dyDescent="0.3">
      <c r="B86" s="22" t="s">
        <v>475</v>
      </c>
      <c r="C86" s="439">
        <f>'Overzicht BTA'!D18+'Overzicht BTA'!D19+'Overzicht BTA'!F19</f>
        <v>0</v>
      </c>
      <c r="D86" s="323" t="s">
        <v>476</v>
      </c>
      <c r="E86" s="439">
        <f>'Overzicht BTA'!D62+'Overzicht BTA'!D63+'Overzicht BTA'!F63</f>
        <v>0</v>
      </c>
      <c r="F86" s="323" t="s">
        <v>476</v>
      </c>
      <c r="G86" s="439">
        <f>C86</f>
        <v>0</v>
      </c>
      <c r="H86" s="323" t="s">
        <v>476</v>
      </c>
      <c r="I86" s="439">
        <f>C86</f>
        <v>0</v>
      </c>
      <c r="J86" s="323" t="s">
        <v>476</v>
      </c>
      <c r="K86" s="439">
        <f>C86</f>
        <v>0</v>
      </c>
      <c r="L86" s="323" t="s">
        <v>476</v>
      </c>
      <c r="M86" s="321"/>
      <c r="N86" s="439">
        <f>'Overzicht BTA'!J18+'Overzicht BTA'!J19+'Overzicht BTA'!L19</f>
        <v>0</v>
      </c>
      <c r="O86" s="323" t="s">
        <v>476</v>
      </c>
      <c r="P86" s="439">
        <f>'Overzicht BTA'!J62+'Overzicht BTA'!J63+'Overzicht BTA'!L63</f>
        <v>0</v>
      </c>
      <c r="Q86" s="323" t="s">
        <v>476</v>
      </c>
      <c r="R86" s="439">
        <f>N86</f>
        <v>0</v>
      </c>
      <c r="S86" s="323" t="s">
        <v>476</v>
      </c>
      <c r="T86" s="439">
        <f>N86</f>
        <v>0</v>
      </c>
      <c r="U86" s="323" t="s">
        <v>476</v>
      </c>
      <c r="V86" s="439">
        <f>N86</f>
        <v>0</v>
      </c>
      <c r="W86" s="323" t="s">
        <v>476</v>
      </c>
      <c r="X86" s="649"/>
      <c r="Y86" s="439">
        <f>'Overzicht BTA'!P18+'Overzicht BTA'!P19+'Overzicht BTA'!R19</f>
        <v>0</v>
      </c>
      <c r="Z86" s="323" t="s">
        <v>476</v>
      </c>
      <c r="AA86" s="439">
        <f>'Overzicht BTA'!P62+'Overzicht BTA'!P63+'Overzicht BTA'!R63</f>
        <v>0</v>
      </c>
      <c r="AB86" s="323" t="s">
        <v>476</v>
      </c>
      <c r="AC86" s="439">
        <f>Y86</f>
        <v>0</v>
      </c>
      <c r="AD86" s="323" t="s">
        <v>476</v>
      </c>
      <c r="AE86" s="439">
        <f>Y86</f>
        <v>0</v>
      </c>
      <c r="AF86" s="323" t="s">
        <v>476</v>
      </c>
      <c r="AG86" s="439">
        <f>Y86</f>
        <v>0</v>
      </c>
      <c r="AH86" s="323" t="s">
        <v>476</v>
      </c>
      <c r="AJ86" t="s">
        <v>474</v>
      </c>
      <c r="AN86" s="599"/>
    </row>
    <row r="87" spans="2:42" x14ac:dyDescent="0.3">
      <c r="B87" s="916" t="s">
        <v>477</v>
      </c>
      <c r="C87" s="439">
        <f>'Overzicht BTA'!D19+'Overzicht BTA'!D20+'Overzicht BTA'!F20</f>
        <v>0</v>
      </c>
      <c r="D87" s="323" t="s">
        <v>476</v>
      </c>
      <c r="E87" s="439">
        <f>'Overzicht BTA'!D63+'Overzicht BTA'!D64+'Overzicht BTA'!F64</f>
        <v>0</v>
      </c>
      <c r="F87" s="323" t="s">
        <v>476</v>
      </c>
      <c r="G87" s="439">
        <f>C87</f>
        <v>0</v>
      </c>
      <c r="H87" s="323" t="s">
        <v>476</v>
      </c>
      <c r="I87" s="439">
        <f>C87</f>
        <v>0</v>
      </c>
      <c r="J87" s="323" t="s">
        <v>476</v>
      </c>
      <c r="K87" s="439">
        <f>C87</f>
        <v>0</v>
      </c>
      <c r="L87" s="323" t="s">
        <v>476</v>
      </c>
      <c r="M87" s="321"/>
      <c r="N87" s="439">
        <f>'Overzicht BTA'!J19+'Overzicht BTA'!J20+'Overzicht BTA'!L20</f>
        <v>0</v>
      </c>
      <c r="O87" s="323" t="s">
        <v>476</v>
      </c>
      <c r="P87" s="439">
        <f>'Overzicht BTA'!J63+'Overzicht BTA'!J64+'Overzicht BTA'!L64</f>
        <v>0</v>
      </c>
      <c r="Q87" s="323" t="s">
        <v>476</v>
      </c>
      <c r="R87" s="439">
        <f>N87</f>
        <v>0</v>
      </c>
      <c r="S87" s="323" t="s">
        <v>476</v>
      </c>
      <c r="T87" s="439">
        <f>N87</f>
        <v>0</v>
      </c>
      <c r="U87" s="323" t="s">
        <v>476</v>
      </c>
      <c r="V87" s="439">
        <f>N87</f>
        <v>0</v>
      </c>
      <c r="W87" s="323" t="s">
        <v>476</v>
      </c>
      <c r="X87" s="649"/>
      <c r="Y87" s="439">
        <f>'Overzicht BTA'!P19+'Overzicht BTA'!P20+'Overzicht BTA'!R20</f>
        <v>0</v>
      </c>
      <c r="Z87" s="323" t="s">
        <v>476</v>
      </c>
      <c r="AA87" s="439">
        <v>0</v>
      </c>
      <c r="AB87" s="323"/>
      <c r="AC87" s="439">
        <v>0</v>
      </c>
      <c r="AD87" s="323"/>
      <c r="AE87" s="439">
        <v>0</v>
      </c>
      <c r="AF87" s="323"/>
      <c r="AG87" s="439">
        <v>0</v>
      </c>
      <c r="AH87" s="323"/>
      <c r="AN87" s="599">
        <f>IFERROR(K87*$AO$4/$AR$4,0)</f>
        <v>0</v>
      </c>
      <c r="AO87" s="599">
        <f>IFERROR(K87*$AP$4/$AR$4,0)</f>
        <v>0</v>
      </c>
      <c r="AP87" s="599">
        <f>IFERROR(K87*$AQ$4/$AR$4,0)</f>
        <v>0</v>
      </c>
    </row>
    <row r="88" spans="2:42" x14ac:dyDescent="0.3">
      <c r="B88" s="983" t="s">
        <v>478</v>
      </c>
      <c r="C88" s="439">
        <f>'Overzicht BTA'!D20+'Overzicht BTA'!D21+'Overzicht BTA'!F21</f>
        <v>0</v>
      </c>
      <c r="D88" s="323" t="s">
        <v>476</v>
      </c>
      <c r="E88" s="439">
        <f>'Overzicht BTA'!D64+'Overzicht BTA'!D65+'Overzicht BTA'!F65</f>
        <v>0</v>
      </c>
      <c r="F88" s="323" t="s">
        <v>476</v>
      </c>
      <c r="G88" s="439">
        <f>C88</f>
        <v>0</v>
      </c>
      <c r="H88" s="323" t="s">
        <v>476</v>
      </c>
      <c r="I88" s="439">
        <f>C88</f>
        <v>0</v>
      </c>
      <c r="J88" s="323" t="s">
        <v>476</v>
      </c>
      <c r="K88" s="439">
        <f>C88</f>
        <v>0</v>
      </c>
      <c r="L88" s="323" t="s">
        <v>476</v>
      </c>
      <c r="M88" s="321"/>
      <c r="N88" s="439">
        <f>'Overzicht BTA'!J20+'Overzicht BTA'!J21+'Overzicht BTA'!L21</f>
        <v>0</v>
      </c>
      <c r="O88" s="323" t="s">
        <v>476</v>
      </c>
      <c r="P88" s="439">
        <f>'Overzicht BTA'!J64+'Overzicht BTA'!J65+'Overzicht BTA'!L65</f>
        <v>0</v>
      </c>
      <c r="Q88" s="323" t="s">
        <v>476</v>
      </c>
      <c r="R88" s="439">
        <f>N88</f>
        <v>0</v>
      </c>
      <c r="S88" s="323" t="s">
        <v>476</v>
      </c>
      <c r="T88" s="439">
        <f>N88</f>
        <v>0</v>
      </c>
      <c r="U88" s="323" t="s">
        <v>476</v>
      </c>
      <c r="V88" s="439">
        <f>N88</f>
        <v>0</v>
      </c>
      <c r="W88" s="323" t="s">
        <v>476</v>
      </c>
      <c r="X88" s="649"/>
      <c r="Y88" s="439">
        <f>'Overzicht BTA'!P20+'Overzicht BTA'!P21+'Overzicht BTA'!R21</f>
        <v>0</v>
      </c>
      <c r="Z88" s="323" t="s">
        <v>476</v>
      </c>
      <c r="AA88" s="439"/>
      <c r="AB88" s="323"/>
      <c r="AC88" s="439"/>
      <c r="AD88" s="323"/>
      <c r="AE88" s="439"/>
      <c r="AF88" s="323"/>
      <c r="AG88" s="439"/>
      <c r="AH88" s="323"/>
      <c r="AN88" s="599"/>
      <c r="AO88" s="599"/>
      <c r="AP88" s="599"/>
    </row>
    <row r="89" spans="2:42" x14ac:dyDescent="0.3">
      <c r="B89" s="917" t="s">
        <v>130</v>
      </c>
      <c r="C89" s="439">
        <f>'Overzicht BTA'!D21+'Overzicht BTA'!D22+'Overzicht BTA'!F22</f>
        <v>0</v>
      </c>
      <c r="D89" s="323" t="s">
        <v>476</v>
      </c>
      <c r="E89" s="439" t="e">
        <f>'Overzicht BTA'!D65+'Overzicht BTA'!D66+'Overzicht BTA'!F66</f>
        <v>#N/A</v>
      </c>
      <c r="F89" s="323" t="s">
        <v>476</v>
      </c>
      <c r="G89" s="439">
        <f>C89</f>
        <v>0</v>
      </c>
      <c r="H89" s="323" t="s">
        <v>476</v>
      </c>
      <c r="I89" s="439">
        <f>C89</f>
        <v>0</v>
      </c>
      <c r="J89" s="323" t="s">
        <v>476</v>
      </c>
      <c r="K89" s="439">
        <f>C89</f>
        <v>0</v>
      </c>
      <c r="L89" s="323" t="s">
        <v>476</v>
      </c>
      <c r="M89" s="321"/>
      <c r="N89" s="439">
        <f>'Overzicht BTA'!J21+'Overzicht BTA'!J22+'Overzicht BTA'!L22</f>
        <v>0</v>
      </c>
      <c r="O89" s="323" t="s">
        <v>476</v>
      </c>
      <c r="P89" s="439">
        <f>'Overzicht BTA'!J65+'Overzicht BTA'!J66+'Overzicht BTA'!L66</f>
        <v>0</v>
      </c>
      <c r="Q89" s="323" t="s">
        <v>476</v>
      </c>
      <c r="R89" s="439">
        <f>N89</f>
        <v>0</v>
      </c>
      <c r="S89" s="323" t="s">
        <v>476</v>
      </c>
      <c r="T89" s="439">
        <f>N89</f>
        <v>0</v>
      </c>
      <c r="U89" s="323" t="s">
        <v>476</v>
      </c>
      <c r="V89" s="439">
        <f>N89</f>
        <v>0</v>
      </c>
      <c r="W89" s="323" t="s">
        <v>476</v>
      </c>
      <c r="X89" s="649"/>
      <c r="Y89" s="439">
        <f>'Overzicht BTA'!P21+'Overzicht BTA'!P22+'Overzicht BTA'!R22</f>
        <v>0</v>
      </c>
      <c r="Z89" s="323" t="s">
        <v>476</v>
      </c>
      <c r="AA89" s="439">
        <v>0</v>
      </c>
      <c r="AB89" s="323"/>
      <c r="AC89" s="439">
        <v>0</v>
      </c>
      <c r="AD89" s="323"/>
      <c r="AE89" s="439">
        <v>0</v>
      </c>
      <c r="AF89" s="323"/>
      <c r="AG89" s="439">
        <v>0</v>
      </c>
      <c r="AH89" s="323"/>
      <c r="AN89" s="599">
        <f>IFERROR(K89*$AO$4/$AR$4,0)</f>
        <v>0</v>
      </c>
      <c r="AO89" s="599">
        <f>IFERROR(K89*$AP$4/$AR$4,0)</f>
        <v>0</v>
      </c>
      <c r="AP89" s="599">
        <f>IFERROR(K89*$AQ$4/$AR$4,0)</f>
        <v>0</v>
      </c>
    </row>
    <row r="90" spans="2:42" x14ac:dyDescent="0.3">
      <c r="B90" s="22" t="s">
        <v>479</v>
      </c>
      <c r="C90" s="439">
        <v>0</v>
      </c>
      <c r="D90" s="323" t="s">
        <v>476</v>
      </c>
      <c r="E90" s="439">
        <f>C90</f>
        <v>0</v>
      </c>
      <c r="F90" s="323" t="s">
        <v>476</v>
      </c>
      <c r="G90" s="439">
        <f>E90</f>
        <v>0</v>
      </c>
      <c r="H90" s="323" t="s">
        <v>476</v>
      </c>
      <c r="I90" s="439">
        <f>G90</f>
        <v>0</v>
      </c>
      <c r="J90" s="323" t="s">
        <v>476</v>
      </c>
      <c r="K90" s="439">
        <f>I90</f>
        <v>0</v>
      </c>
      <c r="L90" s="323" t="s">
        <v>476</v>
      </c>
      <c r="M90" s="321"/>
      <c r="N90" s="439">
        <v>0</v>
      </c>
      <c r="O90" s="323" t="s">
        <v>476</v>
      </c>
      <c r="P90" s="439">
        <f>N90</f>
        <v>0</v>
      </c>
      <c r="Q90" s="323" t="s">
        <v>476</v>
      </c>
      <c r="R90" s="439">
        <f>P90</f>
        <v>0</v>
      </c>
      <c r="S90" s="323" t="s">
        <v>476</v>
      </c>
      <c r="T90" s="439">
        <f>R90</f>
        <v>0</v>
      </c>
      <c r="U90" s="323" t="s">
        <v>476</v>
      </c>
      <c r="V90" s="439">
        <f>T90</f>
        <v>0</v>
      </c>
      <c r="W90" s="323" t="s">
        <v>476</v>
      </c>
      <c r="X90" s="649"/>
      <c r="Y90" s="439">
        <v>0</v>
      </c>
      <c r="Z90" s="323" t="s">
        <v>476</v>
      </c>
      <c r="AA90" s="439">
        <f>Y90</f>
        <v>0</v>
      </c>
      <c r="AB90" s="323" t="s">
        <v>476</v>
      </c>
      <c r="AC90" s="439">
        <f>AA90</f>
        <v>0</v>
      </c>
      <c r="AD90" s="323" t="s">
        <v>476</v>
      </c>
      <c r="AE90" s="439">
        <f>AC90</f>
        <v>0</v>
      </c>
      <c r="AF90" s="323" t="s">
        <v>476</v>
      </c>
      <c r="AG90" s="439">
        <f>AE90</f>
        <v>0</v>
      </c>
      <c r="AH90" s="323" t="s">
        <v>476</v>
      </c>
      <c r="AN90" s="599">
        <f>IFERROR(K90*$AO$4/$AR$4,0)</f>
        <v>0</v>
      </c>
      <c r="AO90" s="599">
        <f>IFERROR(K90*$AP$4/$AR$4,0)</f>
        <v>0</v>
      </c>
      <c r="AP90" s="599">
        <f>IFERROR(K90*$AQ$4/$AR$4,0)</f>
        <v>0</v>
      </c>
    </row>
    <row r="91" spans="2:42"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N91" s="599">
        <f>IFERROR(K91*$AO$4/$AR$4,0)</f>
        <v>0</v>
      </c>
      <c r="AO91" s="599">
        <f>IFERROR(K91*$AP$4/$AR$4,0)</f>
        <v>0</v>
      </c>
      <c r="AP91" s="599">
        <f>IFERROR(K91*$AQ$4/$AR$4,0)</f>
        <v>0</v>
      </c>
    </row>
    <row r="92" spans="2:42" x14ac:dyDescent="0.3">
      <c r="B92" s="22" t="s">
        <v>88</v>
      </c>
      <c r="C92" s="1086">
        <f>'Overzicht BTA'!$C$36</f>
        <v>2026</v>
      </c>
      <c r="D92" s="321"/>
      <c r="E92" s="1086">
        <f>'Overzicht BTA'!$C$37</f>
        <v>2026</v>
      </c>
      <c r="F92" s="321"/>
      <c r="G92" s="1086">
        <v>2025</v>
      </c>
      <c r="H92" s="321"/>
      <c r="I92" s="1086">
        <v>2025</v>
      </c>
      <c r="J92" s="321"/>
      <c r="K92" s="1086">
        <v>2025</v>
      </c>
      <c r="L92" s="321"/>
      <c r="M92" s="321"/>
      <c r="N92" s="1086">
        <f>'Overzicht BTA'!$C$36</f>
        <v>2026</v>
      </c>
      <c r="O92" s="321"/>
      <c r="P92" s="1086">
        <f>'Overzicht BTA'!$C$37</f>
        <v>2026</v>
      </c>
      <c r="Q92" s="321"/>
      <c r="R92" s="1086">
        <v>2025</v>
      </c>
      <c r="S92" s="321"/>
      <c r="T92" s="1086">
        <v>2025</v>
      </c>
      <c r="U92" s="321"/>
      <c r="V92" s="1086">
        <v>2025</v>
      </c>
      <c r="W92" s="321"/>
      <c r="X92" s="321"/>
      <c r="Y92" s="1086">
        <f>'Overzicht BTA'!$C$36</f>
        <v>2026</v>
      </c>
      <c r="Z92" s="321"/>
      <c r="AA92" s="1086">
        <f>'Overzicht BTA'!$C$37</f>
        <v>2026</v>
      </c>
      <c r="AB92" s="321"/>
      <c r="AC92" s="1086">
        <v>2025</v>
      </c>
      <c r="AD92" s="321"/>
      <c r="AE92" s="1086">
        <v>2025</v>
      </c>
      <c r="AF92" s="321"/>
      <c r="AG92" s="1086">
        <v>2025</v>
      </c>
      <c r="AH92" s="321"/>
      <c r="AJ92" t="s">
        <v>480</v>
      </c>
      <c r="AN92" s="599"/>
    </row>
    <row r="93" spans="2:42"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c r="AN93" s="89">
        <f>$K$93</f>
        <v>0</v>
      </c>
      <c r="AO93" s="89">
        <f>$K$93</f>
        <v>0</v>
      </c>
      <c r="AP93" s="89">
        <f>$K$93</f>
        <v>0</v>
      </c>
    </row>
    <row r="94" spans="2:42"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599"/>
    </row>
    <row r="95" spans="2:42" x14ac:dyDescent="0.3">
      <c r="AN95" s="610">
        <f>$K$95</f>
        <v>0</v>
      </c>
      <c r="AO95" s="610">
        <f>$K$95</f>
        <v>0</v>
      </c>
      <c r="AP95" s="610">
        <f>$K$95</f>
        <v>0</v>
      </c>
    </row>
    <row r="96" spans="2:42"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473</v>
      </c>
      <c r="Q96" s="103"/>
      <c r="R96" s="104" t="s">
        <v>409</v>
      </c>
      <c r="S96" s="103"/>
      <c r="T96" s="104" t="s">
        <v>410</v>
      </c>
      <c r="U96" s="103"/>
      <c r="V96" s="104" t="s">
        <v>411</v>
      </c>
      <c r="W96" s="105"/>
      <c r="X96" s="480"/>
      <c r="Y96" s="102" t="s">
        <v>473</v>
      </c>
      <c r="Z96" s="103"/>
      <c r="AA96" s="102" t="s">
        <v>473</v>
      </c>
      <c r="AB96" s="103"/>
      <c r="AC96" s="104" t="s">
        <v>409</v>
      </c>
      <c r="AD96" s="103"/>
      <c r="AE96" s="104" t="s">
        <v>410</v>
      </c>
      <c r="AF96" s="103"/>
      <c r="AG96" s="104" t="s">
        <v>411</v>
      </c>
      <c r="AH96" s="105"/>
      <c r="AN96" s="599"/>
    </row>
    <row r="97" spans="2:42"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599"/>
    </row>
    <row r="98" spans="2:42"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318">
        <f>IFERROR(AN48/AN87,0)</f>
        <v>0</v>
      </c>
      <c r="AO98" s="318">
        <f>IFERROR(AO48/AO87,0)</f>
        <v>0</v>
      </c>
      <c r="AP98" s="318">
        <f>IFERROR(AP48/AP87,0)</f>
        <v>0</v>
      </c>
    </row>
    <row r="99" spans="2:42"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318">
        <f>IFERROR(AN50/AN87,0)</f>
        <v>0</v>
      </c>
      <c r="AO99" s="318">
        <f>IFERROR(AO50/AO87,0)</f>
        <v>0</v>
      </c>
      <c r="AP99" s="318">
        <f>IFERROR(AP50/AP87,0)</f>
        <v>0</v>
      </c>
    </row>
    <row r="100" spans="2:42"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318">
        <f>IFERROR(AN49/AN87,0)</f>
        <v>0</v>
      </c>
      <c r="AO100" s="318">
        <f>IFERROR(AO49/AO87,0)</f>
        <v>0</v>
      </c>
      <c r="AP100" s="318">
        <f>IFERROR(AP49/AP87,0)</f>
        <v>0</v>
      </c>
    </row>
    <row r="101" spans="2:42" x14ac:dyDescent="0.3">
      <c r="B101" s="310" t="s">
        <v>359</v>
      </c>
      <c r="C101" s="309" t="e">
        <f>IF(B3="verbouwing",'Bouwkost NB'!C123*'Bouwkost NB'!C95*10/6*75%,'Bouwkost NB'!C123*'Bouwkost NB'!C95*10/6)</f>
        <v>#N/A</v>
      </c>
      <c r="D101" s="315" t="s">
        <v>278</v>
      </c>
      <c r="E101" s="309" t="e">
        <f>IF(E2="verbouwing",'Bouwkost NB'!E123*'Bouwkost NB'!E95*10/6*75%,'Bouwkost NB'!E123*'Bouwkost NB'!E95*10/6)</f>
        <v>#N/A</v>
      </c>
      <c r="F101" s="315" t="s">
        <v>278</v>
      </c>
      <c r="G101" s="309">
        <f>IF(B3="verbouwing",'Bouwkost NB'!C123*'Bouwkost NB'!G95*10/6*75%,'Bouwkost NB'!C123*'Bouwkost NB'!G95*10/6)</f>
        <v>0</v>
      </c>
      <c r="H101" s="315" t="s">
        <v>278</v>
      </c>
      <c r="I101" s="309">
        <f>IF(B3="verbouwing",'Bouwkost NB'!C123*'Bouwkost NB'!I95*10/6*75%,'Bouwkost NB'!C123*'Bouwkost NB'!I95*10/6)</f>
        <v>0</v>
      </c>
      <c r="J101" s="315" t="s">
        <v>278</v>
      </c>
      <c r="K101" s="309">
        <f>IF(B3="verbouwing",'Bouwkost NB'!C123*'Bouwkost NB'!K95*10/6*75%,'Bouwkost NB'!C123*'Bouwkost NB'!K95*10/6)</f>
        <v>0</v>
      </c>
      <c r="L101" s="315" t="s">
        <v>278</v>
      </c>
      <c r="M101" s="633"/>
      <c r="N101" s="309" t="e">
        <f>IF(L3="verbouwing",'Bouwkost NB'!L123*'Bouwkost NB'!N95*10/6*75%,'Bouwkost NB'!L123*'Bouwkost NB'!N95*10/6)</f>
        <v>#N/A</v>
      </c>
      <c r="O101" s="315" t="s">
        <v>278</v>
      </c>
      <c r="P101" s="309" t="e">
        <f>IF(P2="verbouwing",'Bouwkost NB'!P123*'Bouwkost NB'!P95*10/6*75%,'Bouwkost NB'!P123*'Bouwkost NB'!P95*10/6)</f>
        <v>#N/A</v>
      </c>
      <c r="Q101" s="315" t="s">
        <v>278</v>
      </c>
      <c r="R101" s="309">
        <f>IF(L3="verbouwing",'Bouwkost NB'!L123*'Bouwkost NB'!R95*10/6*75%,'Bouwkost NB'!L123*'Bouwkost NB'!R95*10/6)</f>
        <v>0</v>
      </c>
      <c r="S101" s="315" t="s">
        <v>278</v>
      </c>
      <c r="T101" s="309">
        <f>IF(L3="verbouwing",'Bouwkost NB'!L123*'Bouwkost NB'!T95*10/6*75%,'Bouwkost NB'!L123*'Bouwkost NB'!T95*10/6)</f>
        <v>0</v>
      </c>
      <c r="U101" s="315" t="s">
        <v>278</v>
      </c>
      <c r="V101" s="309">
        <f>IF(L3="verbouwing",'Bouwkost NB'!L123*'Bouwkost NB'!V95*10/6*75%,'Bouwkost NB'!L123*'Bouwkost NB'!V95*10/6)</f>
        <v>0</v>
      </c>
      <c r="W101" s="315" t="s">
        <v>278</v>
      </c>
      <c r="X101" s="652"/>
      <c r="Y101" s="309" t="e">
        <f>IF(Y2="verbouwing",'Bouwkost NB'!Y123*'Bouwkost NB'!Y95*10/6*75%,'Bouwkost NB'!Y123*'Bouwkost NB'!Y95*10/6)</f>
        <v>#N/A</v>
      </c>
      <c r="Z101" s="315" t="s">
        <v>278</v>
      </c>
      <c r="AA101" s="309" t="e">
        <f>IF(AO2="verbouwing",'Bouwkost NB'!AA123*'Bouwkost NB'!AA95*10/6*75%,'Bouwkost NB'!AA123*'Bouwkost NB'!AA95*10/6)</f>
        <v>#N/A</v>
      </c>
      <c r="AB101" s="315" t="s">
        <v>278</v>
      </c>
      <c r="AC101" s="309">
        <f>IF(Y2="verbouwing",'Bouwkost NB'!Y123*'Bouwkost NB'!AC95*10/6*75%,'Bouwkost NB'!Y123*'Bouwkost NB'!AC95*10/6)</f>
        <v>0</v>
      </c>
      <c r="AD101" s="315" t="s">
        <v>278</v>
      </c>
      <c r="AE101" s="309">
        <f>IF(Y2="verbouwing",'Bouwkost NB'!Y123*'Bouwkost NB'!AE95*10/6*75%,'Bouwkost NB'!Y123*'Bouwkost NB'!AE95*10/6)</f>
        <v>0</v>
      </c>
      <c r="AF101" s="315" t="s">
        <v>278</v>
      </c>
      <c r="AG101" s="309">
        <f>IF(Y2="verbouwing",'Bouwkost NB'!Y123*'Bouwkost NB'!AG95*10/6*75%,'Bouwkost NB'!Y123*'Bouwkost NB'!AG95*10/6)</f>
        <v>0</v>
      </c>
      <c r="AH101" s="315" t="s">
        <v>278</v>
      </c>
      <c r="AN101" s="599"/>
    </row>
    <row r="102" spans="2:42"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309">
        <f>$K$102</f>
        <v>0</v>
      </c>
      <c r="AO102" s="309">
        <f>$K$102</f>
        <v>0</v>
      </c>
      <c r="AP102" s="309">
        <f>$K$102</f>
        <v>0</v>
      </c>
    </row>
    <row r="103" spans="2:42" x14ac:dyDescent="0.3">
      <c r="B103" s="310" t="s">
        <v>361</v>
      </c>
      <c r="C103" s="309" t="e">
        <f>C101+C105</f>
        <v>#N/A</v>
      </c>
      <c r="D103" s="315" t="s">
        <v>278</v>
      </c>
      <c r="E103" s="309" t="e">
        <f>E101+E105</f>
        <v>#N/A</v>
      </c>
      <c r="F103" s="315" t="s">
        <v>278</v>
      </c>
      <c r="G103" s="309">
        <f>G101+G105</f>
        <v>195.14750000000001</v>
      </c>
      <c r="H103" s="315" t="s">
        <v>278</v>
      </c>
      <c r="I103" s="309">
        <f>I101+I105</f>
        <v>195.14750000000001</v>
      </c>
      <c r="J103" s="315" t="s">
        <v>278</v>
      </c>
      <c r="K103" s="309">
        <f>K101+K105</f>
        <v>195.14750000000001</v>
      </c>
      <c r="L103" s="315" t="s">
        <v>278</v>
      </c>
      <c r="M103" s="633"/>
      <c r="N103" s="309" t="e">
        <f>N101+N105</f>
        <v>#N/A</v>
      </c>
      <c r="O103" s="315" t="s">
        <v>278</v>
      </c>
      <c r="P103" s="309" t="e">
        <f>P101+P105</f>
        <v>#N/A</v>
      </c>
      <c r="Q103" s="315" t="s">
        <v>278</v>
      </c>
      <c r="R103" s="309">
        <f>R101+R105</f>
        <v>0</v>
      </c>
      <c r="S103" s="315" t="s">
        <v>278</v>
      </c>
      <c r="T103" s="309">
        <f>T101+T105</f>
        <v>0</v>
      </c>
      <c r="U103" s="315" t="s">
        <v>278</v>
      </c>
      <c r="V103" s="309">
        <f>V101+V105</f>
        <v>0</v>
      </c>
      <c r="W103" s="315" t="s">
        <v>278</v>
      </c>
      <c r="X103" s="652"/>
      <c r="Y103" s="309" t="e">
        <f>Y101+Y105</f>
        <v>#N/A</v>
      </c>
      <c r="Z103" s="315" t="s">
        <v>278</v>
      </c>
      <c r="AA103" s="309" t="e">
        <f>AA101+AA105</f>
        <v>#N/A</v>
      </c>
      <c r="AB103" s="315" t="s">
        <v>278</v>
      </c>
      <c r="AC103" s="309">
        <f>AC101+AC105</f>
        <v>195.14750000000001</v>
      </c>
      <c r="AD103" s="315" t="s">
        <v>278</v>
      </c>
      <c r="AE103" s="309">
        <f>AE101+AE105</f>
        <v>195.14750000000001</v>
      </c>
      <c r="AF103" s="315" t="s">
        <v>278</v>
      </c>
      <c r="AG103" s="309">
        <f>AG101+AG105</f>
        <v>195.14750000000001</v>
      </c>
      <c r="AH103" s="315" t="s">
        <v>278</v>
      </c>
      <c r="AN103" s="433">
        <f>IFERROR(+AN98/AN102,0)</f>
        <v>0</v>
      </c>
      <c r="AO103" s="433">
        <f>IFERROR(+AO98/AO102,0)</f>
        <v>0</v>
      </c>
      <c r="AP103" s="433">
        <f>IFERROR(+AP98/AP102,0)</f>
        <v>0</v>
      </c>
    </row>
    <row r="104" spans="2:42"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309">
        <f>$K$104</f>
        <v>0</v>
      </c>
      <c r="AO104" s="309">
        <f>$K$104</f>
        <v>0</v>
      </c>
      <c r="AP104" s="309">
        <f>$K$104</f>
        <v>0</v>
      </c>
    </row>
    <row r="105" spans="2:42" x14ac:dyDescent="0.3">
      <c r="B105" s="310" t="s">
        <v>362</v>
      </c>
      <c r="C105" s="309" t="e">
        <f>'Bouwkost NB'!$C$124*'Bouwkost NB'!$C$95*10/6</f>
        <v>#N/A</v>
      </c>
      <c r="D105" s="315" t="s">
        <v>278</v>
      </c>
      <c r="E105" s="309" t="e">
        <f>'Bouwkost NB'!$C$124*'Bouwkost NB'!$C$95*10/6</f>
        <v>#N/A</v>
      </c>
      <c r="F105" s="315" t="s">
        <v>278</v>
      </c>
      <c r="G105" s="309">
        <f>'Bouwkost NB'!C124*'Bouwkost NB'!G95*10/6</f>
        <v>195.14750000000001</v>
      </c>
      <c r="H105" s="315" t="s">
        <v>278</v>
      </c>
      <c r="I105" s="309">
        <f>'Bouwkost NB'!C124*'Bouwkost NB'!I95*10/6</f>
        <v>195.14750000000001</v>
      </c>
      <c r="J105" s="315" t="s">
        <v>278</v>
      </c>
      <c r="K105" s="309">
        <f>'Bouwkost NB'!C124*'Bouwkost NB'!K95*10/6</f>
        <v>195.14750000000001</v>
      </c>
      <c r="L105" s="315" t="s">
        <v>278</v>
      </c>
      <c r="M105" s="633"/>
      <c r="N105" s="309" t="e">
        <f>'Bouwkost NB'!L124*'Bouwkost NB'!N95*10/6</f>
        <v>#N/A</v>
      </c>
      <c r="O105" s="315" t="s">
        <v>278</v>
      </c>
      <c r="P105" s="309" t="e">
        <f>'Bouwkost NB'!P124*'Bouwkost NB'!P95*10/6</f>
        <v>#N/A</v>
      </c>
      <c r="Q105" s="315" t="s">
        <v>278</v>
      </c>
      <c r="R105" s="309">
        <f>'Bouwkost NB'!L124*'Bouwkost NB'!R95*10/6</f>
        <v>0</v>
      </c>
      <c r="S105" s="315" t="s">
        <v>278</v>
      </c>
      <c r="T105" s="309">
        <f>'Bouwkost NB'!L124*'Bouwkost NB'!T95*10/6</f>
        <v>0</v>
      </c>
      <c r="U105" s="315" t="s">
        <v>278</v>
      </c>
      <c r="V105" s="309">
        <f>'Bouwkost NB'!L124*'Bouwkost NB'!V95*10/6</f>
        <v>0</v>
      </c>
      <c r="W105" s="315" t="s">
        <v>278</v>
      </c>
      <c r="X105" s="652"/>
      <c r="Y105" s="309" t="e">
        <f>'Bouwkost NB'!Y124*'Bouwkost NB'!Y95*10/6</f>
        <v>#N/A</v>
      </c>
      <c r="Z105" s="315" t="s">
        <v>278</v>
      </c>
      <c r="AA105" s="309" t="e">
        <f>'Bouwkost NB'!AA124*'Bouwkost NB'!AA95*10/6</f>
        <v>#N/A</v>
      </c>
      <c r="AB105" s="315" t="s">
        <v>278</v>
      </c>
      <c r="AC105" s="309">
        <f>'Bouwkost NB'!Y124*'Bouwkost NB'!AC95*10/6</f>
        <v>195.14750000000001</v>
      </c>
      <c r="AD105" s="315" t="s">
        <v>278</v>
      </c>
      <c r="AE105" s="309">
        <f>'Bouwkost NB'!Y124*'Bouwkost NB'!AE95*10/6</f>
        <v>195.14750000000001</v>
      </c>
      <c r="AF105" s="315" t="s">
        <v>278</v>
      </c>
      <c r="AG105" s="309">
        <f>'Bouwkost NB'!Y124*'Bouwkost NB'!AG95*10/6</f>
        <v>195.14750000000001</v>
      </c>
      <c r="AH105" s="315" t="s">
        <v>278</v>
      </c>
      <c r="AN105" s="433">
        <f>IFERROR(AN99/AN104,0)</f>
        <v>0</v>
      </c>
      <c r="AO105" s="433">
        <f>IFERROR(AO99/AO104,0)</f>
        <v>0</v>
      </c>
      <c r="AP105" s="433">
        <f>IFERROR(AP99/AP104,0)</f>
        <v>0</v>
      </c>
    </row>
    <row r="106" spans="2:42"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309">
        <f>$K$106</f>
        <v>0</v>
      </c>
      <c r="AO106" s="309">
        <f>$K$106</f>
        <v>0</v>
      </c>
      <c r="AP106" s="309">
        <f>$K$106</f>
        <v>0</v>
      </c>
    </row>
    <row r="107" spans="2:42"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433">
        <f>IFERROR(AN100/AN106,0)</f>
        <v>0</v>
      </c>
      <c r="AO107" s="433">
        <f>IFERROR(AO100/AO106,0)</f>
        <v>0</v>
      </c>
      <c r="AP107" s="433">
        <f>IFERROR(AP100/AP106,0)</f>
        <v>0</v>
      </c>
    </row>
    <row r="108" spans="2:42" x14ac:dyDescent="0.3">
      <c r="B108" s="310" t="s">
        <v>483</v>
      </c>
      <c r="C108" s="1036" t="e">
        <f>C51/C90</f>
        <v>#DIV/0!</v>
      </c>
      <c r="D108" s="308"/>
      <c r="E108" s="1036" t="e">
        <f>E51/E90</f>
        <v>#DIV/0!</v>
      </c>
      <c r="F108" s="308"/>
      <c r="G108" s="1036" t="e">
        <f>G51/G90</f>
        <v>#DIV/0!</v>
      </c>
      <c r="H108" s="308"/>
      <c r="I108" s="1036" t="e">
        <f>I51/I90</f>
        <v>#DIV/0!</v>
      </c>
      <c r="J108" s="308"/>
      <c r="K108" s="1036" t="e">
        <f>K51/K90</f>
        <v>#DIV/0!</v>
      </c>
      <c r="L108" s="308"/>
      <c r="M108" s="311"/>
      <c r="N108" s="1036" t="e">
        <f>N51/N90</f>
        <v>#DIV/0!</v>
      </c>
      <c r="O108" s="308"/>
      <c r="P108" s="1036" t="e">
        <f>P51/P90</f>
        <v>#DIV/0!</v>
      </c>
      <c r="Q108" s="308"/>
      <c r="R108" s="1036" t="e">
        <f>R51/R90</f>
        <v>#DIV/0!</v>
      </c>
      <c r="S108" s="308"/>
      <c r="T108" s="1036" t="e">
        <f>T51/T90</f>
        <v>#DIV/0!</v>
      </c>
      <c r="U108" s="308"/>
      <c r="V108" s="1036" t="e">
        <f>V51/V90</f>
        <v>#DIV/0!</v>
      </c>
      <c r="W108" s="308"/>
      <c r="X108" s="654"/>
      <c r="Y108" s="1036" t="e">
        <f>Y51/Y90</f>
        <v>#DIV/0!</v>
      </c>
      <c r="Z108" s="308"/>
      <c r="AA108" s="1036" t="e">
        <f>AA51/AA90</f>
        <v>#DIV/0!</v>
      </c>
      <c r="AB108" s="308"/>
      <c r="AC108" s="1036" t="e">
        <f>AC51/AC90</f>
        <v>#DIV/0!</v>
      </c>
      <c r="AD108" s="308"/>
      <c r="AE108" s="1036" t="e">
        <f>AE51/AE90</f>
        <v>#DIV/0!</v>
      </c>
      <c r="AF108" s="308"/>
      <c r="AG108" s="1036" t="e">
        <f>AG51/AG90</f>
        <v>#DIV/0!</v>
      </c>
      <c r="AH108" s="308"/>
      <c r="AN108" s="599"/>
      <c r="AO108" s="599"/>
      <c r="AP108" s="599"/>
    </row>
    <row r="109" spans="2:42"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309">
        <f>IFERROR(AN51/AN91,0)</f>
        <v>0</v>
      </c>
      <c r="AO109" s="309">
        <f>IFERROR(AO51/AO91,0)</f>
        <v>0</v>
      </c>
      <c r="AP109" s="309">
        <f>IFERROR(AP51/AP91,0)</f>
        <v>0</v>
      </c>
    </row>
    <row r="110" spans="2:42"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42"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55">AG111+V111+K111</f>
        <v>0</v>
      </c>
      <c r="AM111" s="820" t="str">
        <f>IF(ISNUMBER(ROUND(AL111/(C24+N24+Y24),2)),ROUND(AL111/(C24+N24+Y24),2),"/")</f>
        <v>/</v>
      </c>
    </row>
    <row r="112" spans="2:42"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55"/>
        <v>0</v>
      </c>
      <c r="AM112" s="820" t="str">
        <f>IF(ISNUMBER(ROUND(AL112/(Y31+C31+N31),2)),ROUND(AL112/(Y31+C31+N31),2),"/")</f>
        <v>/</v>
      </c>
    </row>
    <row r="113" spans="2:39"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55"/>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55"/>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55"/>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55"/>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55"/>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55"/>
        <v>0</v>
      </c>
      <c r="AM118" s="820" t="str">
        <f>IF(ISNUMBER(ROUND(AL118/(C54+N54+Y54),2)),ROUND(AL118/(C54+N54+Y54),2),"/")</f>
        <v>/</v>
      </c>
    </row>
    <row r="119" spans="2:39" x14ac:dyDescent="0.3">
      <c r="L119" s="18"/>
      <c r="M119" s="18"/>
      <c r="AI119" s="18"/>
      <c r="AJ119" s="18"/>
    </row>
    <row r="120" spans="2:39" x14ac:dyDescent="0.3">
      <c r="B120" s="299" t="s">
        <v>489</v>
      </c>
      <c r="L120" s="18"/>
      <c r="M120" s="18"/>
    </row>
    <row r="121" spans="2:39" x14ac:dyDescent="0.3">
      <c r="B121" s="249" t="s">
        <v>490</v>
      </c>
      <c r="C121" s="298">
        <f>VLOOKUP(C8,'Capaciteiten &amp; forfaits'!$B$3:$H$71,6,FALSE)*0.65</f>
        <v>0</v>
      </c>
      <c r="L121" s="18"/>
      <c r="N121" s="298">
        <f>VLOOKUP(N8,'Capaciteiten &amp; forfaits'!$B$3:$H$71,6,FALSE)*0.65</f>
        <v>0</v>
      </c>
      <c r="Y121" s="298">
        <f>VLOOKUP(Y8,'Capaciteiten &amp; forfaits'!$B$3:$H$71,6,FALSE)*0.65</f>
        <v>0</v>
      </c>
    </row>
    <row r="122" spans="2:39" x14ac:dyDescent="0.3">
      <c r="B122" s="249" t="s">
        <v>491</v>
      </c>
      <c r="C122" s="297">
        <v>50</v>
      </c>
      <c r="E122" s="296"/>
      <c r="N122" s="297">
        <v>50</v>
      </c>
      <c r="Y122" s="297">
        <v>50</v>
      </c>
    </row>
    <row r="126" spans="2:39" x14ac:dyDescent="0.3">
      <c r="D126" s="294"/>
      <c r="E126" s="294"/>
      <c r="F126" s="294"/>
      <c r="G126" s="294"/>
    </row>
    <row r="127" spans="2:39" x14ac:dyDescent="0.3">
      <c r="D127" s="294"/>
      <c r="E127" s="294"/>
      <c r="F127" s="294"/>
      <c r="G127" s="294"/>
    </row>
    <row r="128" spans="2:39" x14ac:dyDescent="0.3">
      <c r="D128" s="294"/>
      <c r="E128" s="295"/>
      <c r="F128" s="294"/>
      <c r="G128" s="294"/>
    </row>
    <row r="129" spans="4:7" x14ac:dyDescent="0.3">
      <c r="D129" s="294"/>
      <c r="E129" s="295"/>
      <c r="F129" s="294"/>
      <c r="G129" s="294"/>
    </row>
    <row r="130" spans="4:7" x14ac:dyDescent="0.3">
      <c r="D130" s="294"/>
      <c r="E130" s="295"/>
      <c r="F130" s="294"/>
      <c r="G130" s="294"/>
    </row>
    <row r="131" spans="4:7" x14ac:dyDescent="0.3">
      <c r="E131" s="294"/>
      <c r="F131" s="294"/>
      <c r="G131" s="294"/>
    </row>
    <row r="132" spans="4:7" x14ac:dyDescent="0.3">
      <c r="E132" s="294"/>
      <c r="F132" s="294"/>
      <c r="G132" s="294"/>
    </row>
    <row r="133" spans="4:7" x14ac:dyDescent="0.3">
      <c r="E133" s="294"/>
    </row>
    <row r="134" spans="4:7" x14ac:dyDescent="0.3">
      <c r="E134" s="294"/>
    </row>
    <row r="135" spans="4:7" x14ac:dyDescent="0.3">
      <c r="E135" s="294"/>
    </row>
  </sheetData>
  <mergeCells count="19">
    <mergeCell ref="C1:E1"/>
    <mergeCell ref="C4:E4"/>
    <mergeCell ref="C8:L8"/>
    <mergeCell ref="G3:L3"/>
    <mergeCell ref="N8:W8"/>
    <mergeCell ref="Y8:AH8"/>
    <mergeCell ref="AJ5:AT5"/>
    <mergeCell ref="C10:E10"/>
    <mergeCell ref="N10:P10"/>
    <mergeCell ref="Y10:AA10"/>
    <mergeCell ref="C13:E13"/>
    <mergeCell ref="N13:P13"/>
    <mergeCell ref="Y13:AA13"/>
    <mergeCell ref="C11:E11"/>
    <mergeCell ref="N11:P11"/>
    <mergeCell ref="Y11:AA11"/>
    <mergeCell ref="C12:E12"/>
    <mergeCell ref="N12:P12"/>
    <mergeCell ref="Y12:AA12"/>
  </mergeCells>
  <phoneticPr fontId="49" type="noConversion"/>
  <conditionalFormatting sqref="K24">
    <cfRule type="expression" dxfId="141" priority="101">
      <formula>K30&lt;0</formula>
    </cfRule>
  </conditionalFormatting>
  <conditionalFormatting sqref="C39">
    <cfRule type="expression" dxfId="140" priority="95">
      <formula>C45&lt;0</formula>
    </cfRule>
  </conditionalFormatting>
  <conditionalFormatting sqref="N24">
    <cfRule type="expression" dxfId="139" priority="92">
      <formula>N30&lt;0</formula>
    </cfRule>
  </conditionalFormatting>
  <conditionalFormatting sqref="V24">
    <cfRule type="expression" dxfId="138" priority="91">
      <formula>V30&lt;0</formula>
    </cfRule>
  </conditionalFormatting>
  <conditionalFormatting sqref="N39">
    <cfRule type="expression" dxfId="137" priority="86">
      <formula>N45&lt;0</formula>
    </cfRule>
  </conditionalFormatting>
  <conditionalFormatting sqref="E39">
    <cfRule type="expression" dxfId="136" priority="81">
      <formula>E45&lt;0</formula>
    </cfRule>
  </conditionalFormatting>
  <conditionalFormatting sqref="AG24">
    <cfRule type="expression" dxfId="135" priority="70">
      <formula>AG30&lt;0</formula>
    </cfRule>
  </conditionalFormatting>
  <conditionalFormatting sqref="Y39">
    <cfRule type="expression" dxfId="134" priority="64">
      <formula>Y45&lt;0</formula>
    </cfRule>
  </conditionalFormatting>
  <conditionalFormatting sqref="AA24">
    <cfRule type="expression" dxfId="133" priority="53">
      <formula>AA30&lt;0</formula>
    </cfRule>
  </conditionalFormatting>
  <conditionalFormatting sqref="AA31">
    <cfRule type="expression" dxfId="132" priority="52">
      <formula>AA37&lt;0</formula>
    </cfRule>
  </conditionalFormatting>
  <conditionalFormatting sqref="E24">
    <cfRule type="expression" dxfId="131" priority="55">
      <formula>E30&lt;0</formula>
    </cfRule>
  </conditionalFormatting>
  <conditionalFormatting sqref="AG63">
    <cfRule type="expression" dxfId="130" priority="54">
      <formula>AG79&lt;0</formula>
    </cfRule>
  </conditionalFormatting>
  <conditionalFormatting sqref="C24">
    <cfRule type="expression" dxfId="129" priority="102">
      <formula>C30&lt;0</formula>
    </cfRule>
  </conditionalFormatting>
  <conditionalFormatting sqref="K31">
    <cfRule type="expression" dxfId="128" priority="100">
      <formula>K38&lt;0</formula>
    </cfRule>
  </conditionalFormatting>
  <conditionalFormatting sqref="K39">
    <cfRule type="expression" dxfId="127" priority="99">
      <formula>K47&lt;0</formula>
    </cfRule>
  </conditionalFormatting>
  <conditionalFormatting sqref="C31">
    <cfRule type="expression" dxfId="126" priority="96">
      <formula>C37&lt;0</formula>
    </cfRule>
  </conditionalFormatting>
  <conditionalFormatting sqref="C49">
    <cfRule type="expression" dxfId="125" priority="94">
      <formula>C59&lt;0</formula>
    </cfRule>
  </conditionalFormatting>
  <conditionalFormatting sqref="C16">
    <cfRule type="expression" dxfId="124" priority="93">
      <formula>C22&lt;0</formula>
    </cfRule>
  </conditionalFormatting>
  <conditionalFormatting sqref="V31">
    <cfRule type="expression" dxfId="123" priority="90">
      <formula>V38&lt;0</formula>
    </cfRule>
  </conditionalFormatting>
  <conditionalFormatting sqref="V39">
    <cfRule type="expression" dxfId="122" priority="89">
      <formula>V47&lt;0</formula>
    </cfRule>
  </conditionalFormatting>
  <conditionalFormatting sqref="N31">
    <cfRule type="expression" dxfId="121" priority="87">
      <formula>N37&lt;0</formula>
    </cfRule>
  </conditionalFormatting>
  <conditionalFormatting sqref="N49">
    <cfRule type="expression" dxfId="120" priority="85">
      <formula>N59&lt;0</formula>
    </cfRule>
  </conditionalFormatting>
  <conditionalFormatting sqref="N16">
    <cfRule type="expression" dxfId="119" priority="84">
      <formula>N22&lt;0</formula>
    </cfRule>
  </conditionalFormatting>
  <conditionalFormatting sqref="E31">
    <cfRule type="expression" dxfId="118" priority="82">
      <formula>E37&lt;0</formula>
    </cfRule>
  </conditionalFormatting>
  <conditionalFormatting sqref="E49">
    <cfRule type="expression" dxfId="117" priority="80">
      <formula>E59&lt;0</formula>
    </cfRule>
  </conditionalFormatting>
  <conditionalFormatting sqref="E16">
    <cfRule type="expression" dxfId="116" priority="79">
      <formula>E22&lt;0</formula>
    </cfRule>
  </conditionalFormatting>
  <conditionalFormatting sqref="P49">
    <cfRule type="expression" dxfId="115" priority="74">
      <formula>P59&lt;0</formula>
    </cfRule>
  </conditionalFormatting>
  <conditionalFormatting sqref="P16">
    <cfRule type="expression" dxfId="114" priority="73">
      <formula>P22&lt;0</formula>
    </cfRule>
  </conditionalFormatting>
  <conditionalFormatting sqref="K63 V63">
    <cfRule type="expression" dxfId="113" priority="103">
      <formula>K79&lt;0</formula>
    </cfRule>
  </conditionalFormatting>
  <conditionalFormatting sqref="Y24">
    <cfRule type="expression" dxfId="112" priority="71">
      <formula>Y30&lt;0</formula>
    </cfRule>
  </conditionalFormatting>
  <conditionalFormatting sqref="AG31">
    <cfRule type="expression" dxfId="111" priority="69">
      <formula>AG38&lt;0</formula>
    </cfRule>
  </conditionalFormatting>
  <conditionalFormatting sqref="AG39">
    <cfRule type="expression" dxfId="110" priority="68">
      <formula>AG47&lt;0</formula>
    </cfRule>
  </conditionalFormatting>
  <conditionalFormatting sqref="Y31">
    <cfRule type="expression" dxfId="109" priority="65">
      <formula>Y37&lt;0</formula>
    </cfRule>
  </conditionalFormatting>
  <conditionalFormatting sqref="Y49">
    <cfRule type="expression" dxfId="108" priority="63">
      <formula>Y59&lt;0</formula>
    </cfRule>
  </conditionalFormatting>
  <conditionalFormatting sqref="Y16">
    <cfRule type="expression" dxfId="107" priority="62">
      <formula>Y22&lt;0</formula>
    </cfRule>
  </conditionalFormatting>
  <conditionalFormatting sqref="AA16">
    <cfRule type="expression" dxfId="106" priority="56">
      <formula>AA22&lt;0</formula>
    </cfRule>
  </conditionalFormatting>
  <conditionalFormatting sqref="AA39">
    <cfRule type="expression" dxfId="105" priority="51">
      <formula>AA45&lt;0</formula>
    </cfRule>
  </conditionalFormatting>
  <conditionalFormatting sqref="AA49">
    <cfRule type="expression" dxfId="104" priority="50">
      <formula>AA55&lt;0</formula>
    </cfRule>
  </conditionalFormatting>
  <conditionalFormatting sqref="AA51">
    <cfRule type="expression" dxfId="103" priority="49">
      <formula>AA58&lt;0</formula>
    </cfRule>
  </conditionalFormatting>
  <conditionalFormatting sqref="AA54">
    <cfRule type="expression" dxfId="102" priority="48">
      <formula>AA61&lt;0</formula>
    </cfRule>
  </conditionalFormatting>
  <conditionalFormatting sqref="AA56:AA57">
    <cfRule type="expression" dxfId="101" priority="47">
      <formula>AA63&lt;0</formula>
    </cfRule>
  </conditionalFormatting>
  <conditionalFormatting sqref="AC49">
    <cfRule type="expression" dxfId="100" priority="46">
      <formula>AC55&lt;0</formula>
    </cfRule>
  </conditionalFormatting>
  <conditionalFormatting sqref="P24">
    <cfRule type="expression" dxfId="99" priority="45">
      <formula>P30&lt;0</formula>
    </cfRule>
  </conditionalFormatting>
  <conditionalFormatting sqref="P39">
    <cfRule type="expression" dxfId="98" priority="43">
      <formula>P45&lt;0</formula>
    </cfRule>
  </conditionalFormatting>
  <conditionalFormatting sqref="P31">
    <cfRule type="expression" dxfId="97" priority="44">
      <formula>P37&lt;0</formula>
    </cfRule>
  </conditionalFormatting>
  <conditionalFormatting sqref="C93 E93 G93 I93 K93">
    <cfRule type="expression" dxfId="96" priority="5">
      <formula>AND(C84&gt;0,C93=0)</formula>
    </cfRule>
  </conditionalFormatting>
  <conditionalFormatting sqref="C92 E92 G92 I92 K92">
    <cfRule type="expression" dxfId="95" priority="6">
      <formula>AND(C81&gt;0,C92=0)</formula>
    </cfRule>
  </conditionalFormatting>
  <conditionalFormatting sqref="N93 P93 R93 T93 V93">
    <cfRule type="expression" dxfId="94" priority="3">
      <formula>AND(N84&gt;0,N93=0)</formula>
    </cfRule>
  </conditionalFormatting>
  <conditionalFormatting sqref="N92 P92 R92 T92 V92">
    <cfRule type="expression" dxfId="93" priority="4">
      <formula>AND(N81&gt;0,N92=0)</formula>
    </cfRule>
  </conditionalFormatting>
  <conditionalFormatting sqref="Y93 AA93 AC93 AE93 AG93">
    <cfRule type="expression" dxfId="92" priority="1">
      <formula>AND(Y84&gt;0,Y93=0)</formula>
    </cfRule>
  </conditionalFormatting>
  <conditionalFormatting sqref="Y92 AA92 AC92 AE92 AG92">
    <cfRule type="expression" dxfId="91"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3EC83E5-560C-4A36-85D4-3AAC76D4B968}">
          <x14:formula1>
            <xm:f>Bouwindex_ABEX!$Q$3:$Q$34</xm:f>
          </x14:formula1>
          <xm:sqref>C92 E92 G92 I92 K92 N92 P92 R92 T92 V92 Y92 AA92 AC92 AE92 AG92</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1AD1F-EA22-48FB-A6E6-237897542A4B}">
  <sheetPr codeName="Blad37"/>
  <dimension ref="A1:DM135"/>
  <sheetViews>
    <sheetView topLeftCell="A14" zoomScale="70" zoomScaleNormal="70" workbookViewId="0">
      <selection activeCell="C56" sqref="C56"/>
    </sheetView>
  </sheetViews>
  <sheetFormatPr defaultRowHeight="14.4" outlineLevelRow="1" x14ac:dyDescent="0.3"/>
  <cols>
    <col min="1" max="1" width="1.88671875" customWidth="1"/>
    <col min="2" max="2" width="38.5546875" customWidth="1"/>
    <col min="3" max="3" width="13.44140625" hidden="1" customWidth="1"/>
    <col min="4" max="4" width="6.33203125" hidden="1" customWidth="1"/>
    <col min="5" max="5" width="20.33203125" hidden="1" customWidth="1"/>
    <col min="6" max="6" width="6.33203125" hidden="1" customWidth="1"/>
    <col min="7" max="7" width="18.5546875" hidden="1" customWidth="1"/>
    <col min="8" max="8" width="6.33203125" hidden="1" customWidth="1"/>
    <col min="9" max="9" width="11.44140625" hidden="1" customWidth="1"/>
    <col min="10" max="10" width="6.33203125" hidden="1" customWidth="1"/>
    <col min="11" max="11" width="15.33203125" hidden="1" customWidth="1"/>
    <col min="12" max="12" width="6.33203125" hidden="1" customWidth="1"/>
    <col min="13" max="13" width="2.88671875" hidden="1" customWidth="1"/>
    <col min="14" max="14" width="15.6640625" hidden="1" customWidth="1"/>
    <col min="15" max="15" width="5.88671875"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664062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6.44140625" customWidth="1"/>
    <col min="36" max="36" width="75.33203125" bestFit="1" customWidth="1"/>
    <col min="37" max="37" width="6.44140625" customWidth="1"/>
    <col min="38" max="39" width="0" hidden="1" customWidth="1"/>
  </cols>
  <sheetData>
    <row r="1" spans="2:46" ht="18.600000000000001" hidden="1" thickBot="1" x14ac:dyDescent="0.4">
      <c r="B1" s="692" t="s">
        <v>3</v>
      </c>
      <c r="C1" s="1259">
        <f>'Overzicht project'!I4</f>
        <v>0</v>
      </c>
      <c r="D1" s="1260"/>
      <c r="E1" s="1260"/>
      <c r="F1" s="669"/>
      <c r="G1" s="661"/>
      <c r="H1" s="606"/>
      <c r="I1" s="606"/>
      <c r="J1" s="606"/>
      <c r="K1" s="662"/>
    </row>
    <row r="2" spans="2:46" ht="18" x14ac:dyDescent="0.35">
      <c r="B2" s="694" t="s">
        <v>396</v>
      </c>
      <c r="D2" s="672"/>
      <c r="E2" s="673"/>
      <c r="M2" s="340"/>
      <c r="AO2" s="106"/>
      <c r="AP2" s="106"/>
      <c r="AQ2" s="106"/>
      <c r="AR2" s="106"/>
    </row>
    <row r="3" spans="2:46" ht="18.600000000000001" thickBot="1" x14ac:dyDescent="0.4">
      <c r="B3" s="695" t="str">
        <f>Bron!B16</f>
        <v>Aankoop met verbouwing</v>
      </c>
      <c r="C3" s="675"/>
      <c r="D3" s="675"/>
      <c r="E3" s="676"/>
      <c r="G3" s="1263" t="s">
        <v>397</v>
      </c>
      <c r="H3" s="1263"/>
      <c r="I3" s="1263"/>
      <c r="J3" s="1263"/>
      <c r="K3" s="1263"/>
      <c r="L3" s="1263"/>
      <c r="M3" s="340"/>
      <c r="AO3" s="106"/>
      <c r="AP3" s="106"/>
      <c r="AQ3" s="106"/>
      <c r="AR3" s="106"/>
    </row>
    <row r="4" spans="2:46" ht="18" hidden="1" x14ac:dyDescent="0.35">
      <c r="B4" s="696" t="s">
        <v>399</v>
      </c>
      <c r="C4" s="1261">
        <f>'Overzicht project'!B34</f>
        <v>0</v>
      </c>
      <c r="D4" s="1262"/>
      <c r="E4" s="1262"/>
      <c r="F4" s="669"/>
      <c r="AN4" s="106"/>
    </row>
    <row r="5" spans="2:46" ht="27.6" customHeight="1" x14ac:dyDescent="0.35">
      <c r="B5" s="693"/>
      <c r="C5" s="674"/>
      <c r="D5" s="675"/>
      <c r="E5" s="676"/>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1278" t="s">
        <v>1461</v>
      </c>
      <c r="AK5" s="1279"/>
      <c r="AL5" s="1279"/>
      <c r="AM5" s="1279"/>
      <c r="AN5" s="1279"/>
      <c r="AO5" s="1279"/>
      <c r="AP5" s="1279"/>
      <c r="AQ5" s="1279"/>
      <c r="AR5" s="1279"/>
      <c r="AS5" s="1279"/>
      <c r="AT5" s="1280"/>
    </row>
    <row r="6" spans="2:46" ht="7.2" hidden="1" customHeight="1" x14ac:dyDescent="0.3">
      <c r="B6" s="1264"/>
      <c r="C6" s="1264"/>
      <c r="D6" s="1264"/>
      <c r="E6" s="1264"/>
      <c r="F6" s="1264"/>
      <c r="G6" s="1264"/>
      <c r="H6" s="1264"/>
      <c r="I6" s="1264"/>
      <c r="J6" s="1264"/>
      <c r="K6" s="1264"/>
      <c r="L6" s="1264"/>
      <c r="AN6" s="106"/>
    </row>
    <row r="7" spans="2:46" ht="7.2" customHeight="1" x14ac:dyDescent="0.3">
      <c r="B7" s="18"/>
      <c r="C7" s="591"/>
      <c r="AN7" s="106"/>
    </row>
    <row r="8" spans="2:46" ht="15.6" x14ac:dyDescent="0.3">
      <c r="B8" s="18"/>
      <c r="C8" s="1257" t="str">
        <f>'Overzicht project'!$C$40</f>
        <v>Kies de zorgvorm</v>
      </c>
      <c r="D8" s="1257"/>
      <c r="E8" s="1257"/>
      <c r="F8" s="1257"/>
      <c r="G8" s="1257"/>
      <c r="H8" s="1257"/>
      <c r="I8" s="1257"/>
      <c r="J8" s="1257"/>
      <c r="K8" s="1257"/>
      <c r="L8" s="1257"/>
      <c r="N8" s="1257" t="str">
        <f>'Overzicht project'!$C$41</f>
        <v>Kies de zorgvorm</v>
      </c>
      <c r="O8" s="1257"/>
      <c r="P8" s="1257"/>
      <c r="Q8" s="1257"/>
      <c r="R8" s="1257"/>
      <c r="S8" s="1257"/>
      <c r="T8" s="1257"/>
      <c r="U8" s="1257"/>
      <c r="V8" s="1257"/>
      <c r="W8" s="1257"/>
      <c r="X8" s="643"/>
      <c r="Y8" s="1257" t="str">
        <f>'Overzicht project'!$C$42</f>
        <v>Kies de zorgvorm</v>
      </c>
      <c r="Z8" s="1257"/>
      <c r="AA8" s="1257"/>
      <c r="AB8" s="1257"/>
      <c r="AC8" s="1257"/>
      <c r="AD8" s="1257"/>
      <c r="AE8" s="1257"/>
      <c r="AF8" s="1257"/>
      <c r="AG8" s="1257"/>
      <c r="AH8" s="1257"/>
    </row>
    <row r="9" spans="2:46"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46" x14ac:dyDescent="0.3">
      <c r="C10" s="1253" t="s">
        <v>401</v>
      </c>
      <c r="D10" s="1254"/>
      <c r="E10" s="1255"/>
      <c r="F10" s="473">
        <f>IF(ISNUMBER(MATCH($B$3,'Overzicht project'!C48:C51,0)),VLOOKUP($B$3,'Overzicht project'!C48:D51,2,FALSE),0)</f>
        <v>0</v>
      </c>
      <c r="G10" s="658"/>
      <c r="H10" s="658"/>
      <c r="N10" s="1256" t="s">
        <v>401</v>
      </c>
      <c r="O10" s="1256"/>
      <c r="P10" s="1256"/>
      <c r="Q10" s="473">
        <f>IF(ISNUMBER(MATCH($B$3,'Overzicht project'!C55:C58,0)),VLOOKUP(B3,'Overzicht project'!C55:D58,2,FALSE),0)</f>
        <v>0</v>
      </c>
      <c r="Y10" s="1256" t="s">
        <v>401</v>
      </c>
      <c r="Z10" s="1256"/>
      <c r="AA10" s="1256"/>
      <c r="AB10" s="473">
        <f>IF(ISNUMBER(MATCH($B$3,'Overzicht project'!C62:C65,0)),VLOOKUP(B3,'Overzicht project'!C62:D65,2,FALSE),0)</f>
        <v>0</v>
      </c>
    </row>
    <row r="11" spans="2:46" x14ac:dyDescent="0.3">
      <c r="C11" s="1253" t="s">
        <v>402</v>
      </c>
      <c r="D11" s="1254"/>
      <c r="E11" s="1255"/>
      <c r="F11" s="473">
        <v>0.21</v>
      </c>
      <c r="G11" s="658"/>
      <c r="H11" s="658"/>
      <c r="N11" s="1256" t="s">
        <v>402</v>
      </c>
      <c r="O11" s="1256"/>
      <c r="P11" s="1256"/>
      <c r="Q11" s="473">
        <v>0.21</v>
      </c>
      <c r="Y11" s="1256" t="s">
        <v>402</v>
      </c>
      <c r="Z11" s="1256"/>
      <c r="AA11" s="1256"/>
      <c r="AB11" s="473">
        <v>0.21</v>
      </c>
    </row>
    <row r="12" spans="2:46" x14ac:dyDescent="0.3">
      <c r="C12" s="1253" t="s">
        <v>403</v>
      </c>
      <c r="D12" s="1254"/>
      <c r="E12" s="1255"/>
      <c r="F12" s="473">
        <v>0.21</v>
      </c>
      <c r="G12" s="658"/>
      <c r="H12" s="658"/>
      <c r="N12" s="1256" t="s">
        <v>403</v>
      </c>
      <c r="O12" s="1256"/>
      <c r="P12" s="1256"/>
      <c r="Q12" s="473">
        <v>0.21</v>
      </c>
      <c r="Y12" s="1256" t="s">
        <v>403</v>
      </c>
      <c r="Z12" s="1256"/>
      <c r="AA12" s="1256"/>
      <c r="AB12" s="473">
        <v>0.21</v>
      </c>
    </row>
    <row r="13" spans="2:46" outlineLevel="1" x14ac:dyDescent="0.3">
      <c r="C13" s="1253" t="s">
        <v>404</v>
      </c>
      <c r="D13" s="1254"/>
      <c r="E13" s="1255"/>
      <c r="F13" s="473">
        <v>0.06</v>
      </c>
      <c r="N13" s="1256" t="s">
        <v>404</v>
      </c>
      <c r="O13" s="1256"/>
      <c r="P13" s="1256"/>
      <c r="Q13" s="473">
        <v>0.06</v>
      </c>
      <c r="Y13" s="1256" t="s">
        <v>404</v>
      </c>
      <c r="Z13" s="1256"/>
      <c r="AA13" s="1256"/>
      <c r="AB13" s="473">
        <v>0.06</v>
      </c>
    </row>
    <row r="14" spans="2:46" outlineLevel="1" x14ac:dyDescent="0.3">
      <c r="B14" s="339"/>
      <c r="C14" s="635"/>
    </row>
    <row r="15" spans="2:46" outlineLevel="1"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487"/>
      <c r="AO15" s="487"/>
      <c r="AP15" s="487"/>
    </row>
    <row r="16" spans="2:46" ht="14.4" customHeight="1" x14ac:dyDescent="0.3">
      <c r="B16" s="336" t="s">
        <v>415</v>
      </c>
      <c r="C16" s="663">
        <f>SUM(C17:C19)</f>
        <v>0</v>
      </c>
      <c r="D16" s="336"/>
      <c r="E16" s="663">
        <f>C16</f>
        <v>0</v>
      </c>
      <c r="F16" s="336"/>
      <c r="G16" s="664">
        <f>C16</f>
        <v>0</v>
      </c>
      <c r="H16" s="336"/>
      <c r="I16" s="664">
        <f>C16</f>
        <v>0</v>
      </c>
      <c r="J16" s="336"/>
      <c r="K16" s="663">
        <f>C16</f>
        <v>0</v>
      </c>
      <c r="L16" s="336"/>
      <c r="M16" s="23"/>
      <c r="N16" s="663">
        <v>0</v>
      </c>
      <c r="O16" s="336"/>
      <c r="P16" s="663">
        <f>N16</f>
        <v>0</v>
      </c>
      <c r="Q16" s="336"/>
      <c r="R16" s="664">
        <f>N16</f>
        <v>0</v>
      </c>
      <c r="S16" s="336"/>
      <c r="T16" s="664">
        <f>N16</f>
        <v>0</v>
      </c>
      <c r="U16" s="336"/>
      <c r="V16" s="663">
        <f>N16</f>
        <v>0</v>
      </c>
      <c r="W16" s="336"/>
      <c r="X16" s="644"/>
      <c r="Y16" s="663">
        <v>0</v>
      </c>
      <c r="Z16" s="336"/>
      <c r="AA16" s="663">
        <f>Y16</f>
        <v>0</v>
      </c>
      <c r="AB16" s="336"/>
      <c r="AC16" s="664">
        <f>Y16</f>
        <v>0</v>
      </c>
      <c r="AD16" s="336"/>
      <c r="AE16" s="664">
        <f>Y16</f>
        <v>0</v>
      </c>
      <c r="AF16" s="336"/>
      <c r="AG16" s="663">
        <f>Y16</f>
        <v>0</v>
      </c>
      <c r="AH16" s="336"/>
      <c r="AI16">
        <f>IF(B3=Bron!B9,'Overzicht BTA'!D57/('Overzicht BTA'!D57+'Overzicht BTA'!J57+'Overzicht BTA'!P57),IF(B3=Bron!B8,'Overzicht BTA'!D58/('Overzicht BTA'!D58+'Overzicht BTA'!J58+'Overzicht BTA'!P58),IF(B3=Bron!$B$10,'Overzicht BTA'!D59/('Overzicht BTA'!D59+'Overzicht BTA'!J59+'Overzicht BTA'!P59),IF(B3='Overzicht BTA'!B60,'Overzicht BTA'!D60/('Overzicht BTA'!D60+'Overzicht BTA'!J60+'Overzicht BTA'!P60),IF(B3='Overzicht BTA'!B61,'Overzicht BTA'!D61/('Overzicht BTA'!D61+'Overzicht BTA'!J61+'Overzicht BTA'!P61),IF(B3=Bron!B15,1,IF(B3=Bron!B16,1,0)))))))</f>
        <v>1</v>
      </c>
      <c r="AJ16" t="s">
        <v>416</v>
      </c>
      <c r="AL16" s="423">
        <f>AG16+V16+K16</f>
        <v>0</v>
      </c>
      <c r="AN16" s="423"/>
      <c r="AO16" s="423"/>
      <c r="AP16" s="423"/>
    </row>
    <row r="17" spans="1:83" outlineLevel="1" x14ac:dyDescent="0.3">
      <c r="B17" s="737" t="s">
        <v>417</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423">
        <f t="shared" ref="AL17:AL81" si="0">AG17+V17+K17</f>
        <v>0</v>
      </c>
      <c r="AN17" s="423"/>
      <c r="AO17" s="423"/>
      <c r="AP17" s="423"/>
    </row>
    <row r="18" spans="1:83" outlineLevel="1" x14ac:dyDescent="0.3">
      <c r="B18" s="737" t="s">
        <v>418</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423">
        <f t="shared" si="0"/>
        <v>0</v>
      </c>
      <c r="AN18" s="423"/>
      <c r="AO18" s="423"/>
      <c r="AP18" s="423"/>
    </row>
    <row r="19" spans="1:83" outlineLevel="1" x14ac:dyDescent="0.3">
      <c r="B19" s="737" t="s">
        <v>419</v>
      </c>
      <c r="C19" s="738">
        <v>0</v>
      </c>
      <c r="D19" s="739"/>
      <c r="E19" s="738">
        <f>C19</f>
        <v>0</v>
      </c>
      <c r="F19" s="739"/>
      <c r="G19" s="738">
        <v>0</v>
      </c>
      <c r="H19" s="739"/>
      <c r="I19" s="738">
        <v>0</v>
      </c>
      <c r="J19" s="739"/>
      <c r="K19" s="738">
        <v>0</v>
      </c>
      <c r="L19" s="739"/>
      <c r="N19" s="738">
        <v>0</v>
      </c>
      <c r="O19" s="739"/>
      <c r="P19" s="738">
        <f>N19</f>
        <v>0</v>
      </c>
      <c r="Q19" s="739"/>
      <c r="R19" s="738">
        <v>0</v>
      </c>
      <c r="S19" s="739"/>
      <c r="T19" s="738">
        <v>0</v>
      </c>
      <c r="U19" s="739"/>
      <c r="V19" s="738">
        <v>0</v>
      </c>
      <c r="W19" s="739"/>
      <c r="Y19" s="738">
        <v>0</v>
      </c>
      <c r="Z19" s="739"/>
      <c r="AA19" s="738">
        <f>Y19</f>
        <v>0</v>
      </c>
      <c r="AB19" s="739"/>
      <c r="AC19" s="738">
        <v>0</v>
      </c>
      <c r="AD19" s="739"/>
      <c r="AE19" s="738">
        <v>0</v>
      </c>
      <c r="AF19" s="739"/>
      <c r="AG19" s="738">
        <v>0</v>
      </c>
      <c r="AH19" s="739"/>
      <c r="AL19" s="423">
        <f t="shared" si="0"/>
        <v>0</v>
      </c>
      <c r="AN19" s="423"/>
      <c r="AO19" s="423"/>
      <c r="AP19" s="423"/>
    </row>
    <row r="20" spans="1:83" x14ac:dyDescent="0.3">
      <c r="B20" s="336" t="s">
        <v>420</v>
      </c>
      <c r="C20" s="663"/>
      <c r="D20" s="332"/>
      <c r="E20" s="663"/>
      <c r="F20" s="332"/>
      <c r="G20" s="664"/>
      <c r="H20" s="332"/>
      <c r="I20" s="664"/>
      <c r="J20" s="332"/>
      <c r="K20" s="663"/>
      <c r="L20" s="332"/>
      <c r="M20" s="51"/>
      <c r="N20" s="663"/>
      <c r="O20" s="332"/>
      <c r="P20" s="663"/>
      <c r="Q20" s="332"/>
      <c r="R20" s="664"/>
      <c r="S20" s="332"/>
      <c r="T20" s="664"/>
      <c r="U20" s="332"/>
      <c r="V20" s="663"/>
      <c r="W20" s="332"/>
      <c r="X20" s="645"/>
      <c r="Y20" s="663"/>
      <c r="Z20" s="332"/>
      <c r="AA20" s="663"/>
      <c r="AB20" s="332"/>
      <c r="AC20" s="664"/>
      <c r="AD20" s="332"/>
      <c r="AE20" s="664"/>
      <c r="AF20" s="332"/>
      <c r="AG20" s="663"/>
      <c r="AH20" s="332"/>
      <c r="AL20" s="423">
        <f t="shared" si="0"/>
        <v>0</v>
      </c>
      <c r="AN20" s="423"/>
      <c r="AO20" s="423"/>
      <c r="AP20" s="423"/>
    </row>
    <row r="21" spans="1:83" s="168" customFormat="1" outlineLevel="1" x14ac:dyDescent="0.3">
      <c r="A21"/>
      <c r="B21" s="737" t="s">
        <v>421</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I21"/>
      <c r="AJ21"/>
      <c r="AK21"/>
      <c r="AL21" s="423">
        <f t="shared" si="0"/>
        <v>0</v>
      </c>
      <c r="AM21"/>
      <c r="AN21" s="423"/>
      <c r="AO21" s="423"/>
      <c r="AP21" s="423"/>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row>
    <row r="22" spans="1:83" s="168" customFormat="1" outlineLevel="1" x14ac:dyDescent="0.3">
      <c r="A22"/>
      <c r="B22" s="737" t="s">
        <v>422</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I22"/>
      <c r="AJ22"/>
      <c r="AK22"/>
      <c r="AL22" s="423">
        <f t="shared" si="0"/>
        <v>0</v>
      </c>
      <c r="AM22"/>
      <c r="AN22" s="423"/>
      <c r="AO22" s="423"/>
      <c r="AP22" s="423"/>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row>
    <row r="23" spans="1:83" s="168" customFormat="1" outlineLevel="1" x14ac:dyDescent="0.3">
      <c r="A23"/>
      <c r="B23" s="737" t="s">
        <v>423</v>
      </c>
      <c r="C23" s="738">
        <v>0</v>
      </c>
      <c r="D23" s="739"/>
      <c r="E23" s="738">
        <v>0</v>
      </c>
      <c r="F23" s="739"/>
      <c r="G23" s="738">
        <v>0</v>
      </c>
      <c r="H23" s="739"/>
      <c r="I23" s="738">
        <v>0</v>
      </c>
      <c r="J23" s="739"/>
      <c r="K23" s="738">
        <v>0</v>
      </c>
      <c r="L23" s="739"/>
      <c r="M23"/>
      <c r="N23" s="738">
        <v>0</v>
      </c>
      <c r="O23" s="739"/>
      <c r="P23" s="738">
        <v>0</v>
      </c>
      <c r="Q23" s="739"/>
      <c r="R23" s="738">
        <v>0</v>
      </c>
      <c r="S23" s="739"/>
      <c r="T23" s="738">
        <v>0</v>
      </c>
      <c r="U23" s="739"/>
      <c r="V23" s="738">
        <v>0</v>
      </c>
      <c r="W23" s="739"/>
      <c r="X23"/>
      <c r="Y23" s="738">
        <v>0</v>
      </c>
      <c r="Z23" s="739"/>
      <c r="AA23" s="738">
        <v>0</v>
      </c>
      <c r="AB23" s="739"/>
      <c r="AC23" s="738">
        <v>0</v>
      </c>
      <c r="AD23" s="739"/>
      <c r="AE23" s="738">
        <v>0</v>
      </c>
      <c r="AF23" s="739"/>
      <c r="AG23" s="738">
        <v>0</v>
      </c>
      <c r="AH23" s="739"/>
      <c r="AI23"/>
      <c r="AJ23"/>
      <c r="AK23"/>
      <c r="AL23" s="423">
        <f t="shared" si="0"/>
        <v>0</v>
      </c>
      <c r="AM23"/>
      <c r="AN23" s="423"/>
      <c r="AO23" s="423"/>
      <c r="AP23" s="4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row>
    <row r="24" spans="1:83" s="168" customFormat="1" x14ac:dyDescent="0.3">
      <c r="A24"/>
      <c r="B24" s="336" t="s">
        <v>123</v>
      </c>
      <c r="C24" s="663">
        <v>0</v>
      </c>
      <c r="D24" s="335"/>
      <c r="E24" s="663">
        <f>C24</f>
        <v>0</v>
      </c>
      <c r="F24" s="335"/>
      <c r="G24" s="664"/>
      <c r="H24" s="335"/>
      <c r="I24" s="664"/>
      <c r="J24" s="335"/>
      <c r="K24" s="663"/>
      <c r="L24" s="335"/>
      <c r="M24" s="39"/>
      <c r="N24" s="663">
        <v>0</v>
      </c>
      <c r="O24" s="335"/>
      <c r="P24" s="663">
        <f>N24</f>
        <v>0</v>
      </c>
      <c r="Q24" s="335"/>
      <c r="R24" s="664"/>
      <c r="S24" s="335"/>
      <c r="T24" s="664"/>
      <c r="U24" s="335"/>
      <c r="V24" s="663"/>
      <c r="W24" s="335"/>
      <c r="X24" s="646"/>
      <c r="Y24" s="663">
        <v>0</v>
      </c>
      <c r="Z24" s="335"/>
      <c r="AA24" s="663">
        <f>Y24</f>
        <v>0</v>
      </c>
      <c r="AB24" s="335"/>
      <c r="AC24" s="664"/>
      <c r="AD24" s="335"/>
      <c r="AE24" s="664"/>
      <c r="AF24" s="335"/>
      <c r="AG24" s="663"/>
      <c r="AH24" s="335"/>
      <c r="AI24"/>
      <c r="AJ24" s="337" t="s">
        <v>424</v>
      </c>
      <c r="AK24"/>
      <c r="AL24" s="423">
        <f t="shared" si="0"/>
        <v>0</v>
      </c>
      <c r="AM24"/>
      <c r="AN24" s="423"/>
      <c r="AO24" s="423"/>
      <c r="AP24" s="423"/>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row>
    <row r="25" spans="1:83" s="168" customFormat="1" outlineLevel="1" x14ac:dyDescent="0.3">
      <c r="A25"/>
      <c r="B25" s="737" t="s">
        <v>425</v>
      </c>
      <c r="C25" s="740">
        <v>0</v>
      </c>
      <c r="D25" s="741">
        <f>F10</f>
        <v>0</v>
      </c>
      <c r="E25" s="740">
        <v>0</v>
      </c>
      <c r="F25" s="741">
        <f>$AB$10</f>
        <v>0</v>
      </c>
      <c r="G25" s="740">
        <v>0</v>
      </c>
      <c r="H25" s="741">
        <f>$AB$10</f>
        <v>0</v>
      </c>
      <c r="I25" s="740">
        <v>0</v>
      </c>
      <c r="J25" s="741">
        <f>$AB$10</f>
        <v>0</v>
      </c>
      <c r="K25" s="740">
        <v>0</v>
      </c>
      <c r="L25" s="741">
        <f>$AB$10</f>
        <v>0</v>
      </c>
      <c r="M25" s="629"/>
      <c r="N25" s="740">
        <v>0</v>
      </c>
      <c r="O25" s="741">
        <f>$Q$10</f>
        <v>0</v>
      </c>
      <c r="P25" s="740">
        <v>0</v>
      </c>
      <c r="Q25" s="741">
        <f>$AB$10</f>
        <v>0</v>
      </c>
      <c r="R25" s="740">
        <v>0</v>
      </c>
      <c r="S25" s="741">
        <f>$AB$10</f>
        <v>0</v>
      </c>
      <c r="T25" s="740">
        <v>0</v>
      </c>
      <c r="U25" s="741">
        <f>$AB$10</f>
        <v>0</v>
      </c>
      <c r="V25" s="740">
        <v>0</v>
      </c>
      <c r="W25" s="741">
        <f>$AB$10</f>
        <v>0</v>
      </c>
      <c r="X25" s="647"/>
      <c r="Y25" s="740">
        <v>0</v>
      </c>
      <c r="Z25" s="741">
        <f>$AB$10</f>
        <v>0</v>
      </c>
      <c r="AA25" s="740">
        <v>0</v>
      </c>
      <c r="AB25" s="741">
        <f>$AB$10</f>
        <v>0</v>
      </c>
      <c r="AC25" s="740">
        <v>0</v>
      </c>
      <c r="AD25" s="741">
        <f>$AB$10</f>
        <v>0</v>
      </c>
      <c r="AE25" s="740">
        <v>0</v>
      </c>
      <c r="AF25" s="741">
        <f>$AB$10</f>
        <v>0</v>
      </c>
      <c r="AG25" s="740">
        <v>0</v>
      </c>
      <c r="AH25" s="741">
        <f>$AB$10</f>
        <v>0</v>
      </c>
      <c r="AI25"/>
      <c r="AJ25" t="s">
        <v>426</v>
      </c>
      <c r="AK25"/>
      <c r="AL25" s="423">
        <f t="shared" si="0"/>
        <v>0</v>
      </c>
      <c r="AM25"/>
      <c r="AN25" s="423"/>
      <c r="AO25" s="423"/>
      <c r="AP25" s="423"/>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row>
    <row r="26" spans="1:83" s="168" customFormat="1" outlineLevel="1" x14ac:dyDescent="0.3">
      <c r="A26"/>
      <c r="B26" s="737" t="s">
        <v>427</v>
      </c>
      <c r="C26" s="740">
        <v>0</v>
      </c>
      <c r="D26" s="741">
        <f>$F$10</f>
        <v>0</v>
      </c>
      <c r="E26" s="740">
        <v>0</v>
      </c>
      <c r="F26" s="741">
        <f t="shared" ref="F26:L30" si="1">$AB$10</f>
        <v>0</v>
      </c>
      <c r="G26" s="740">
        <v>0</v>
      </c>
      <c r="H26" s="741">
        <f t="shared" si="1"/>
        <v>0</v>
      </c>
      <c r="I26" s="740">
        <v>0</v>
      </c>
      <c r="J26" s="741">
        <f t="shared" si="1"/>
        <v>0</v>
      </c>
      <c r="K26" s="740">
        <v>0</v>
      </c>
      <c r="L26" s="741">
        <f t="shared" si="1"/>
        <v>0</v>
      </c>
      <c r="M26" s="629"/>
      <c r="N26" s="740">
        <v>0</v>
      </c>
      <c r="O26" s="741">
        <f t="shared" ref="O26:O30" si="2">$Q$10</f>
        <v>0</v>
      </c>
      <c r="P26" s="740">
        <v>0</v>
      </c>
      <c r="Q26" s="741">
        <f t="shared" ref="Q26:W30" si="3">$AB$10</f>
        <v>0</v>
      </c>
      <c r="R26" s="740">
        <v>0</v>
      </c>
      <c r="S26" s="741">
        <f t="shared" si="3"/>
        <v>0</v>
      </c>
      <c r="T26" s="740">
        <v>0</v>
      </c>
      <c r="U26" s="741">
        <f t="shared" si="3"/>
        <v>0</v>
      </c>
      <c r="V26" s="740">
        <v>0</v>
      </c>
      <c r="W26" s="741">
        <f t="shared" si="3"/>
        <v>0</v>
      </c>
      <c r="X26" s="647"/>
      <c r="Y26" s="740">
        <v>0</v>
      </c>
      <c r="Z26" s="741">
        <f t="shared" ref="Z26:Z30" si="4">$AB$10</f>
        <v>0</v>
      </c>
      <c r="AA26" s="740">
        <v>0</v>
      </c>
      <c r="AB26" s="741">
        <f t="shared" ref="AB26:AH30" si="5">$AB$10</f>
        <v>0</v>
      </c>
      <c r="AC26" s="740">
        <v>0</v>
      </c>
      <c r="AD26" s="741">
        <f t="shared" si="5"/>
        <v>0</v>
      </c>
      <c r="AE26" s="740">
        <v>0</v>
      </c>
      <c r="AF26" s="741">
        <f t="shared" si="5"/>
        <v>0</v>
      </c>
      <c r="AG26" s="740">
        <v>0</v>
      </c>
      <c r="AH26" s="741">
        <f t="shared" si="5"/>
        <v>0</v>
      </c>
      <c r="AI26"/>
      <c r="AJ26"/>
      <c r="AK26"/>
      <c r="AL26" s="423">
        <f t="shared" si="0"/>
        <v>0</v>
      </c>
      <c r="AM26"/>
      <c r="AN26" s="423"/>
      <c r="AO26" s="423"/>
      <c r="AP26" s="423"/>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row>
    <row r="27" spans="1:83" outlineLevel="1" x14ac:dyDescent="0.3">
      <c r="B27" s="737" t="s">
        <v>428</v>
      </c>
      <c r="C27" s="740">
        <v>0</v>
      </c>
      <c r="D27" s="741">
        <f>$F$10</f>
        <v>0</v>
      </c>
      <c r="E27" s="740">
        <v>0</v>
      </c>
      <c r="F27" s="741">
        <f t="shared" si="1"/>
        <v>0</v>
      </c>
      <c r="G27" s="740">
        <v>0</v>
      </c>
      <c r="H27" s="741">
        <f t="shared" si="1"/>
        <v>0</v>
      </c>
      <c r="I27" s="740">
        <v>0</v>
      </c>
      <c r="J27" s="741">
        <f t="shared" si="1"/>
        <v>0</v>
      </c>
      <c r="K27" s="740">
        <v>0</v>
      </c>
      <c r="L27" s="741">
        <f t="shared" si="1"/>
        <v>0</v>
      </c>
      <c r="M27" s="629"/>
      <c r="N27" s="740">
        <v>0</v>
      </c>
      <c r="O27" s="741">
        <f t="shared" si="2"/>
        <v>0</v>
      </c>
      <c r="P27" s="740">
        <v>0</v>
      </c>
      <c r="Q27" s="741">
        <f t="shared" si="3"/>
        <v>0</v>
      </c>
      <c r="R27" s="740">
        <v>0</v>
      </c>
      <c r="S27" s="741">
        <f t="shared" si="3"/>
        <v>0</v>
      </c>
      <c r="T27" s="740">
        <v>0</v>
      </c>
      <c r="U27" s="741">
        <f t="shared" si="3"/>
        <v>0</v>
      </c>
      <c r="V27" s="740">
        <v>0</v>
      </c>
      <c r="W27" s="741">
        <f t="shared" si="3"/>
        <v>0</v>
      </c>
      <c r="X27" s="647"/>
      <c r="Y27" s="740">
        <v>0</v>
      </c>
      <c r="Z27" s="741">
        <f t="shared" si="4"/>
        <v>0</v>
      </c>
      <c r="AA27" s="740">
        <v>0</v>
      </c>
      <c r="AB27" s="741">
        <f t="shared" si="5"/>
        <v>0</v>
      </c>
      <c r="AC27" s="740">
        <v>0</v>
      </c>
      <c r="AD27" s="741">
        <f t="shared" si="5"/>
        <v>0</v>
      </c>
      <c r="AE27" s="740">
        <v>0</v>
      </c>
      <c r="AF27" s="741">
        <f t="shared" si="5"/>
        <v>0</v>
      </c>
      <c r="AG27" s="740">
        <v>0</v>
      </c>
      <c r="AH27" s="741">
        <f t="shared" si="5"/>
        <v>0</v>
      </c>
      <c r="AL27" s="423">
        <f t="shared" si="0"/>
        <v>0</v>
      </c>
      <c r="AN27" s="423"/>
      <c r="AO27" s="423"/>
      <c r="AP27" s="423"/>
    </row>
    <row r="28" spans="1:83" outlineLevel="1" x14ac:dyDescent="0.3">
      <c r="B28" s="744" t="s">
        <v>429</v>
      </c>
      <c r="C28" s="740">
        <v>0</v>
      </c>
      <c r="D28" s="741">
        <f>$F$10</f>
        <v>0</v>
      </c>
      <c r="E28" s="740">
        <v>0</v>
      </c>
      <c r="F28" s="741">
        <f t="shared" si="1"/>
        <v>0</v>
      </c>
      <c r="G28" s="740">
        <v>0</v>
      </c>
      <c r="H28" s="741">
        <f t="shared" si="1"/>
        <v>0</v>
      </c>
      <c r="I28" s="740">
        <v>0</v>
      </c>
      <c r="J28" s="741">
        <f t="shared" si="1"/>
        <v>0</v>
      </c>
      <c r="K28" s="740">
        <v>0</v>
      </c>
      <c r="L28" s="741">
        <f t="shared" si="1"/>
        <v>0</v>
      </c>
      <c r="M28" s="629"/>
      <c r="N28" s="740">
        <v>0</v>
      </c>
      <c r="O28" s="741">
        <f t="shared" si="2"/>
        <v>0</v>
      </c>
      <c r="P28" s="740">
        <v>0</v>
      </c>
      <c r="Q28" s="741">
        <f t="shared" si="3"/>
        <v>0</v>
      </c>
      <c r="R28" s="740">
        <v>0</v>
      </c>
      <c r="S28" s="741">
        <f t="shared" si="3"/>
        <v>0</v>
      </c>
      <c r="T28" s="740">
        <v>0</v>
      </c>
      <c r="U28" s="741">
        <f t="shared" si="3"/>
        <v>0</v>
      </c>
      <c r="V28" s="740">
        <v>0</v>
      </c>
      <c r="W28" s="741">
        <f t="shared" si="3"/>
        <v>0</v>
      </c>
      <c r="X28" s="647"/>
      <c r="Y28" s="740">
        <v>0</v>
      </c>
      <c r="Z28" s="741">
        <f t="shared" si="4"/>
        <v>0</v>
      </c>
      <c r="AA28" s="740">
        <v>0</v>
      </c>
      <c r="AB28" s="741">
        <f t="shared" si="5"/>
        <v>0</v>
      </c>
      <c r="AC28" s="740">
        <v>0</v>
      </c>
      <c r="AD28" s="741">
        <f t="shared" si="5"/>
        <v>0</v>
      </c>
      <c r="AE28" s="740">
        <v>0</v>
      </c>
      <c r="AF28" s="741">
        <f t="shared" si="5"/>
        <v>0</v>
      </c>
      <c r="AG28" s="740">
        <v>0</v>
      </c>
      <c r="AH28" s="741">
        <f t="shared" si="5"/>
        <v>0</v>
      </c>
      <c r="AL28" s="423">
        <f t="shared" si="0"/>
        <v>0</v>
      </c>
      <c r="AN28" s="423"/>
      <c r="AO28" s="423"/>
      <c r="AP28" s="423"/>
    </row>
    <row r="29" spans="1:83" outlineLevel="1" x14ac:dyDescent="0.3">
      <c r="B29" s="737" t="s">
        <v>430</v>
      </c>
      <c r="C29" s="740">
        <v>0</v>
      </c>
      <c r="D29" s="741">
        <f>$F$10</f>
        <v>0</v>
      </c>
      <c r="E29" s="740">
        <v>0</v>
      </c>
      <c r="F29" s="741">
        <f t="shared" si="1"/>
        <v>0</v>
      </c>
      <c r="G29" s="740">
        <v>0</v>
      </c>
      <c r="H29" s="741">
        <f t="shared" si="1"/>
        <v>0</v>
      </c>
      <c r="I29" s="740">
        <v>0</v>
      </c>
      <c r="J29" s="741">
        <f t="shared" si="1"/>
        <v>0</v>
      </c>
      <c r="K29" s="740">
        <v>0</v>
      </c>
      <c r="L29" s="741">
        <f t="shared" si="1"/>
        <v>0</v>
      </c>
      <c r="M29" s="629"/>
      <c r="N29" s="740">
        <v>0</v>
      </c>
      <c r="O29" s="741">
        <f t="shared" si="2"/>
        <v>0</v>
      </c>
      <c r="P29" s="740">
        <v>0</v>
      </c>
      <c r="Q29" s="741">
        <f t="shared" si="3"/>
        <v>0</v>
      </c>
      <c r="R29" s="740">
        <v>0</v>
      </c>
      <c r="S29" s="741">
        <f t="shared" si="3"/>
        <v>0</v>
      </c>
      <c r="T29" s="740">
        <v>0</v>
      </c>
      <c r="U29" s="741">
        <f t="shared" si="3"/>
        <v>0</v>
      </c>
      <c r="V29" s="740">
        <v>0</v>
      </c>
      <c r="W29" s="741">
        <f t="shared" si="3"/>
        <v>0</v>
      </c>
      <c r="X29" s="647"/>
      <c r="Y29" s="740">
        <v>0</v>
      </c>
      <c r="Z29" s="741">
        <f t="shared" si="4"/>
        <v>0</v>
      </c>
      <c r="AA29" s="740">
        <v>0</v>
      </c>
      <c r="AB29" s="741">
        <f t="shared" si="5"/>
        <v>0</v>
      </c>
      <c r="AC29" s="740">
        <v>0</v>
      </c>
      <c r="AD29" s="741">
        <f t="shared" si="5"/>
        <v>0</v>
      </c>
      <c r="AE29" s="740">
        <v>0</v>
      </c>
      <c r="AF29" s="741">
        <f t="shared" si="5"/>
        <v>0</v>
      </c>
      <c r="AG29" s="740">
        <v>0</v>
      </c>
      <c r="AH29" s="741">
        <f t="shared" si="5"/>
        <v>0</v>
      </c>
      <c r="AL29" s="423">
        <f t="shared" si="0"/>
        <v>0</v>
      </c>
      <c r="AN29" s="423"/>
      <c r="AO29" s="423"/>
      <c r="AP29" s="423"/>
    </row>
    <row r="30" spans="1:83" outlineLevel="1" x14ac:dyDescent="0.3">
      <c r="B30" s="737" t="s">
        <v>431</v>
      </c>
      <c r="C30" s="740">
        <f>C24-SUM(C25:C29)</f>
        <v>0</v>
      </c>
      <c r="D30" s="741">
        <f>$F$10</f>
        <v>0</v>
      </c>
      <c r="E30" s="740">
        <f>E24-SUM(E25:E29)</f>
        <v>0</v>
      </c>
      <c r="F30" s="741">
        <f t="shared" si="1"/>
        <v>0</v>
      </c>
      <c r="G30" s="740">
        <f>G24-SUM(G25:G29)</f>
        <v>0</v>
      </c>
      <c r="H30" s="741">
        <f t="shared" si="1"/>
        <v>0</v>
      </c>
      <c r="I30" s="740">
        <f>I24-SUM(I25:I29)</f>
        <v>0</v>
      </c>
      <c r="J30" s="741">
        <f t="shared" si="1"/>
        <v>0</v>
      </c>
      <c r="K30" s="740">
        <f>K24-SUM(K25:K29)</f>
        <v>0</v>
      </c>
      <c r="L30" s="741">
        <f t="shared" si="1"/>
        <v>0</v>
      </c>
      <c r="M30" s="629"/>
      <c r="N30" s="740">
        <f>N24-SUM(N25:N29)</f>
        <v>0</v>
      </c>
      <c r="O30" s="741">
        <f t="shared" si="2"/>
        <v>0</v>
      </c>
      <c r="P30" s="740">
        <f>P24-SUM(P25:P29)</f>
        <v>0</v>
      </c>
      <c r="Q30" s="741">
        <f t="shared" si="3"/>
        <v>0</v>
      </c>
      <c r="R30" s="740">
        <f>R24-SUM(R25:R29)</f>
        <v>0</v>
      </c>
      <c r="S30" s="741">
        <f t="shared" si="3"/>
        <v>0</v>
      </c>
      <c r="T30" s="740">
        <f>T24-SUM(T25:T29)</f>
        <v>0</v>
      </c>
      <c r="U30" s="741">
        <f t="shared" si="3"/>
        <v>0</v>
      </c>
      <c r="V30" s="740">
        <f>V24-SUM(V25:V29)</f>
        <v>0</v>
      </c>
      <c r="W30" s="741">
        <f t="shared" si="3"/>
        <v>0</v>
      </c>
      <c r="X30" s="647"/>
      <c r="Y30" s="740">
        <f>Y24-SUM(Y25:Y29)</f>
        <v>0</v>
      </c>
      <c r="Z30" s="741">
        <f t="shared" si="4"/>
        <v>0</v>
      </c>
      <c r="AA30" s="740">
        <f>AA24-SUM(AA25:AA29)</f>
        <v>0</v>
      </c>
      <c r="AB30" s="741">
        <f t="shared" si="5"/>
        <v>0</v>
      </c>
      <c r="AC30" s="740">
        <f>AC24-SUM(AC25:AC29)</f>
        <v>0</v>
      </c>
      <c r="AD30" s="741">
        <f t="shared" si="5"/>
        <v>0</v>
      </c>
      <c r="AE30" s="740">
        <f>AE24-SUM(AE25:AE29)</f>
        <v>0</v>
      </c>
      <c r="AF30" s="741">
        <f t="shared" si="5"/>
        <v>0</v>
      </c>
      <c r="AG30" s="740">
        <f>AG24-SUM(AG25:AG29)</f>
        <v>0</v>
      </c>
      <c r="AH30" s="741">
        <f t="shared" si="5"/>
        <v>0</v>
      </c>
      <c r="AJ30" t="s">
        <v>432</v>
      </c>
      <c r="AL30" s="423">
        <f t="shared" si="0"/>
        <v>0</v>
      </c>
      <c r="AN30" s="423"/>
      <c r="AO30" s="423"/>
      <c r="AP30" s="423"/>
    </row>
    <row r="31" spans="1:83" ht="14.4" customHeight="1" x14ac:dyDescent="0.3">
      <c r="B31" s="336" t="s">
        <v>124</v>
      </c>
      <c r="C31" s="663">
        <v>0</v>
      </c>
      <c r="D31" s="335"/>
      <c r="E31" s="663">
        <f>C31</f>
        <v>0</v>
      </c>
      <c r="F31" s="335"/>
      <c r="G31" s="664"/>
      <c r="H31" s="335"/>
      <c r="I31" s="664"/>
      <c r="J31" s="335"/>
      <c r="K31" s="663"/>
      <c r="L31" s="335"/>
      <c r="M31" s="629"/>
      <c r="N31" s="663">
        <v>0</v>
      </c>
      <c r="O31" s="335"/>
      <c r="P31" s="663">
        <f>N31</f>
        <v>0</v>
      </c>
      <c r="Q31" s="335"/>
      <c r="R31" s="664"/>
      <c r="S31" s="335"/>
      <c r="T31" s="664"/>
      <c r="U31" s="335"/>
      <c r="V31" s="663"/>
      <c r="W31" s="335"/>
      <c r="X31" s="647"/>
      <c r="Y31" s="663">
        <v>0</v>
      </c>
      <c r="Z31" s="335"/>
      <c r="AA31" s="663">
        <f>Y31</f>
        <v>0</v>
      </c>
      <c r="AB31" s="335"/>
      <c r="AC31" s="664"/>
      <c r="AD31" s="335"/>
      <c r="AE31" s="664"/>
      <c r="AF31" s="335"/>
      <c r="AG31" s="663"/>
      <c r="AH31" s="335"/>
      <c r="AL31" s="423">
        <f t="shared" si="0"/>
        <v>0</v>
      </c>
      <c r="AN31" s="423"/>
      <c r="AO31" s="423"/>
      <c r="AP31" s="423"/>
    </row>
    <row r="32" spans="1:83" outlineLevel="1" x14ac:dyDescent="0.3">
      <c r="B32" s="737" t="s">
        <v>433</v>
      </c>
      <c r="C32" s="740">
        <v>0</v>
      </c>
      <c r="D32" s="741">
        <f t="shared" ref="D32:D38" si="6">$F$10</f>
        <v>0</v>
      </c>
      <c r="E32" s="740">
        <v>0</v>
      </c>
      <c r="F32" s="741">
        <f>$AB$10</f>
        <v>0</v>
      </c>
      <c r="G32" s="740">
        <v>0</v>
      </c>
      <c r="H32" s="741">
        <f>$AB$10</f>
        <v>0</v>
      </c>
      <c r="I32" s="740">
        <v>0</v>
      </c>
      <c r="J32" s="741">
        <f>$AB$10</f>
        <v>0</v>
      </c>
      <c r="K32" s="740">
        <v>0</v>
      </c>
      <c r="L32" s="741">
        <f>$AB$10</f>
        <v>0</v>
      </c>
      <c r="M32" s="629"/>
      <c r="N32" s="740">
        <v>0</v>
      </c>
      <c r="O32" s="741">
        <f>$Q$10</f>
        <v>0</v>
      </c>
      <c r="P32" s="740">
        <v>0</v>
      </c>
      <c r="Q32" s="741">
        <f>$AB$10</f>
        <v>0</v>
      </c>
      <c r="R32" s="740">
        <v>0</v>
      </c>
      <c r="S32" s="741">
        <f>$AB$10</f>
        <v>0</v>
      </c>
      <c r="T32" s="740">
        <v>0</v>
      </c>
      <c r="U32" s="741">
        <f>$AB$10</f>
        <v>0</v>
      </c>
      <c r="V32" s="740">
        <v>0</v>
      </c>
      <c r="W32" s="741">
        <f>$AB$10</f>
        <v>0</v>
      </c>
      <c r="X32" s="647"/>
      <c r="Y32" s="740">
        <v>0</v>
      </c>
      <c r="Z32" s="741">
        <f>$AB$10</f>
        <v>0</v>
      </c>
      <c r="AA32" s="740">
        <v>0</v>
      </c>
      <c r="AB32" s="741">
        <f>$AB$10</f>
        <v>0</v>
      </c>
      <c r="AC32" s="740">
        <v>0</v>
      </c>
      <c r="AD32" s="741">
        <f>$AB$10</f>
        <v>0</v>
      </c>
      <c r="AE32" s="740">
        <v>0</v>
      </c>
      <c r="AF32" s="741">
        <f>$AB$10</f>
        <v>0</v>
      </c>
      <c r="AG32" s="740">
        <v>0</v>
      </c>
      <c r="AH32" s="741">
        <f>$AB$10</f>
        <v>0</v>
      </c>
      <c r="AL32" s="423">
        <f t="shared" si="0"/>
        <v>0</v>
      </c>
      <c r="AN32" s="423"/>
      <c r="AO32" s="423"/>
      <c r="AP32" s="423"/>
    </row>
    <row r="33" spans="2:42" outlineLevel="1" x14ac:dyDescent="0.3">
      <c r="B33" s="737" t="s">
        <v>434</v>
      </c>
      <c r="C33" s="740">
        <v>0</v>
      </c>
      <c r="D33" s="741">
        <f t="shared" si="6"/>
        <v>0</v>
      </c>
      <c r="E33" s="740">
        <v>0</v>
      </c>
      <c r="F33" s="741">
        <f t="shared" ref="F33:L38" si="7">$AB$10</f>
        <v>0</v>
      </c>
      <c r="G33" s="740">
        <v>0</v>
      </c>
      <c r="H33" s="741">
        <f t="shared" si="7"/>
        <v>0</v>
      </c>
      <c r="I33" s="740">
        <v>0</v>
      </c>
      <c r="J33" s="741">
        <f t="shared" si="7"/>
        <v>0</v>
      </c>
      <c r="K33" s="740">
        <v>0</v>
      </c>
      <c r="L33" s="741">
        <f t="shared" si="7"/>
        <v>0</v>
      </c>
      <c r="M33" s="629"/>
      <c r="N33" s="740">
        <v>0</v>
      </c>
      <c r="O33" s="741">
        <f t="shared" ref="O33:O37" si="8">$Q$10</f>
        <v>0</v>
      </c>
      <c r="P33" s="740">
        <v>0</v>
      </c>
      <c r="Q33" s="741">
        <f t="shared" ref="Q33:W38" si="9">$AB$10</f>
        <v>0</v>
      </c>
      <c r="R33" s="740">
        <v>0</v>
      </c>
      <c r="S33" s="741">
        <f t="shared" si="9"/>
        <v>0</v>
      </c>
      <c r="T33" s="740">
        <v>0</v>
      </c>
      <c r="U33" s="741">
        <f t="shared" si="9"/>
        <v>0</v>
      </c>
      <c r="V33" s="740">
        <v>0</v>
      </c>
      <c r="W33" s="741">
        <f t="shared" si="9"/>
        <v>0</v>
      </c>
      <c r="X33" s="647"/>
      <c r="Y33" s="740">
        <v>0</v>
      </c>
      <c r="Z33" s="741">
        <f t="shared" ref="Z33:Z38" si="10">$AB$10</f>
        <v>0</v>
      </c>
      <c r="AA33" s="740">
        <v>0</v>
      </c>
      <c r="AB33" s="741">
        <f t="shared" ref="AB33:AH38" si="11">$AB$10</f>
        <v>0</v>
      </c>
      <c r="AC33" s="740">
        <v>0</v>
      </c>
      <c r="AD33" s="741">
        <f t="shared" si="11"/>
        <v>0</v>
      </c>
      <c r="AE33" s="740">
        <v>0</v>
      </c>
      <c r="AF33" s="741">
        <f t="shared" si="11"/>
        <v>0</v>
      </c>
      <c r="AG33" s="740">
        <v>0</v>
      </c>
      <c r="AH33" s="741">
        <f t="shared" si="11"/>
        <v>0</v>
      </c>
      <c r="AL33" s="423">
        <f t="shared" si="0"/>
        <v>0</v>
      </c>
      <c r="AN33" s="423"/>
      <c r="AO33" s="423"/>
      <c r="AP33" s="423"/>
    </row>
    <row r="34" spans="2:42" outlineLevel="1" x14ac:dyDescent="0.3">
      <c r="B34" s="737" t="s">
        <v>435</v>
      </c>
      <c r="C34" s="740">
        <v>0</v>
      </c>
      <c r="D34" s="741">
        <f t="shared" si="6"/>
        <v>0</v>
      </c>
      <c r="E34" s="740">
        <v>0</v>
      </c>
      <c r="F34" s="741">
        <f t="shared" si="7"/>
        <v>0</v>
      </c>
      <c r="G34" s="740">
        <v>0</v>
      </c>
      <c r="H34" s="741">
        <f t="shared" si="7"/>
        <v>0</v>
      </c>
      <c r="I34" s="740">
        <v>0</v>
      </c>
      <c r="J34" s="741">
        <f t="shared" si="7"/>
        <v>0</v>
      </c>
      <c r="K34" s="740">
        <v>0</v>
      </c>
      <c r="L34" s="741">
        <f t="shared" si="7"/>
        <v>0</v>
      </c>
      <c r="M34" s="629"/>
      <c r="N34" s="740">
        <v>0</v>
      </c>
      <c r="O34" s="741">
        <f t="shared" si="8"/>
        <v>0</v>
      </c>
      <c r="P34" s="740">
        <v>0</v>
      </c>
      <c r="Q34" s="741">
        <f t="shared" si="9"/>
        <v>0</v>
      </c>
      <c r="R34" s="740">
        <v>0</v>
      </c>
      <c r="S34" s="741">
        <f t="shared" si="9"/>
        <v>0</v>
      </c>
      <c r="T34" s="740">
        <v>0</v>
      </c>
      <c r="U34" s="741">
        <f t="shared" si="9"/>
        <v>0</v>
      </c>
      <c r="V34" s="740">
        <v>0</v>
      </c>
      <c r="W34" s="741">
        <f t="shared" si="9"/>
        <v>0</v>
      </c>
      <c r="X34" s="647"/>
      <c r="Y34" s="740">
        <v>0</v>
      </c>
      <c r="Z34" s="741">
        <f t="shared" si="10"/>
        <v>0</v>
      </c>
      <c r="AA34" s="740">
        <v>0</v>
      </c>
      <c r="AB34" s="741">
        <f t="shared" si="11"/>
        <v>0</v>
      </c>
      <c r="AC34" s="740">
        <v>0</v>
      </c>
      <c r="AD34" s="741">
        <f t="shared" si="11"/>
        <v>0</v>
      </c>
      <c r="AE34" s="740">
        <v>0</v>
      </c>
      <c r="AF34" s="741">
        <f t="shared" si="11"/>
        <v>0</v>
      </c>
      <c r="AG34" s="740">
        <v>0</v>
      </c>
      <c r="AH34" s="741">
        <f t="shared" si="11"/>
        <v>0</v>
      </c>
      <c r="AL34" s="423">
        <f t="shared" si="0"/>
        <v>0</v>
      </c>
      <c r="AN34" s="423"/>
      <c r="AO34" s="423"/>
      <c r="AP34" s="423"/>
    </row>
    <row r="35" spans="2:42" outlineLevel="1" x14ac:dyDescent="0.3">
      <c r="B35" s="744" t="s">
        <v>436</v>
      </c>
      <c r="C35" s="740">
        <v>0</v>
      </c>
      <c r="D35" s="741">
        <f t="shared" si="6"/>
        <v>0</v>
      </c>
      <c r="E35" s="740">
        <v>0</v>
      </c>
      <c r="F35" s="741">
        <f t="shared" si="7"/>
        <v>0</v>
      </c>
      <c r="G35" s="740">
        <v>0</v>
      </c>
      <c r="H35" s="741">
        <f t="shared" si="7"/>
        <v>0</v>
      </c>
      <c r="I35" s="740">
        <v>0</v>
      </c>
      <c r="J35" s="741">
        <f t="shared" si="7"/>
        <v>0</v>
      </c>
      <c r="K35" s="740">
        <v>0</v>
      </c>
      <c r="L35" s="741">
        <f t="shared" si="7"/>
        <v>0</v>
      </c>
      <c r="M35" s="629"/>
      <c r="N35" s="740">
        <v>0</v>
      </c>
      <c r="O35" s="741">
        <f t="shared" si="8"/>
        <v>0</v>
      </c>
      <c r="P35" s="740">
        <v>0</v>
      </c>
      <c r="Q35" s="741">
        <f t="shared" si="9"/>
        <v>0</v>
      </c>
      <c r="R35" s="740">
        <v>0</v>
      </c>
      <c r="S35" s="741">
        <f t="shared" si="9"/>
        <v>0</v>
      </c>
      <c r="T35" s="740">
        <v>0</v>
      </c>
      <c r="U35" s="741">
        <f t="shared" si="9"/>
        <v>0</v>
      </c>
      <c r="V35" s="740">
        <v>0</v>
      </c>
      <c r="W35" s="741">
        <f t="shared" si="9"/>
        <v>0</v>
      </c>
      <c r="X35" s="647"/>
      <c r="Y35" s="740">
        <v>0</v>
      </c>
      <c r="Z35" s="741">
        <f t="shared" si="10"/>
        <v>0</v>
      </c>
      <c r="AA35" s="740">
        <v>0</v>
      </c>
      <c r="AB35" s="741">
        <f t="shared" si="11"/>
        <v>0</v>
      </c>
      <c r="AC35" s="740">
        <v>0</v>
      </c>
      <c r="AD35" s="741">
        <f t="shared" si="11"/>
        <v>0</v>
      </c>
      <c r="AE35" s="740">
        <v>0</v>
      </c>
      <c r="AF35" s="741">
        <f t="shared" si="11"/>
        <v>0</v>
      </c>
      <c r="AG35" s="740">
        <v>0</v>
      </c>
      <c r="AH35" s="741">
        <f t="shared" si="11"/>
        <v>0</v>
      </c>
      <c r="AL35" s="423">
        <f t="shared" si="0"/>
        <v>0</v>
      </c>
      <c r="AN35" s="423"/>
      <c r="AO35" s="423"/>
      <c r="AP35" s="423"/>
    </row>
    <row r="36" spans="2:42" outlineLevel="1" x14ac:dyDescent="0.3">
      <c r="B36" s="744" t="s">
        <v>429</v>
      </c>
      <c r="C36" s="740">
        <v>0</v>
      </c>
      <c r="D36" s="741">
        <f t="shared" si="6"/>
        <v>0</v>
      </c>
      <c r="E36" s="740">
        <v>0</v>
      </c>
      <c r="F36" s="741">
        <f t="shared" si="7"/>
        <v>0</v>
      </c>
      <c r="G36" s="740">
        <v>0</v>
      </c>
      <c r="H36" s="741">
        <f t="shared" si="7"/>
        <v>0</v>
      </c>
      <c r="I36" s="740">
        <v>0</v>
      </c>
      <c r="J36" s="741">
        <f t="shared" si="7"/>
        <v>0</v>
      </c>
      <c r="K36" s="740">
        <v>0</v>
      </c>
      <c r="L36" s="741">
        <f t="shared" si="7"/>
        <v>0</v>
      </c>
      <c r="M36" s="629"/>
      <c r="N36" s="740">
        <v>0</v>
      </c>
      <c r="O36" s="741">
        <f t="shared" si="8"/>
        <v>0</v>
      </c>
      <c r="P36" s="740">
        <v>0</v>
      </c>
      <c r="Q36" s="741">
        <f t="shared" si="9"/>
        <v>0</v>
      </c>
      <c r="R36" s="740">
        <v>0</v>
      </c>
      <c r="S36" s="741">
        <f t="shared" si="9"/>
        <v>0</v>
      </c>
      <c r="T36" s="740">
        <v>0</v>
      </c>
      <c r="U36" s="741">
        <f t="shared" si="9"/>
        <v>0</v>
      </c>
      <c r="V36" s="740">
        <v>0</v>
      </c>
      <c r="W36" s="741">
        <f t="shared" si="9"/>
        <v>0</v>
      </c>
      <c r="X36" s="647"/>
      <c r="Y36" s="740">
        <v>0</v>
      </c>
      <c r="Z36" s="741">
        <f t="shared" si="10"/>
        <v>0</v>
      </c>
      <c r="AA36" s="740">
        <v>0</v>
      </c>
      <c r="AB36" s="741">
        <f t="shared" si="11"/>
        <v>0</v>
      </c>
      <c r="AC36" s="740">
        <v>0</v>
      </c>
      <c r="AD36" s="741">
        <f t="shared" si="11"/>
        <v>0</v>
      </c>
      <c r="AE36" s="740">
        <v>0</v>
      </c>
      <c r="AF36" s="741">
        <f t="shared" si="11"/>
        <v>0</v>
      </c>
      <c r="AG36" s="740">
        <v>0</v>
      </c>
      <c r="AH36" s="741">
        <f t="shared" si="11"/>
        <v>0</v>
      </c>
      <c r="AL36" s="423">
        <f t="shared" si="0"/>
        <v>0</v>
      </c>
      <c r="AN36" s="423"/>
      <c r="AO36" s="423"/>
      <c r="AP36" s="423"/>
    </row>
    <row r="37" spans="2:42" outlineLevel="1" x14ac:dyDescent="0.3">
      <c r="B37" s="737" t="s">
        <v>430</v>
      </c>
      <c r="C37" s="740">
        <v>0</v>
      </c>
      <c r="D37" s="741">
        <f t="shared" si="6"/>
        <v>0</v>
      </c>
      <c r="E37" s="740">
        <v>0</v>
      </c>
      <c r="F37" s="741">
        <f t="shared" si="7"/>
        <v>0</v>
      </c>
      <c r="G37" s="740">
        <v>0</v>
      </c>
      <c r="H37" s="741">
        <f t="shared" si="7"/>
        <v>0</v>
      </c>
      <c r="I37" s="740">
        <v>0</v>
      </c>
      <c r="J37" s="741">
        <f t="shared" si="7"/>
        <v>0</v>
      </c>
      <c r="K37" s="740">
        <v>0</v>
      </c>
      <c r="L37" s="741">
        <f t="shared" si="7"/>
        <v>0</v>
      </c>
      <c r="M37" s="629"/>
      <c r="N37" s="740">
        <v>0</v>
      </c>
      <c r="O37" s="741">
        <f t="shared" si="8"/>
        <v>0</v>
      </c>
      <c r="P37" s="740">
        <v>0</v>
      </c>
      <c r="Q37" s="741">
        <f t="shared" si="9"/>
        <v>0</v>
      </c>
      <c r="R37" s="740">
        <v>0</v>
      </c>
      <c r="S37" s="741">
        <f t="shared" si="9"/>
        <v>0</v>
      </c>
      <c r="T37" s="740">
        <v>0</v>
      </c>
      <c r="U37" s="741">
        <f t="shared" si="9"/>
        <v>0</v>
      </c>
      <c r="V37" s="740">
        <v>0</v>
      </c>
      <c r="W37" s="741">
        <f t="shared" si="9"/>
        <v>0</v>
      </c>
      <c r="X37" s="647"/>
      <c r="Y37" s="740">
        <v>0</v>
      </c>
      <c r="Z37" s="741">
        <f t="shared" si="10"/>
        <v>0</v>
      </c>
      <c r="AA37" s="740">
        <v>0</v>
      </c>
      <c r="AB37" s="741">
        <f t="shared" si="11"/>
        <v>0</v>
      </c>
      <c r="AC37" s="740">
        <v>0</v>
      </c>
      <c r="AD37" s="741">
        <f t="shared" si="11"/>
        <v>0</v>
      </c>
      <c r="AE37" s="740">
        <v>0</v>
      </c>
      <c r="AF37" s="741">
        <f t="shared" si="11"/>
        <v>0</v>
      </c>
      <c r="AG37" s="740">
        <v>0</v>
      </c>
      <c r="AH37" s="741">
        <f t="shared" si="11"/>
        <v>0</v>
      </c>
      <c r="AL37" s="423">
        <f t="shared" si="0"/>
        <v>0</v>
      </c>
      <c r="AN37" s="423"/>
      <c r="AO37" s="423"/>
      <c r="AP37" s="423"/>
    </row>
    <row r="38" spans="2:42" outlineLevel="1" x14ac:dyDescent="0.3">
      <c r="B38" s="745" t="s">
        <v>431</v>
      </c>
      <c r="C38" s="740">
        <f>C31-SUM(C32:C37)</f>
        <v>0</v>
      </c>
      <c r="D38" s="741">
        <f t="shared" si="6"/>
        <v>0</v>
      </c>
      <c r="E38" s="740">
        <f>E31-SUM(E32:E37)</f>
        <v>0</v>
      </c>
      <c r="F38" s="741">
        <f t="shared" si="7"/>
        <v>0</v>
      </c>
      <c r="G38" s="740">
        <f>G31-SUM(G32:G37)</f>
        <v>0</v>
      </c>
      <c r="H38" s="741">
        <f t="shared" si="7"/>
        <v>0</v>
      </c>
      <c r="I38" s="740">
        <f>I31-SUM(I32:I37)</f>
        <v>0</v>
      </c>
      <c r="J38" s="741">
        <f t="shared" si="7"/>
        <v>0</v>
      </c>
      <c r="K38" s="740">
        <f>K31-SUM(K32:K37)</f>
        <v>0</v>
      </c>
      <c r="L38" s="741">
        <f t="shared" si="7"/>
        <v>0</v>
      </c>
      <c r="M38" s="629"/>
      <c r="N38" s="740">
        <f>N31-SUM(N32:N37)</f>
        <v>0</v>
      </c>
      <c r="O38" s="741">
        <f>$Q$10</f>
        <v>0</v>
      </c>
      <c r="P38" s="740">
        <f>P31-SUM(P32:P37)</f>
        <v>0</v>
      </c>
      <c r="Q38" s="741">
        <f t="shared" si="9"/>
        <v>0</v>
      </c>
      <c r="R38" s="740">
        <f>R31-SUM(R32:R37)</f>
        <v>0</v>
      </c>
      <c r="S38" s="741">
        <f t="shared" si="9"/>
        <v>0</v>
      </c>
      <c r="T38" s="740">
        <f>T31-SUM(T32:T37)</f>
        <v>0</v>
      </c>
      <c r="U38" s="741">
        <f t="shared" si="9"/>
        <v>0</v>
      </c>
      <c r="V38" s="740">
        <f>V31-SUM(V32:V37)</f>
        <v>0</v>
      </c>
      <c r="W38" s="741">
        <f t="shared" si="9"/>
        <v>0</v>
      </c>
      <c r="X38" s="647"/>
      <c r="Y38" s="740">
        <f>Y31-SUM(Y32:Y37)</f>
        <v>0</v>
      </c>
      <c r="Z38" s="741">
        <f t="shared" si="10"/>
        <v>0</v>
      </c>
      <c r="AA38" s="740">
        <f>AA31-SUM(AA32:AA37)</f>
        <v>0</v>
      </c>
      <c r="AB38" s="741">
        <f t="shared" si="11"/>
        <v>0</v>
      </c>
      <c r="AC38" s="740">
        <f>AC31-SUM(AC32:AC37)</f>
        <v>0</v>
      </c>
      <c r="AD38" s="741">
        <f t="shared" si="11"/>
        <v>0</v>
      </c>
      <c r="AE38" s="740">
        <f>AE31-SUM(AE32:AE37)</f>
        <v>0</v>
      </c>
      <c r="AF38" s="741">
        <f t="shared" si="11"/>
        <v>0</v>
      </c>
      <c r="AG38" s="740">
        <f>AG31-SUM(AG32:AG37)</f>
        <v>0</v>
      </c>
      <c r="AH38" s="741">
        <f t="shared" si="11"/>
        <v>0</v>
      </c>
      <c r="AL38" s="423">
        <f t="shared" si="0"/>
        <v>0</v>
      </c>
      <c r="AN38" s="423"/>
      <c r="AO38" s="423"/>
      <c r="AP38" s="423"/>
    </row>
    <row r="39" spans="2:42" x14ac:dyDescent="0.3">
      <c r="B39" s="336" t="s">
        <v>125</v>
      </c>
      <c r="C39" s="663">
        <v>0</v>
      </c>
      <c r="D39" s="335"/>
      <c r="E39" s="663">
        <f>C39</f>
        <v>0</v>
      </c>
      <c r="F39" s="335"/>
      <c r="G39" s="664"/>
      <c r="H39" s="335"/>
      <c r="I39" s="664"/>
      <c r="J39" s="335"/>
      <c r="K39" s="663"/>
      <c r="L39" s="335"/>
      <c r="M39" s="629"/>
      <c r="N39" s="663">
        <v>0</v>
      </c>
      <c r="O39" s="335"/>
      <c r="P39" s="663">
        <f>N39</f>
        <v>0</v>
      </c>
      <c r="Q39" s="335"/>
      <c r="R39" s="664"/>
      <c r="S39" s="335"/>
      <c r="T39" s="664"/>
      <c r="U39" s="335"/>
      <c r="V39" s="663"/>
      <c r="W39" s="335"/>
      <c r="X39" s="647"/>
      <c r="Y39" s="663">
        <v>0</v>
      </c>
      <c r="Z39" s="335"/>
      <c r="AA39" s="663">
        <f>Y39</f>
        <v>0</v>
      </c>
      <c r="AB39" s="335"/>
      <c r="AC39" s="664"/>
      <c r="AD39" s="335"/>
      <c r="AE39" s="664"/>
      <c r="AF39" s="335"/>
      <c r="AG39" s="663"/>
      <c r="AH39" s="335"/>
      <c r="AL39" s="423">
        <f t="shared" si="0"/>
        <v>0</v>
      </c>
      <c r="AN39" s="423"/>
      <c r="AO39" s="423"/>
      <c r="AP39" s="423"/>
    </row>
    <row r="40" spans="2:42" outlineLevel="1" x14ac:dyDescent="0.3">
      <c r="B40" s="737" t="s">
        <v>437</v>
      </c>
      <c r="C40" s="740">
        <v>0</v>
      </c>
      <c r="D40" s="741">
        <f t="shared" ref="D40:D47" si="12">$F$10</f>
        <v>0</v>
      </c>
      <c r="E40" s="740">
        <v>0</v>
      </c>
      <c r="F40" s="741">
        <f>$AB$10</f>
        <v>0</v>
      </c>
      <c r="G40" s="740">
        <v>0</v>
      </c>
      <c r="H40" s="741">
        <f>$AB$10</f>
        <v>0</v>
      </c>
      <c r="I40" s="740">
        <v>0</v>
      </c>
      <c r="J40" s="741">
        <f>$AB$10</f>
        <v>0</v>
      </c>
      <c r="K40" s="740">
        <v>0</v>
      </c>
      <c r="L40" s="741">
        <f>$AB$10</f>
        <v>0</v>
      </c>
      <c r="M40" s="629"/>
      <c r="N40" s="740">
        <v>0</v>
      </c>
      <c r="O40" s="741">
        <f>$Q$10</f>
        <v>0</v>
      </c>
      <c r="P40" s="740">
        <v>0</v>
      </c>
      <c r="Q40" s="741">
        <f>$AB$10</f>
        <v>0</v>
      </c>
      <c r="R40" s="740">
        <v>0</v>
      </c>
      <c r="S40" s="741">
        <f>$AB$10</f>
        <v>0</v>
      </c>
      <c r="T40" s="740">
        <v>0</v>
      </c>
      <c r="U40" s="741">
        <f>$AB$10</f>
        <v>0</v>
      </c>
      <c r="V40" s="740">
        <v>0</v>
      </c>
      <c r="W40" s="741">
        <f>$AB$10</f>
        <v>0</v>
      </c>
      <c r="X40" s="647"/>
      <c r="Y40" s="740">
        <v>0</v>
      </c>
      <c r="Z40" s="741">
        <f>$AB$10</f>
        <v>0</v>
      </c>
      <c r="AA40" s="740">
        <v>0</v>
      </c>
      <c r="AB40" s="741">
        <f>$AB$10</f>
        <v>0</v>
      </c>
      <c r="AC40" s="740">
        <v>0</v>
      </c>
      <c r="AD40" s="741">
        <f>$AB$10</f>
        <v>0</v>
      </c>
      <c r="AE40" s="740">
        <v>0</v>
      </c>
      <c r="AF40" s="741">
        <f>$AB$10</f>
        <v>0</v>
      </c>
      <c r="AG40" s="740">
        <v>0</v>
      </c>
      <c r="AH40" s="741">
        <f>$AB$10</f>
        <v>0</v>
      </c>
      <c r="AL40" s="423">
        <f t="shared" si="0"/>
        <v>0</v>
      </c>
      <c r="AN40" s="423"/>
      <c r="AO40" s="423"/>
      <c r="AP40" s="423"/>
    </row>
    <row r="41" spans="2:42" outlineLevel="1" x14ac:dyDescent="0.3">
      <c r="B41" s="737" t="s">
        <v>438</v>
      </c>
      <c r="C41" s="740">
        <v>0</v>
      </c>
      <c r="D41" s="741">
        <f t="shared" si="12"/>
        <v>0</v>
      </c>
      <c r="E41" s="740">
        <v>0</v>
      </c>
      <c r="F41" s="741">
        <f t="shared" ref="F41:L47" si="13">$AB$10</f>
        <v>0</v>
      </c>
      <c r="G41" s="740">
        <v>0</v>
      </c>
      <c r="H41" s="741">
        <f t="shared" si="13"/>
        <v>0</v>
      </c>
      <c r="I41" s="740">
        <v>0</v>
      </c>
      <c r="J41" s="741">
        <f t="shared" si="13"/>
        <v>0</v>
      </c>
      <c r="K41" s="740">
        <v>0</v>
      </c>
      <c r="L41" s="741">
        <f t="shared" si="13"/>
        <v>0</v>
      </c>
      <c r="M41" s="629"/>
      <c r="N41" s="740">
        <v>0</v>
      </c>
      <c r="O41" s="741">
        <f t="shared" ref="O41:O45" si="14">$Q$10</f>
        <v>0</v>
      </c>
      <c r="P41" s="740">
        <v>0</v>
      </c>
      <c r="Q41" s="741">
        <f t="shared" ref="Q41:W47" si="15">$AB$10</f>
        <v>0</v>
      </c>
      <c r="R41" s="740">
        <v>0</v>
      </c>
      <c r="S41" s="741">
        <f t="shared" si="15"/>
        <v>0</v>
      </c>
      <c r="T41" s="740">
        <v>0</v>
      </c>
      <c r="U41" s="741">
        <f t="shared" si="15"/>
        <v>0</v>
      </c>
      <c r="V41" s="740">
        <v>0</v>
      </c>
      <c r="W41" s="741">
        <f t="shared" si="15"/>
        <v>0</v>
      </c>
      <c r="X41" s="647"/>
      <c r="Y41" s="740">
        <v>0</v>
      </c>
      <c r="Z41" s="741">
        <f t="shared" ref="Z41:Z47" si="16">$AB$10</f>
        <v>0</v>
      </c>
      <c r="AA41" s="740">
        <v>0</v>
      </c>
      <c r="AB41" s="741">
        <f t="shared" ref="AB41:AH47" si="17">$AB$10</f>
        <v>0</v>
      </c>
      <c r="AC41" s="740">
        <v>0</v>
      </c>
      <c r="AD41" s="741">
        <f t="shared" si="17"/>
        <v>0</v>
      </c>
      <c r="AE41" s="740">
        <v>0</v>
      </c>
      <c r="AF41" s="741">
        <f t="shared" si="17"/>
        <v>0</v>
      </c>
      <c r="AG41" s="740">
        <v>0</v>
      </c>
      <c r="AH41" s="741">
        <f t="shared" si="17"/>
        <v>0</v>
      </c>
      <c r="AL41" s="423">
        <f t="shared" si="0"/>
        <v>0</v>
      </c>
      <c r="AN41" s="423"/>
      <c r="AO41" s="423"/>
      <c r="AP41" s="423"/>
    </row>
    <row r="42" spans="2:42" outlineLevel="1" x14ac:dyDescent="0.3">
      <c r="B42" s="737" t="s">
        <v>439</v>
      </c>
      <c r="C42" s="740">
        <v>0</v>
      </c>
      <c r="D42" s="741">
        <f t="shared" si="12"/>
        <v>0</v>
      </c>
      <c r="E42" s="740">
        <v>0</v>
      </c>
      <c r="F42" s="741">
        <f t="shared" si="13"/>
        <v>0</v>
      </c>
      <c r="G42" s="740">
        <v>0</v>
      </c>
      <c r="H42" s="741">
        <f t="shared" si="13"/>
        <v>0</v>
      </c>
      <c r="I42" s="740">
        <v>0</v>
      </c>
      <c r="J42" s="741">
        <f t="shared" si="13"/>
        <v>0</v>
      </c>
      <c r="K42" s="740">
        <v>0</v>
      </c>
      <c r="L42" s="741">
        <f t="shared" si="13"/>
        <v>0</v>
      </c>
      <c r="M42" s="629"/>
      <c r="N42" s="740">
        <v>0</v>
      </c>
      <c r="O42" s="741">
        <f t="shared" si="14"/>
        <v>0</v>
      </c>
      <c r="P42" s="740">
        <v>0</v>
      </c>
      <c r="Q42" s="741">
        <f t="shared" si="15"/>
        <v>0</v>
      </c>
      <c r="R42" s="740">
        <v>0</v>
      </c>
      <c r="S42" s="741">
        <f t="shared" si="15"/>
        <v>0</v>
      </c>
      <c r="T42" s="740">
        <v>0</v>
      </c>
      <c r="U42" s="741">
        <f t="shared" si="15"/>
        <v>0</v>
      </c>
      <c r="V42" s="740">
        <v>0</v>
      </c>
      <c r="W42" s="741">
        <f t="shared" si="15"/>
        <v>0</v>
      </c>
      <c r="X42" s="647"/>
      <c r="Y42" s="740">
        <v>0</v>
      </c>
      <c r="Z42" s="741">
        <f t="shared" si="16"/>
        <v>0</v>
      </c>
      <c r="AA42" s="740">
        <v>0</v>
      </c>
      <c r="AB42" s="741">
        <f t="shared" si="17"/>
        <v>0</v>
      </c>
      <c r="AC42" s="740">
        <v>0</v>
      </c>
      <c r="AD42" s="741">
        <f t="shared" si="17"/>
        <v>0</v>
      </c>
      <c r="AE42" s="740">
        <v>0</v>
      </c>
      <c r="AF42" s="741">
        <f t="shared" si="17"/>
        <v>0</v>
      </c>
      <c r="AG42" s="740">
        <v>0</v>
      </c>
      <c r="AH42" s="741">
        <f t="shared" si="17"/>
        <v>0</v>
      </c>
      <c r="AL42" s="423">
        <f t="shared" si="0"/>
        <v>0</v>
      </c>
      <c r="AN42" s="423"/>
      <c r="AO42" s="423"/>
      <c r="AP42" s="423"/>
    </row>
    <row r="43" spans="2:42" outlineLevel="1" x14ac:dyDescent="0.3">
      <c r="B43" s="744" t="s">
        <v>440</v>
      </c>
      <c r="C43" s="740">
        <v>0</v>
      </c>
      <c r="D43" s="741">
        <f t="shared" si="12"/>
        <v>0</v>
      </c>
      <c r="E43" s="740">
        <v>0</v>
      </c>
      <c r="F43" s="741">
        <f t="shared" si="13"/>
        <v>0</v>
      </c>
      <c r="G43" s="740">
        <v>0</v>
      </c>
      <c r="H43" s="741">
        <f t="shared" si="13"/>
        <v>0</v>
      </c>
      <c r="I43" s="740">
        <v>0</v>
      </c>
      <c r="J43" s="741">
        <f t="shared" si="13"/>
        <v>0</v>
      </c>
      <c r="K43" s="740">
        <v>0</v>
      </c>
      <c r="L43" s="741">
        <f t="shared" si="13"/>
        <v>0</v>
      </c>
      <c r="M43" s="629"/>
      <c r="N43" s="740">
        <v>0</v>
      </c>
      <c r="O43" s="741">
        <f t="shared" si="14"/>
        <v>0</v>
      </c>
      <c r="P43" s="740">
        <v>0</v>
      </c>
      <c r="Q43" s="741">
        <f t="shared" si="15"/>
        <v>0</v>
      </c>
      <c r="R43" s="740">
        <v>0</v>
      </c>
      <c r="S43" s="741">
        <f t="shared" si="15"/>
        <v>0</v>
      </c>
      <c r="T43" s="740">
        <v>0</v>
      </c>
      <c r="U43" s="741">
        <f t="shared" si="15"/>
        <v>0</v>
      </c>
      <c r="V43" s="740">
        <v>0</v>
      </c>
      <c r="W43" s="741">
        <f t="shared" si="15"/>
        <v>0</v>
      </c>
      <c r="X43" s="647"/>
      <c r="Y43" s="740">
        <v>0</v>
      </c>
      <c r="Z43" s="741">
        <f t="shared" si="16"/>
        <v>0</v>
      </c>
      <c r="AA43" s="740">
        <v>0</v>
      </c>
      <c r="AB43" s="741">
        <f t="shared" si="17"/>
        <v>0</v>
      </c>
      <c r="AC43" s="740">
        <v>0</v>
      </c>
      <c r="AD43" s="741">
        <f t="shared" si="17"/>
        <v>0</v>
      </c>
      <c r="AE43" s="740">
        <v>0</v>
      </c>
      <c r="AF43" s="741">
        <f t="shared" si="17"/>
        <v>0</v>
      </c>
      <c r="AG43" s="740">
        <v>0</v>
      </c>
      <c r="AH43" s="741">
        <f t="shared" si="17"/>
        <v>0</v>
      </c>
      <c r="AL43" s="423">
        <f t="shared" si="0"/>
        <v>0</v>
      </c>
      <c r="AN43" s="423"/>
      <c r="AO43" s="423"/>
      <c r="AP43" s="423"/>
    </row>
    <row r="44" spans="2:42" outlineLevel="1" x14ac:dyDescent="0.3">
      <c r="B44" s="744" t="s">
        <v>441</v>
      </c>
      <c r="C44" s="740">
        <v>0</v>
      </c>
      <c r="D44" s="741">
        <f t="shared" si="12"/>
        <v>0</v>
      </c>
      <c r="E44" s="740">
        <v>0</v>
      </c>
      <c r="F44" s="741">
        <f t="shared" si="13"/>
        <v>0</v>
      </c>
      <c r="G44" s="740">
        <v>0</v>
      </c>
      <c r="H44" s="741">
        <f t="shared" si="13"/>
        <v>0</v>
      </c>
      <c r="I44" s="740">
        <v>0</v>
      </c>
      <c r="J44" s="741">
        <f t="shared" si="13"/>
        <v>0</v>
      </c>
      <c r="K44" s="740">
        <v>0</v>
      </c>
      <c r="L44" s="741">
        <f t="shared" si="13"/>
        <v>0</v>
      </c>
      <c r="M44" s="629"/>
      <c r="N44" s="740">
        <v>0</v>
      </c>
      <c r="O44" s="741">
        <f t="shared" si="14"/>
        <v>0</v>
      </c>
      <c r="P44" s="740">
        <v>0</v>
      </c>
      <c r="Q44" s="741">
        <f t="shared" si="15"/>
        <v>0</v>
      </c>
      <c r="R44" s="740">
        <v>0</v>
      </c>
      <c r="S44" s="741">
        <f t="shared" si="15"/>
        <v>0</v>
      </c>
      <c r="T44" s="740">
        <v>0</v>
      </c>
      <c r="U44" s="741">
        <f t="shared" si="15"/>
        <v>0</v>
      </c>
      <c r="V44" s="740">
        <v>0</v>
      </c>
      <c r="W44" s="741">
        <f t="shared" si="15"/>
        <v>0</v>
      </c>
      <c r="X44" s="647"/>
      <c r="Y44" s="740">
        <v>0</v>
      </c>
      <c r="Z44" s="741">
        <f t="shared" si="16"/>
        <v>0</v>
      </c>
      <c r="AA44" s="740">
        <v>0</v>
      </c>
      <c r="AB44" s="741">
        <f t="shared" si="17"/>
        <v>0</v>
      </c>
      <c r="AC44" s="740">
        <v>0</v>
      </c>
      <c r="AD44" s="741">
        <f t="shared" si="17"/>
        <v>0</v>
      </c>
      <c r="AE44" s="740">
        <v>0</v>
      </c>
      <c r="AF44" s="741">
        <f t="shared" si="17"/>
        <v>0</v>
      </c>
      <c r="AG44" s="740">
        <v>0</v>
      </c>
      <c r="AH44" s="741">
        <f t="shared" si="17"/>
        <v>0</v>
      </c>
      <c r="AL44" s="423">
        <f t="shared" si="0"/>
        <v>0</v>
      </c>
      <c r="AN44" s="423"/>
      <c r="AO44" s="423"/>
      <c r="AP44" s="423"/>
    </row>
    <row r="45" spans="2:42" outlineLevel="1" x14ac:dyDescent="0.3">
      <c r="B45" s="737" t="s">
        <v>429</v>
      </c>
      <c r="C45" s="740">
        <v>0</v>
      </c>
      <c r="D45" s="741">
        <f t="shared" si="12"/>
        <v>0</v>
      </c>
      <c r="E45" s="740">
        <v>0</v>
      </c>
      <c r="F45" s="741">
        <f t="shared" si="13"/>
        <v>0</v>
      </c>
      <c r="G45" s="740">
        <v>0</v>
      </c>
      <c r="H45" s="741">
        <f t="shared" si="13"/>
        <v>0</v>
      </c>
      <c r="I45" s="740">
        <v>0</v>
      </c>
      <c r="J45" s="741">
        <f t="shared" si="13"/>
        <v>0</v>
      </c>
      <c r="K45" s="740">
        <v>0</v>
      </c>
      <c r="L45" s="741">
        <f t="shared" si="13"/>
        <v>0</v>
      </c>
      <c r="M45" s="629"/>
      <c r="N45" s="740">
        <v>0</v>
      </c>
      <c r="O45" s="741">
        <f t="shared" si="14"/>
        <v>0</v>
      </c>
      <c r="P45" s="740">
        <v>0</v>
      </c>
      <c r="Q45" s="741">
        <f t="shared" si="15"/>
        <v>0</v>
      </c>
      <c r="R45" s="740">
        <v>0</v>
      </c>
      <c r="S45" s="741">
        <f t="shared" si="15"/>
        <v>0</v>
      </c>
      <c r="T45" s="740">
        <v>0</v>
      </c>
      <c r="U45" s="741">
        <f t="shared" si="15"/>
        <v>0</v>
      </c>
      <c r="V45" s="740">
        <v>0</v>
      </c>
      <c r="W45" s="741">
        <f t="shared" si="15"/>
        <v>0</v>
      </c>
      <c r="X45" s="647"/>
      <c r="Y45" s="740">
        <v>0</v>
      </c>
      <c r="Z45" s="741">
        <f t="shared" si="16"/>
        <v>0</v>
      </c>
      <c r="AA45" s="740">
        <v>0</v>
      </c>
      <c r="AB45" s="741">
        <f t="shared" si="17"/>
        <v>0</v>
      </c>
      <c r="AC45" s="740">
        <v>0</v>
      </c>
      <c r="AD45" s="741">
        <f t="shared" si="17"/>
        <v>0</v>
      </c>
      <c r="AE45" s="740">
        <v>0</v>
      </c>
      <c r="AF45" s="741">
        <f t="shared" si="17"/>
        <v>0</v>
      </c>
      <c r="AG45" s="740">
        <v>0</v>
      </c>
      <c r="AH45" s="741">
        <f t="shared" si="17"/>
        <v>0</v>
      </c>
      <c r="AL45" s="423">
        <f t="shared" si="0"/>
        <v>0</v>
      </c>
      <c r="AN45" s="423"/>
      <c r="AO45" s="423"/>
      <c r="AP45" s="423"/>
    </row>
    <row r="46" spans="2:42" outlineLevel="1" x14ac:dyDescent="0.3">
      <c r="B46" s="737" t="s">
        <v>430</v>
      </c>
      <c r="C46" s="740">
        <v>0</v>
      </c>
      <c r="D46" s="741">
        <f t="shared" si="12"/>
        <v>0</v>
      </c>
      <c r="E46" s="740">
        <v>0</v>
      </c>
      <c r="F46" s="741">
        <f t="shared" si="13"/>
        <v>0</v>
      </c>
      <c r="G46" s="740">
        <v>0</v>
      </c>
      <c r="H46" s="741">
        <f t="shared" si="13"/>
        <v>0</v>
      </c>
      <c r="I46" s="740">
        <v>0</v>
      </c>
      <c r="J46" s="741">
        <f t="shared" si="13"/>
        <v>0</v>
      </c>
      <c r="K46" s="740">
        <v>0</v>
      </c>
      <c r="L46" s="741">
        <f t="shared" si="13"/>
        <v>0</v>
      </c>
      <c r="M46" s="629"/>
      <c r="N46" s="740">
        <v>0</v>
      </c>
      <c r="O46" s="741">
        <f>$Q$10</f>
        <v>0</v>
      </c>
      <c r="P46" s="740">
        <v>0</v>
      </c>
      <c r="Q46" s="741">
        <f t="shared" si="15"/>
        <v>0</v>
      </c>
      <c r="R46" s="740">
        <v>0</v>
      </c>
      <c r="S46" s="741">
        <f t="shared" si="15"/>
        <v>0</v>
      </c>
      <c r="T46" s="740">
        <v>0</v>
      </c>
      <c r="U46" s="741">
        <f t="shared" si="15"/>
        <v>0</v>
      </c>
      <c r="V46" s="740">
        <v>0</v>
      </c>
      <c r="W46" s="741">
        <f t="shared" si="15"/>
        <v>0</v>
      </c>
      <c r="X46" s="647"/>
      <c r="Y46" s="740">
        <v>0</v>
      </c>
      <c r="Z46" s="741">
        <f t="shared" si="16"/>
        <v>0</v>
      </c>
      <c r="AA46" s="740">
        <v>0</v>
      </c>
      <c r="AB46" s="741">
        <f t="shared" si="17"/>
        <v>0</v>
      </c>
      <c r="AC46" s="740">
        <v>0</v>
      </c>
      <c r="AD46" s="741">
        <f t="shared" si="17"/>
        <v>0</v>
      </c>
      <c r="AE46" s="740">
        <v>0</v>
      </c>
      <c r="AF46" s="741">
        <f t="shared" si="17"/>
        <v>0</v>
      </c>
      <c r="AG46" s="740">
        <v>0</v>
      </c>
      <c r="AH46" s="741">
        <f t="shared" si="17"/>
        <v>0</v>
      </c>
      <c r="AL46" s="423">
        <f t="shared" si="0"/>
        <v>0</v>
      </c>
      <c r="AN46" s="423"/>
      <c r="AO46" s="423"/>
      <c r="AP46" s="423"/>
    </row>
    <row r="47" spans="2:42" outlineLevel="1" x14ac:dyDescent="0.3">
      <c r="B47" s="745" t="s">
        <v>431</v>
      </c>
      <c r="C47" s="740">
        <f>C39-SUM(C40:C46)</f>
        <v>0</v>
      </c>
      <c r="D47" s="741">
        <f t="shared" si="12"/>
        <v>0</v>
      </c>
      <c r="E47" s="740">
        <f>E39-SUM(E40:E46)</f>
        <v>0</v>
      </c>
      <c r="F47" s="741">
        <f t="shared" si="13"/>
        <v>0</v>
      </c>
      <c r="G47" s="740">
        <f>G39-SUM(G40:G46)</f>
        <v>0</v>
      </c>
      <c r="H47" s="741">
        <f t="shared" si="13"/>
        <v>0</v>
      </c>
      <c r="I47" s="740">
        <f>I39-SUM(I40:I46)</f>
        <v>0</v>
      </c>
      <c r="J47" s="741">
        <f t="shared" si="13"/>
        <v>0</v>
      </c>
      <c r="K47" s="740">
        <f>K39-SUM(K40:K46)</f>
        <v>0</v>
      </c>
      <c r="L47" s="741">
        <f t="shared" si="13"/>
        <v>0</v>
      </c>
      <c r="M47" s="629"/>
      <c r="N47" s="740">
        <f>N39-SUM(N40:N46)</f>
        <v>0</v>
      </c>
      <c r="O47" s="741">
        <f>$Q$10</f>
        <v>0</v>
      </c>
      <c r="P47" s="740">
        <f>P39-SUM(P40:P46)</f>
        <v>0</v>
      </c>
      <c r="Q47" s="741">
        <f t="shared" si="15"/>
        <v>0</v>
      </c>
      <c r="R47" s="740">
        <f>R39-SUM(R40:R46)</f>
        <v>0</v>
      </c>
      <c r="S47" s="741">
        <f t="shared" si="15"/>
        <v>0</v>
      </c>
      <c r="T47" s="740">
        <f>T39-SUM(T40:T46)</f>
        <v>0</v>
      </c>
      <c r="U47" s="741">
        <f t="shared" si="15"/>
        <v>0</v>
      </c>
      <c r="V47" s="740">
        <f>V39-SUM(V40:V46)</f>
        <v>0</v>
      </c>
      <c r="W47" s="741">
        <f t="shared" si="15"/>
        <v>0</v>
      </c>
      <c r="X47" s="647"/>
      <c r="Y47" s="740">
        <f>Y39-SUM(Y40:Y46)</f>
        <v>0</v>
      </c>
      <c r="Z47" s="741">
        <f t="shared" si="16"/>
        <v>0</v>
      </c>
      <c r="AA47" s="740">
        <f>AA39-SUM(AA40:AA46)</f>
        <v>0</v>
      </c>
      <c r="AB47" s="741">
        <f t="shared" si="17"/>
        <v>0</v>
      </c>
      <c r="AC47" s="740">
        <f>AC39-SUM(AC40:AC46)</f>
        <v>0</v>
      </c>
      <c r="AD47" s="741">
        <f t="shared" si="17"/>
        <v>0</v>
      </c>
      <c r="AE47" s="740">
        <f>AE39-SUM(AE40:AE46)</f>
        <v>0</v>
      </c>
      <c r="AF47" s="741">
        <f t="shared" si="17"/>
        <v>0</v>
      </c>
      <c r="AG47" s="740">
        <f>AG39-SUM(AG40:AG46)</f>
        <v>0</v>
      </c>
      <c r="AH47" s="741">
        <f t="shared" si="17"/>
        <v>0</v>
      </c>
      <c r="AJ47" s="334"/>
      <c r="AL47" s="423">
        <f t="shared" si="0"/>
        <v>0</v>
      </c>
      <c r="AN47" s="423"/>
      <c r="AO47" s="423"/>
      <c r="AP47" s="423"/>
    </row>
    <row r="48" spans="2:42" x14ac:dyDescent="0.3">
      <c r="B48" s="328" t="s">
        <v>126</v>
      </c>
      <c r="C48" s="670">
        <f>C24+C31+C39</f>
        <v>0</v>
      </c>
      <c r="D48" s="327"/>
      <c r="E48" s="670">
        <f>E24+E31+E39</f>
        <v>0</v>
      </c>
      <c r="F48" s="688"/>
      <c r="G48" s="671">
        <f>G24+G31+G39</f>
        <v>0</v>
      </c>
      <c r="H48" s="688"/>
      <c r="I48" s="671">
        <f>I24+I31+I39</f>
        <v>0</v>
      </c>
      <c r="J48" s="688"/>
      <c r="K48" s="670">
        <f>K24+K31+K39</f>
        <v>0</v>
      </c>
      <c r="L48" s="688"/>
      <c r="M48" s="39"/>
      <c r="N48" s="670">
        <f>N24+N31+N39</f>
        <v>0</v>
      </c>
      <c r="O48" s="327"/>
      <c r="P48" s="670">
        <f>P24+P31+P39</f>
        <v>0</v>
      </c>
      <c r="Q48" s="688"/>
      <c r="R48" s="671">
        <f>R24+R31+R39</f>
        <v>0</v>
      </c>
      <c r="S48" s="688"/>
      <c r="T48" s="671">
        <f>T24+T31+T39</f>
        <v>0</v>
      </c>
      <c r="U48" s="688"/>
      <c r="V48" s="670">
        <f>V24+V31+V39</f>
        <v>0</v>
      </c>
      <c r="W48" s="688"/>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0"/>
        <v>0</v>
      </c>
      <c r="AN48" s="423"/>
      <c r="AO48" s="423"/>
      <c r="AP48" s="423"/>
    </row>
    <row r="49" spans="1:117" x14ac:dyDescent="0.3">
      <c r="B49" s="333" t="s">
        <v>127</v>
      </c>
      <c r="C49" s="663">
        <v>0</v>
      </c>
      <c r="D49" s="331">
        <f>$F$11</f>
        <v>0.21</v>
      </c>
      <c r="E49" s="663">
        <f>C49</f>
        <v>0</v>
      </c>
      <c r="F49" s="331">
        <f>$AB$11</f>
        <v>0.21</v>
      </c>
      <c r="G49" s="663"/>
      <c r="H49" s="331">
        <f>$AB$11</f>
        <v>0.21</v>
      </c>
      <c r="I49" s="663"/>
      <c r="J49" s="331">
        <f>$AB$11</f>
        <v>0.21</v>
      </c>
      <c r="K49" s="663"/>
      <c r="L49" s="331">
        <f>$AB$11</f>
        <v>0.21</v>
      </c>
      <c r="M49" s="39"/>
      <c r="N49" s="663">
        <v>0</v>
      </c>
      <c r="O49" s="331">
        <f>$Q$11</f>
        <v>0.21</v>
      </c>
      <c r="P49" s="663">
        <f>N49</f>
        <v>0</v>
      </c>
      <c r="Q49" s="331">
        <f>$AB$11</f>
        <v>0.21</v>
      </c>
      <c r="R49" s="663"/>
      <c r="S49" s="331">
        <f>$AB$11</f>
        <v>0.21</v>
      </c>
      <c r="T49" s="663"/>
      <c r="U49" s="331">
        <f>$AB$11</f>
        <v>0.21</v>
      </c>
      <c r="V49" s="663"/>
      <c r="W49" s="331">
        <f>$AB$11</f>
        <v>0.21</v>
      </c>
      <c r="X49" s="646"/>
      <c r="Y49" s="663">
        <v>0</v>
      </c>
      <c r="Z49" s="331">
        <f>$AB$11</f>
        <v>0.21</v>
      </c>
      <c r="AA49" s="663">
        <f>Y49</f>
        <v>0</v>
      </c>
      <c r="AB49" s="331">
        <f>$AB$11</f>
        <v>0.21</v>
      </c>
      <c r="AC49" s="663"/>
      <c r="AD49" s="331">
        <f>$AB$11</f>
        <v>0.21</v>
      </c>
      <c r="AE49" s="663"/>
      <c r="AF49" s="331">
        <f>$AB$11</f>
        <v>0.21</v>
      </c>
      <c r="AG49" s="663"/>
      <c r="AH49" s="331">
        <f>$AB$11</f>
        <v>0.21</v>
      </c>
      <c r="AL49" s="423">
        <f t="shared" si="0"/>
        <v>0</v>
      </c>
      <c r="AN49" s="423"/>
      <c r="AO49" s="423"/>
      <c r="AP49" s="423"/>
    </row>
    <row r="50" spans="1:117" x14ac:dyDescent="0.3">
      <c r="B50" s="328" t="s">
        <v>443</v>
      </c>
      <c r="C50" s="670">
        <f>SUM(C48+C49)</f>
        <v>0</v>
      </c>
      <c r="D50" s="327"/>
      <c r="E50" s="670">
        <f>SUM(E48+E49)</f>
        <v>0</v>
      </c>
      <c r="F50" s="688"/>
      <c r="G50" s="671">
        <f>SUM(G48+G49)</f>
        <v>0</v>
      </c>
      <c r="H50" s="688"/>
      <c r="I50" s="671">
        <f>SUM(I48:I49)</f>
        <v>0</v>
      </c>
      <c r="J50" s="688"/>
      <c r="K50" s="670">
        <f>SUM(K48:K49)</f>
        <v>0</v>
      </c>
      <c r="L50" s="327"/>
      <c r="M50" s="39"/>
      <c r="N50" s="670">
        <f>SUM(N48+N49)</f>
        <v>0</v>
      </c>
      <c r="O50" s="327"/>
      <c r="P50" s="670">
        <f>SUM(P48+P49)</f>
        <v>0</v>
      </c>
      <c r="Q50" s="688"/>
      <c r="R50" s="671">
        <f>SUM(R48+R49)</f>
        <v>0</v>
      </c>
      <c r="S50" s="688"/>
      <c r="T50" s="671">
        <f>SUM(T48:T49)</f>
        <v>0</v>
      </c>
      <c r="U50" s="688"/>
      <c r="V50" s="670">
        <f>SUM(V48:V49)</f>
        <v>0</v>
      </c>
      <c r="W50" s="327"/>
      <c r="X50" s="646"/>
      <c r="Y50" s="670">
        <f>SUM(Y48+Y49)</f>
        <v>0</v>
      </c>
      <c r="Z50" s="327"/>
      <c r="AA50" s="670">
        <f>SUM(AA48+AA49)</f>
        <v>0</v>
      </c>
      <c r="AB50" s="688"/>
      <c r="AC50" s="671">
        <f>SUM(AC48+AC49)</f>
        <v>0</v>
      </c>
      <c r="AD50" s="688"/>
      <c r="AE50" s="671">
        <f>SUM(AE48:AE49)</f>
        <v>0</v>
      </c>
      <c r="AF50" s="688"/>
      <c r="AG50" s="670">
        <f>SUM(AG48:AG49)</f>
        <v>0</v>
      </c>
      <c r="AH50" s="327"/>
      <c r="AL50" s="423">
        <f t="shared" si="0"/>
        <v>0</v>
      </c>
      <c r="AN50" s="423"/>
      <c r="AO50" s="423"/>
      <c r="AP50" s="423"/>
    </row>
    <row r="51" spans="1:117" x14ac:dyDescent="0.3">
      <c r="B51" s="333" t="s">
        <v>444</v>
      </c>
      <c r="C51" s="665">
        <f>SUM(C52:C53)</f>
        <v>0</v>
      </c>
      <c r="D51" s="656">
        <f>$F$10</f>
        <v>0</v>
      </c>
      <c r="E51" s="663">
        <f t="shared" ref="E51:E58" si="18">C51</f>
        <v>0</v>
      </c>
      <c r="F51" s="656">
        <f>$AB$10</f>
        <v>0</v>
      </c>
      <c r="G51" s="665">
        <f>SUM(G52:G53)</f>
        <v>0</v>
      </c>
      <c r="H51" s="656">
        <f>$F$10</f>
        <v>0</v>
      </c>
      <c r="I51" s="665">
        <f>SUM(I52:I53)</f>
        <v>0</v>
      </c>
      <c r="J51" s="656">
        <f>$F$10</f>
        <v>0</v>
      </c>
      <c r="K51" s="665">
        <f>SUM(K52:K53)</f>
        <v>0</v>
      </c>
      <c r="L51" s="656">
        <f>$AB$10</f>
        <v>0</v>
      </c>
      <c r="M51" s="628"/>
      <c r="N51" s="663">
        <v>0</v>
      </c>
      <c r="O51" s="656">
        <f>$Q$10</f>
        <v>0</v>
      </c>
      <c r="P51" s="663">
        <f t="shared" ref="P51:P58" si="19">N51</f>
        <v>0</v>
      </c>
      <c r="Q51" s="656">
        <f>$AB$10</f>
        <v>0</v>
      </c>
      <c r="R51" s="665">
        <f>SUM(R52:R53)</f>
        <v>0</v>
      </c>
      <c r="S51" s="656">
        <f>$F$10</f>
        <v>0</v>
      </c>
      <c r="T51" s="665">
        <f>SUM(T52:T53)</f>
        <v>0</v>
      </c>
      <c r="U51" s="656">
        <f>$F$10</f>
        <v>0</v>
      </c>
      <c r="V51" s="665">
        <f>SUM(V52:V53)</f>
        <v>0</v>
      </c>
      <c r="W51" s="656">
        <f>$AB$10</f>
        <v>0</v>
      </c>
      <c r="X51" s="648"/>
      <c r="Y51" s="663">
        <v>0</v>
      </c>
      <c r="Z51" s="656">
        <f>$AB$10</f>
        <v>0</v>
      </c>
      <c r="AA51" s="663">
        <f t="shared" ref="AA51:AA56" si="20">Y51</f>
        <v>0</v>
      </c>
      <c r="AB51" s="656">
        <f>$AB$10</f>
        <v>0</v>
      </c>
      <c r="AC51" s="665">
        <f>SUM(AC52:AC53)</f>
        <v>0</v>
      </c>
      <c r="AD51" s="656">
        <f>$F$10</f>
        <v>0</v>
      </c>
      <c r="AE51" s="665">
        <f>SUM(AE52:AE53)</f>
        <v>0</v>
      </c>
      <c r="AF51" s="656">
        <f>$F$10</f>
        <v>0</v>
      </c>
      <c r="AG51" s="665">
        <f>SUM(AG52:AG53)</f>
        <v>0</v>
      </c>
      <c r="AH51" s="656">
        <f>$AB$10</f>
        <v>0</v>
      </c>
      <c r="AL51" s="819">
        <f t="shared" si="0"/>
        <v>0</v>
      </c>
      <c r="AN51" s="423"/>
      <c r="AO51" s="423"/>
      <c r="AP51" s="423"/>
    </row>
    <row r="52" spans="1:117" ht="21" customHeight="1" x14ac:dyDescent="0.3">
      <c r="B52" s="746" t="s">
        <v>445</v>
      </c>
      <c r="C52" s="740">
        <v>0</v>
      </c>
      <c r="D52" s="743">
        <f>$F$10</f>
        <v>0</v>
      </c>
      <c r="E52" s="740">
        <f t="shared" si="18"/>
        <v>0</v>
      </c>
      <c r="F52" s="743">
        <f t="shared" ref="F52:L54" si="21">$AB$10</f>
        <v>0</v>
      </c>
      <c r="G52" s="740">
        <v>0</v>
      </c>
      <c r="H52" s="743"/>
      <c r="I52" s="740">
        <v>0</v>
      </c>
      <c r="J52" s="743"/>
      <c r="K52" s="740">
        <v>0</v>
      </c>
      <c r="L52" s="743">
        <f t="shared" si="21"/>
        <v>0</v>
      </c>
      <c r="M52" s="628"/>
      <c r="N52" s="742"/>
      <c r="O52" s="743">
        <f t="shared" ref="O52:O54" si="22">$Q$10</f>
        <v>0</v>
      </c>
      <c r="P52" s="740">
        <f t="shared" si="19"/>
        <v>0</v>
      </c>
      <c r="Q52" s="743">
        <f t="shared" ref="Q52:W54" si="23">$AB$10</f>
        <v>0</v>
      </c>
      <c r="R52" s="740">
        <v>0</v>
      </c>
      <c r="S52" s="743"/>
      <c r="T52" s="740">
        <v>0</v>
      </c>
      <c r="U52" s="743"/>
      <c r="V52" s="740">
        <v>0</v>
      </c>
      <c r="W52" s="743">
        <f t="shared" si="23"/>
        <v>0</v>
      </c>
      <c r="X52" s="648"/>
      <c r="Y52" s="742"/>
      <c r="Z52" s="743">
        <f t="shared" ref="Z52:Z54" si="24">$AB$10</f>
        <v>0</v>
      </c>
      <c r="AA52" s="740">
        <f t="shared" si="20"/>
        <v>0</v>
      </c>
      <c r="AB52" s="743">
        <f t="shared" ref="AB52:AH54" si="25">$AB$10</f>
        <v>0</v>
      </c>
      <c r="AC52" s="740">
        <v>0</v>
      </c>
      <c r="AD52" s="743"/>
      <c r="AE52" s="740">
        <v>0</v>
      </c>
      <c r="AF52" s="743"/>
      <c r="AG52" s="740">
        <v>0</v>
      </c>
      <c r="AH52" s="743">
        <f t="shared" si="25"/>
        <v>0</v>
      </c>
      <c r="AL52" s="423">
        <f t="shared" si="0"/>
        <v>0</v>
      </c>
      <c r="AN52" s="423"/>
      <c r="AO52" s="423"/>
      <c r="AP52" s="423"/>
    </row>
    <row r="53" spans="1:117" x14ac:dyDescent="0.3">
      <c r="B53" s="746" t="s">
        <v>446</v>
      </c>
      <c r="C53" s="740">
        <v>0</v>
      </c>
      <c r="D53" s="743">
        <f>$F$10</f>
        <v>0</v>
      </c>
      <c r="E53" s="740">
        <f t="shared" si="18"/>
        <v>0</v>
      </c>
      <c r="F53" s="743">
        <f t="shared" si="21"/>
        <v>0</v>
      </c>
      <c r="G53" s="740">
        <v>0</v>
      </c>
      <c r="H53" s="743"/>
      <c r="I53" s="740">
        <v>0</v>
      </c>
      <c r="J53" s="743"/>
      <c r="K53" s="740">
        <v>0</v>
      </c>
      <c r="L53" s="743">
        <f t="shared" si="21"/>
        <v>0</v>
      </c>
      <c r="M53" s="628"/>
      <c r="N53" s="742"/>
      <c r="O53" s="743">
        <f t="shared" si="22"/>
        <v>0</v>
      </c>
      <c r="P53" s="740">
        <f t="shared" si="19"/>
        <v>0</v>
      </c>
      <c r="Q53" s="743">
        <f t="shared" si="23"/>
        <v>0</v>
      </c>
      <c r="R53" s="740">
        <v>0</v>
      </c>
      <c r="S53" s="743"/>
      <c r="T53" s="740">
        <v>0</v>
      </c>
      <c r="U53" s="743"/>
      <c r="V53" s="740">
        <v>0</v>
      </c>
      <c r="W53" s="743">
        <f t="shared" si="23"/>
        <v>0</v>
      </c>
      <c r="X53" s="648"/>
      <c r="Y53" s="742"/>
      <c r="Z53" s="743">
        <f t="shared" si="24"/>
        <v>0</v>
      </c>
      <c r="AA53" s="740">
        <f t="shared" si="20"/>
        <v>0</v>
      </c>
      <c r="AB53" s="743">
        <f t="shared" si="25"/>
        <v>0</v>
      </c>
      <c r="AC53" s="740">
        <v>0</v>
      </c>
      <c r="AD53" s="743"/>
      <c r="AE53" s="740">
        <v>0</v>
      </c>
      <c r="AF53" s="743"/>
      <c r="AG53" s="740">
        <v>0</v>
      </c>
      <c r="AH53" s="743">
        <f t="shared" si="25"/>
        <v>0</v>
      </c>
      <c r="AL53" s="423">
        <f t="shared" si="0"/>
        <v>0</v>
      </c>
      <c r="AN53" s="423"/>
      <c r="AO53" s="423"/>
      <c r="AP53" s="423"/>
    </row>
    <row r="54" spans="1:117" x14ac:dyDescent="0.3">
      <c r="B54" s="333" t="s">
        <v>447</v>
      </c>
      <c r="C54" s="665">
        <v>0</v>
      </c>
      <c r="D54" s="656">
        <f>$F$10</f>
        <v>0</v>
      </c>
      <c r="E54" s="663">
        <f t="shared" si="18"/>
        <v>0</v>
      </c>
      <c r="F54" s="656">
        <f t="shared" si="21"/>
        <v>0</v>
      </c>
      <c r="G54" s="665">
        <v>0</v>
      </c>
      <c r="H54" s="656">
        <f>$F$10</f>
        <v>0</v>
      </c>
      <c r="I54" s="665">
        <v>0</v>
      </c>
      <c r="J54" s="656">
        <f>$F$10</f>
        <v>0</v>
      </c>
      <c r="K54" s="665">
        <v>0</v>
      </c>
      <c r="L54" s="656">
        <f t="shared" si="21"/>
        <v>0</v>
      </c>
      <c r="M54" s="628"/>
      <c r="N54" s="665">
        <v>0</v>
      </c>
      <c r="O54" s="656">
        <f t="shared" si="22"/>
        <v>0</v>
      </c>
      <c r="P54" s="663">
        <f t="shared" si="19"/>
        <v>0</v>
      </c>
      <c r="Q54" s="656">
        <f t="shared" si="23"/>
        <v>0</v>
      </c>
      <c r="R54" s="665">
        <v>0</v>
      </c>
      <c r="S54" s="656">
        <f>$F$10</f>
        <v>0</v>
      </c>
      <c r="T54" s="665">
        <v>0</v>
      </c>
      <c r="U54" s="656">
        <f>$F$10</f>
        <v>0</v>
      </c>
      <c r="V54" s="665">
        <v>0</v>
      </c>
      <c r="W54" s="656">
        <f t="shared" si="23"/>
        <v>0</v>
      </c>
      <c r="X54" s="648"/>
      <c r="Y54" s="665">
        <v>0</v>
      </c>
      <c r="Z54" s="656">
        <f t="shared" si="24"/>
        <v>0</v>
      </c>
      <c r="AA54" s="663">
        <f t="shared" si="20"/>
        <v>0</v>
      </c>
      <c r="AB54" s="656">
        <f t="shared" si="25"/>
        <v>0</v>
      </c>
      <c r="AC54" s="665">
        <v>0</v>
      </c>
      <c r="AD54" s="656">
        <f>$F$10</f>
        <v>0</v>
      </c>
      <c r="AE54" s="665">
        <v>0</v>
      </c>
      <c r="AF54" s="656">
        <f>$F$10</f>
        <v>0</v>
      </c>
      <c r="AG54" s="665">
        <v>0</v>
      </c>
      <c r="AH54" s="656">
        <f t="shared" si="25"/>
        <v>0</v>
      </c>
      <c r="AL54" s="819">
        <f t="shared" si="0"/>
        <v>0</v>
      </c>
      <c r="AN54" s="423"/>
      <c r="AO54" s="423"/>
      <c r="AP54" s="423"/>
    </row>
    <row r="55" spans="1:117" x14ac:dyDescent="0.3">
      <c r="B55" s="333" t="s">
        <v>335</v>
      </c>
      <c r="C55" s="665" t="e">
        <f ca="1">IFERROR(VLOOKUP(Bron!$B$16,'Overzicht BTA'!B7:C10,2,FALSE)/'Overzicht project'!$E$66,0)*kunst!$B$11</f>
        <v>#REF!</v>
      </c>
      <c r="D55" s="335">
        <f>$F$13</f>
        <v>0.06</v>
      </c>
      <c r="E55" s="665" t="e">
        <f t="shared" ca="1" si="18"/>
        <v>#REF!</v>
      </c>
      <c r="F55" s="335">
        <f>$AB$13</f>
        <v>0.06</v>
      </c>
      <c r="G55" s="665">
        <v>0</v>
      </c>
      <c r="H55" s="335">
        <f>$F$13</f>
        <v>0.06</v>
      </c>
      <c r="I55" s="665">
        <v>0</v>
      </c>
      <c r="J55" s="335">
        <f>$F$13</f>
        <v>0.06</v>
      </c>
      <c r="K55" s="665">
        <v>0</v>
      </c>
      <c r="L55" s="335">
        <f>$AB$13</f>
        <v>0.06</v>
      </c>
      <c r="M55" s="629"/>
      <c r="N55" s="665" t="e">
        <f ca="1">IFERROR(VLOOKUP(Bron!$B$16,'Overzicht BTA'!H7:I10,2,FALSE)/'Overzicht project'!$E$66,0)*kunst!$B$11</f>
        <v>#REF!</v>
      </c>
      <c r="O55" s="335">
        <f>$Q$13</f>
        <v>0.06</v>
      </c>
      <c r="P55" s="665" t="e">
        <f t="shared" ca="1" si="19"/>
        <v>#REF!</v>
      </c>
      <c r="Q55" s="335">
        <f>$AB$13</f>
        <v>0.06</v>
      </c>
      <c r="R55" s="665">
        <v>0</v>
      </c>
      <c r="S55" s="335">
        <f>$F$13</f>
        <v>0.06</v>
      </c>
      <c r="T55" s="665">
        <v>0</v>
      </c>
      <c r="U55" s="335">
        <f>$F$13</f>
        <v>0.06</v>
      </c>
      <c r="V55" s="665">
        <v>0</v>
      </c>
      <c r="W55" s="335">
        <f>$AB$13</f>
        <v>0.06</v>
      </c>
      <c r="X55" s="647"/>
      <c r="Y55" s="665" t="e">
        <f ca="1">IFERROR(VLOOKUP(Bron!$B$16,'Overzicht BTA'!N7:O10,2,FALSE)/'Overzicht project'!$E$66,0)*kunst!B11</f>
        <v>#REF!</v>
      </c>
      <c r="Z55" s="335">
        <f>$AB$13</f>
        <v>0.06</v>
      </c>
      <c r="AA55" s="665" t="e">
        <f t="shared" ca="1" si="20"/>
        <v>#REF!</v>
      </c>
      <c r="AB55" s="335">
        <f>$AB$13</f>
        <v>0.06</v>
      </c>
      <c r="AC55" s="665">
        <v>0</v>
      </c>
      <c r="AD55" s="335">
        <f>$F$13</f>
        <v>0.06</v>
      </c>
      <c r="AE55" s="665">
        <v>0</v>
      </c>
      <c r="AF55" s="335">
        <f>$F$13</f>
        <v>0.06</v>
      </c>
      <c r="AG55" s="665">
        <v>0</v>
      </c>
      <c r="AH55" s="335">
        <f>$AB$13</f>
        <v>0.06</v>
      </c>
      <c r="AL55" s="423">
        <f t="shared" si="0"/>
        <v>0</v>
      </c>
      <c r="AN55" s="423"/>
      <c r="AO55" s="423"/>
      <c r="AP55" s="423"/>
    </row>
    <row r="56" spans="1:117" s="669" customFormat="1" x14ac:dyDescent="0.3">
      <c r="A56"/>
      <c r="B56" s="333" t="s">
        <v>448</v>
      </c>
      <c r="C56" s="665">
        <v>0</v>
      </c>
      <c r="D56" s="656">
        <f>$F$11</f>
        <v>0.21</v>
      </c>
      <c r="E56" s="663">
        <f t="shared" si="18"/>
        <v>0</v>
      </c>
      <c r="F56" s="656">
        <f t="shared" ref="F56:L56" si="26">$AB$11</f>
        <v>0.21</v>
      </c>
      <c r="G56" s="665">
        <v>0</v>
      </c>
      <c r="H56" s="656">
        <f>$F$11</f>
        <v>0.21</v>
      </c>
      <c r="I56" s="665">
        <v>0</v>
      </c>
      <c r="J56" s="656">
        <f>$F$11</f>
        <v>0.21</v>
      </c>
      <c r="K56" s="665">
        <v>0</v>
      </c>
      <c r="L56" s="656">
        <f t="shared" si="26"/>
        <v>0.21</v>
      </c>
      <c r="M56" s="629"/>
      <c r="N56" s="665">
        <v>0</v>
      </c>
      <c r="O56" s="656">
        <f t="shared" ref="O56" si="27">$Q$11</f>
        <v>0.21</v>
      </c>
      <c r="P56" s="663">
        <f t="shared" si="19"/>
        <v>0</v>
      </c>
      <c r="Q56" s="656">
        <f t="shared" ref="Q56:W56" si="28">$AB$11</f>
        <v>0.21</v>
      </c>
      <c r="R56" s="665">
        <v>0</v>
      </c>
      <c r="S56" s="656">
        <f>$F$11</f>
        <v>0.21</v>
      </c>
      <c r="T56" s="665">
        <v>0</v>
      </c>
      <c r="U56" s="656">
        <f>$F$11</f>
        <v>0.21</v>
      </c>
      <c r="V56" s="665">
        <v>0</v>
      </c>
      <c r="W56" s="656">
        <f t="shared" si="28"/>
        <v>0.21</v>
      </c>
      <c r="X56" s="647"/>
      <c r="Y56" s="665">
        <v>0</v>
      </c>
      <c r="Z56" s="656">
        <f t="shared" ref="Z56" si="29">$AB$11</f>
        <v>0.21</v>
      </c>
      <c r="AA56" s="663">
        <f t="shared" si="20"/>
        <v>0</v>
      </c>
      <c r="AB56" s="656">
        <f t="shared" ref="AB56:AH56" si="30">$AB$11</f>
        <v>0.21</v>
      </c>
      <c r="AC56" s="665">
        <v>0</v>
      </c>
      <c r="AD56" s="656">
        <f>$F$11</f>
        <v>0.21</v>
      </c>
      <c r="AE56" s="665">
        <v>0</v>
      </c>
      <c r="AF56" s="656">
        <f>$F$11</f>
        <v>0.21</v>
      </c>
      <c r="AG56" s="665">
        <v>0</v>
      </c>
      <c r="AH56" s="656">
        <f t="shared" si="30"/>
        <v>0.21</v>
      </c>
      <c r="AI56"/>
      <c r="AJ56"/>
      <c r="AK56"/>
      <c r="AL56" s="423"/>
      <c r="AM56"/>
      <c r="AN56" s="423"/>
      <c r="AO56" s="423"/>
      <c r="AP56" s="423"/>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449</v>
      </c>
      <c r="C57" s="665">
        <v>0</v>
      </c>
      <c r="D57" s="656">
        <f>$F$10</f>
        <v>0</v>
      </c>
      <c r="E57" s="663">
        <f t="shared" si="18"/>
        <v>0</v>
      </c>
      <c r="F57" s="656">
        <f t="shared" ref="F57:L57" si="31">$AB$10</f>
        <v>0</v>
      </c>
      <c r="G57" s="665">
        <v>0</v>
      </c>
      <c r="H57" s="656">
        <f>$F$10</f>
        <v>0</v>
      </c>
      <c r="I57" s="665">
        <v>0</v>
      </c>
      <c r="J57" s="656">
        <f>$F$10</f>
        <v>0</v>
      </c>
      <c r="K57" s="665">
        <v>0</v>
      </c>
      <c r="L57" s="656">
        <f t="shared" si="31"/>
        <v>0</v>
      </c>
      <c r="M57" s="628"/>
      <c r="N57" s="665">
        <v>0</v>
      </c>
      <c r="O57" s="656">
        <f t="shared" ref="O57" si="32">$Q$10</f>
        <v>0</v>
      </c>
      <c r="P57" s="663">
        <f t="shared" si="19"/>
        <v>0</v>
      </c>
      <c r="Q57" s="656">
        <f t="shared" ref="Q57:W57" si="33">$AB$10</f>
        <v>0</v>
      </c>
      <c r="R57" s="665">
        <v>0</v>
      </c>
      <c r="S57" s="656">
        <f>$F$10</f>
        <v>0</v>
      </c>
      <c r="T57" s="665">
        <v>0</v>
      </c>
      <c r="U57" s="656">
        <f>$F$10</f>
        <v>0</v>
      </c>
      <c r="V57" s="665">
        <v>0</v>
      </c>
      <c r="W57" s="656">
        <f t="shared" si="33"/>
        <v>0</v>
      </c>
      <c r="X57" s="648"/>
      <c r="Y57" s="665">
        <v>0</v>
      </c>
      <c r="Z57" s="656">
        <f t="shared" ref="Z57" si="34">$AB$10</f>
        <v>0</v>
      </c>
      <c r="AA57" s="663"/>
      <c r="AB57" s="656"/>
      <c r="AC57" s="665"/>
      <c r="AD57" s="656"/>
      <c r="AE57" s="665"/>
      <c r="AF57" s="656"/>
      <c r="AG57" s="665"/>
      <c r="AH57" s="656"/>
      <c r="AI57"/>
      <c r="AJ57"/>
      <c r="AK57"/>
      <c r="AL57" s="423"/>
      <c r="AM57"/>
      <c r="AN57" s="423"/>
      <c r="AO57" s="423"/>
      <c r="AP57" s="423"/>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x14ac:dyDescent="0.3">
      <c r="B58" s="747" t="s">
        <v>450</v>
      </c>
      <c r="C58" s="740">
        <v>0</v>
      </c>
      <c r="D58" s="743">
        <f>$F$10</f>
        <v>0</v>
      </c>
      <c r="E58" s="740">
        <f t="shared" si="18"/>
        <v>0</v>
      </c>
      <c r="F58" s="743">
        <f>$AB$10</f>
        <v>0</v>
      </c>
      <c r="G58" s="740">
        <v>0</v>
      </c>
      <c r="H58" s="741">
        <v>0.21</v>
      </c>
      <c r="I58" s="740">
        <v>0</v>
      </c>
      <c r="J58" s="741">
        <v>0.21</v>
      </c>
      <c r="K58" s="740">
        <v>0</v>
      </c>
      <c r="L58" s="743">
        <f>$AB$10</f>
        <v>0</v>
      </c>
      <c r="M58" s="629"/>
      <c r="N58" s="740"/>
      <c r="O58" s="743">
        <f>$Q$10</f>
        <v>0</v>
      </c>
      <c r="P58" s="740">
        <f t="shared" si="19"/>
        <v>0</v>
      </c>
      <c r="Q58" s="743">
        <f>$AB$10</f>
        <v>0</v>
      </c>
      <c r="R58" s="740">
        <v>0</v>
      </c>
      <c r="S58" s="741">
        <v>0.21</v>
      </c>
      <c r="T58" s="740">
        <v>0</v>
      </c>
      <c r="U58" s="741">
        <v>0.21</v>
      </c>
      <c r="V58" s="740">
        <v>0</v>
      </c>
      <c r="W58" s="743">
        <f>$AB$10</f>
        <v>0</v>
      </c>
      <c r="X58" s="647"/>
      <c r="Y58" s="740"/>
      <c r="Z58" s="743">
        <f>$AB$10</f>
        <v>0</v>
      </c>
      <c r="AA58" s="740">
        <f>Y58</f>
        <v>0</v>
      </c>
      <c r="AB58" s="743">
        <f>$AB$10</f>
        <v>0</v>
      </c>
      <c r="AC58" s="740">
        <v>0</v>
      </c>
      <c r="AD58" s="741">
        <v>0.21</v>
      </c>
      <c r="AE58" s="740">
        <v>0</v>
      </c>
      <c r="AF58" s="741">
        <v>0.21</v>
      </c>
      <c r="AG58" s="740">
        <v>0</v>
      </c>
      <c r="AH58" s="743">
        <f>$AB$10</f>
        <v>0</v>
      </c>
      <c r="AL58" s="423">
        <f t="shared" si="0"/>
        <v>0</v>
      </c>
      <c r="AN58" s="423"/>
      <c r="AO58" s="423"/>
      <c r="AP58" s="423"/>
    </row>
    <row r="59" spans="1:117" x14ac:dyDescent="0.3">
      <c r="B59" s="747" t="s">
        <v>451</v>
      </c>
      <c r="C59" s="740">
        <v>0</v>
      </c>
      <c r="D59" s="741">
        <f>$F$10</f>
        <v>0</v>
      </c>
      <c r="E59" s="740">
        <f t="shared" ref="E59:E60" si="35">C59</f>
        <v>0</v>
      </c>
      <c r="F59" s="743">
        <f t="shared" ref="F59:L60" si="36">$AB$10</f>
        <v>0</v>
      </c>
      <c r="G59" s="740">
        <v>0</v>
      </c>
      <c r="H59" s="741">
        <f>$F$10</f>
        <v>0</v>
      </c>
      <c r="I59" s="740">
        <v>0</v>
      </c>
      <c r="J59" s="741">
        <f>$F$10</f>
        <v>0</v>
      </c>
      <c r="K59" s="740">
        <v>0</v>
      </c>
      <c r="L59" s="743">
        <f t="shared" si="36"/>
        <v>0</v>
      </c>
      <c r="M59" s="629"/>
      <c r="N59" s="740"/>
      <c r="O59" s="741">
        <f>$F$10</f>
        <v>0</v>
      </c>
      <c r="P59" s="740">
        <f t="shared" ref="P59:P60" si="37">N59</f>
        <v>0</v>
      </c>
      <c r="Q59" s="743">
        <f t="shared" ref="Q59:W60" si="38">$AB$10</f>
        <v>0</v>
      </c>
      <c r="R59" s="740">
        <v>0</v>
      </c>
      <c r="S59" s="741">
        <f>$F$10</f>
        <v>0</v>
      </c>
      <c r="T59" s="740">
        <v>0</v>
      </c>
      <c r="U59" s="741">
        <f>$F$10</f>
        <v>0</v>
      </c>
      <c r="V59" s="740">
        <v>0</v>
      </c>
      <c r="W59" s="743">
        <f t="shared" si="38"/>
        <v>0</v>
      </c>
      <c r="X59" s="647"/>
      <c r="Y59" s="740"/>
      <c r="Z59" s="743">
        <f t="shared" ref="Z59:Z60" si="39">$AB$10</f>
        <v>0</v>
      </c>
      <c r="AA59" s="740">
        <f t="shared" ref="AA59:AA60" si="40">Y59</f>
        <v>0</v>
      </c>
      <c r="AB59" s="743">
        <f t="shared" ref="AB59:AH60" si="41">$AB$10</f>
        <v>0</v>
      </c>
      <c r="AC59" s="740">
        <v>0</v>
      </c>
      <c r="AD59" s="741">
        <f>$F$10</f>
        <v>0</v>
      </c>
      <c r="AE59" s="740">
        <v>0</v>
      </c>
      <c r="AF59" s="741">
        <f>$F$10</f>
        <v>0</v>
      </c>
      <c r="AG59" s="740">
        <v>0</v>
      </c>
      <c r="AH59" s="743">
        <f t="shared" si="41"/>
        <v>0</v>
      </c>
      <c r="AL59" s="423">
        <f t="shared" si="0"/>
        <v>0</v>
      </c>
      <c r="AN59" s="423"/>
      <c r="AO59" s="423"/>
      <c r="AP59" s="423"/>
    </row>
    <row r="60" spans="1:117" x14ac:dyDescent="0.3">
      <c r="B60" s="747" t="s">
        <v>452</v>
      </c>
      <c r="C60" s="740">
        <v>0</v>
      </c>
      <c r="D60" s="741">
        <f>$F$10</f>
        <v>0</v>
      </c>
      <c r="E60" s="740">
        <f t="shared" si="35"/>
        <v>0</v>
      </c>
      <c r="F60" s="743">
        <f t="shared" si="36"/>
        <v>0</v>
      </c>
      <c r="G60" s="740">
        <v>0</v>
      </c>
      <c r="H60" s="741">
        <f>$F$10</f>
        <v>0</v>
      </c>
      <c r="I60" s="740">
        <v>0</v>
      </c>
      <c r="J60" s="741">
        <f>$F$10</f>
        <v>0</v>
      </c>
      <c r="K60" s="740">
        <v>0</v>
      </c>
      <c r="L60" s="743">
        <f t="shared" si="36"/>
        <v>0</v>
      </c>
      <c r="M60" s="629"/>
      <c r="N60" s="740"/>
      <c r="O60" s="741">
        <f>$F$10</f>
        <v>0</v>
      </c>
      <c r="P60" s="740">
        <f t="shared" si="37"/>
        <v>0</v>
      </c>
      <c r="Q60" s="743">
        <f t="shared" si="38"/>
        <v>0</v>
      </c>
      <c r="R60" s="740">
        <v>0</v>
      </c>
      <c r="S60" s="741">
        <f>$F$10</f>
        <v>0</v>
      </c>
      <c r="T60" s="740">
        <v>0</v>
      </c>
      <c r="U60" s="741">
        <f>$F$10</f>
        <v>0</v>
      </c>
      <c r="V60" s="740">
        <v>0</v>
      </c>
      <c r="W60" s="743">
        <f t="shared" si="38"/>
        <v>0</v>
      </c>
      <c r="X60" s="647"/>
      <c r="Y60" s="740"/>
      <c r="Z60" s="743">
        <f t="shared" si="39"/>
        <v>0</v>
      </c>
      <c r="AA60" s="740">
        <f t="shared" si="40"/>
        <v>0</v>
      </c>
      <c r="AB60" s="743">
        <f t="shared" si="41"/>
        <v>0</v>
      </c>
      <c r="AC60" s="740">
        <v>0</v>
      </c>
      <c r="AD60" s="741">
        <f>$F$10</f>
        <v>0</v>
      </c>
      <c r="AE60" s="740">
        <v>0</v>
      </c>
      <c r="AF60" s="741">
        <f>$F$10</f>
        <v>0</v>
      </c>
      <c r="AG60" s="740">
        <v>0</v>
      </c>
      <c r="AH60" s="743">
        <f t="shared" si="41"/>
        <v>0</v>
      </c>
      <c r="AL60" s="423">
        <f t="shared" si="0"/>
        <v>0</v>
      </c>
      <c r="AN60" s="423"/>
      <c r="AO60" s="423"/>
      <c r="AP60" s="423"/>
    </row>
    <row r="61" spans="1:117" x14ac:dyDescent="0.3">
      <c r="B61" s="328" t="s">
        <v>282</v>
      </c>
      <c r="C61" s="670" t="e">
        <f ca="1">C50+C51+C54+C55+C56+C57+C58+C59+C60</f>
        <v>#REF!</v>
      </c>
      <c r="D61" s="327"/>
      <c r="E61" s="670" t="e">
        <f ca="1">E50+E51+E54+E55+E56+E57+E58+E59+E60</f>
        <v>#REF!</v>
      </c>
      <c r="F61" s="670"/>
      <c r="G61" s="670">
        <f>G50+G51+G54+G55+G56+G57+G58+G59+G60</f>
        <v>0</v>
      </c>
      <c r="H61" s="670"/>
      <c r="I61" s="670">
        <f>I50+I51+I54+I55+I56+I57+I58+I59+I60</f>
        <v>0</v>
      </c>
      <c r="J61" s="670"/>
      <c r="K61" s="670">
        <f>K50+K51+K54+K55+K56+K57+K58+K59+K60</f>
        <v>0</v>
      </c>
      <c r="L61" s="670"/>
      <c r="M61" s="39"/>
      <c r="N61" s="670" t="e">
        <f ca="1">N50+N51+N54+N55+N56+N57+N58+N59+N60</f>
        <v>#REF!</v>
      </c>
      <c r="O61" s="327"/>
      <c r="P61" s="670" t="e">
        <f ca="1">P50+P51+P54+P55+P56+P57+P58+P59+P60</f>
        <v>#REF!</v>
      </c>
      <c r="Q61" s="670"/>
      <c r="R61" s="670">
        <f>R50+R51+R54+R55+R56+R57+R58+R59+R60</f>
        <v>0</v>
      </c>
      <c r="S61" s="670"/>
      <c r="T61" s="670">
        <f>T50+T51+T54+T55+T56+T57+T58+T59+T60</f>
        <v>0</v>
      </c>
      <c r="U61" s="670"/>
      <c r="V61" s="670">
        <f>V50+V51+V54+V55+V56+V57+V58+V59+V60</f>
        <v>0</v>
      </c>
      <c r="W61" s="670"/>
      <c r="X61" s="646"/>
      <c r="Y61" s="670" t="e">
        <f ca="1">Y50+Y51+Y54+Y55+Y56+Y57+Y58+Y59+Y60</f>
        <v>#REF!</v>
      </c>
      <c r="Z61" s="327"/>
      <c r="AA61" s="670" t="e">
        <f ca="1">AA50+AA51+AA54+AA55+AA56+AA57+AA58+AA59+AA60</f>
        <v>#REF!</v>
      </c>
      <c r="AB61" s="670"/>
      <c r="AC61" s="670">
        <f>AC50+AC51+AC54+AC55+AC56+AC57+AC58+AC59+AC60</f>
        <v>0</v>
      </c>
      <c r="AD61" s="670"/>
      <c r="AE61" s="670">
        <f>AE50+AE51+AE54+AE55+AE56+AE57+AE58+AE59+AE60</f>
        <v>0</v>
      </c>
      <c r="AF61" s="670"/>
      <c r="AG61" s="670">
        <f>AG50+AG51+AG54+AG55+AG56+AG57+AG58+AG59+AG60</f>
        <v>0</v>
      </c>
      <c r="AH61" s="670"/>
      <c r="AL61" s="423">
        <f t="shared" si="0"/>
        <v>0</v>
      </c>
      <c r="AN61" s="423"/>
      <c r="AO61" s="423"/>
      <c r="AP61" s="423"/>
    </row>
    <row r="62" spans="1:117" x14ac:dyDescent="0.3">
      <c r="B62" s="18"/>
      <c r="C62" s="666"/>
      <c r="D62" s="18"/>
      <c r="E62" s="666"/>
      <c r="F62" s="18"/>
      <c r="G62" s="666"/>
      <c r="H62" s="18"/>
      <c r="I62" s="666"/>
      <c r="J62" s="18"/>
      <c r="K62" s="666"/>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0"/>
        <v>0</v>
      </c>
      <c r="AN62" s="423"/>
      <c r="AO62" s="423"/>
      <c r="AP62" s="423"/>
    </row>
    <row r="63" spans="1:117" x14ac:dyDescent="0.3">
      <c r="B63" s="328" t="s">
        <v>453</v>
      </c>
      <c r="C63" s="667">
        <v>0</v>
      </c>
      <c r="D63" s="327"/>
      <c r="E63" s="667">
        <f>C63</f>
        <v>0</v>
      </c>
      <c r="F63" s="327"/>
      <c r="G63" s="667">
        <v>0</v>
      </c>
      <c r="H63" s="327"/>
      <c r="I63" s="667">
        <v>0</v>
      </c>
      <c r="J63" s="327"/>
      <c r="K63" s="611">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0"/>
        <v>0</v>
      </c>
      <c r="AN63" s="423"/>
      <c r="AO63" s="423"/>
      <c r="AP63" s="423"/>
    </row>
    <row r="64" spans="1:117" outlineLevel="1" x14ac:dyDescent="0.3">
      <c r="B64" s="748" t="s">
        <v>455</v>
      </c>
      <c r="C64" s="740">
        <v>0</v>
      </c>
      <c r="D64" s="741">
        <f t="shared" ref="D64:D79" si="42">$F$12</f>
        <v>0.21</v>
      </c>
      <c r="E64" s="740">
        <f>C64</f>
        <v>0</v>
      </c>
      <c r="F64" s="741">
        <f>$AB$12</f>
        <v>0.21</v>
      </c>
      <c r="G64" s="740">
        <v>0</v>
      </c>
      <c r="H64" s="741">
        <f>$AB$12</f>
        <v>0.21</v>
      </c>
      <c r="I64" s="740">
        <v>0</v>
      </c>
      <c r="J64" s="741">
        <f>$AB$12</f>
        <v>0.21</v>
      </c>
      <c r="K64" s="740">
        <v>0</v>
      </c>
      <c r="L64" s="741">
        <f>$AB$12</f>
        <v>0.21</v>
      </c>
      <c r="M64" s="629"/>
      <c r="N64" s="740"/>
      <c r="O64" s="741">
        <f>$Q$12</f>
        <v>0.21</v>
      </c>
      <c r="P64" s="740">
        <f>N64</f>
        <v>0</v>
      </c>
      <c r="Q64" s="741">
        <f>$AB$12</f>
        <v>0.21</v>
      </c>
      <c r="R64" s="740">
        <v>0</v>
      </c>
      <c r="S64" s="741">
        <f>$AB$12</f>
        <v>0.21</v>
      </c>
      <c r="T64" s="740">
        <v>0</v>
      </c>
      <c r="U64" s="741">
        <f>$AB$12</f>
        <v>0.21</v>
      </c>
      <c r="V64" s="740">
        <v>0</v>
      </c>
      <c r="W64" s="741">
        <f>$AB$12</f>
        <v>0.21</v>
      </c>
      <c r="X64" s="647"/>
      <c r="Y64" s="740"/>
      <c r="Z64" s="741">
        <f>$AB$12</f>
        <v>0.21</v>
      </c>
      <c r="AA64" s="740">
        <f>Y64</f>
        <v>0</v>
      </c>
      <c r="AB64" s="741">
        <f>$AB$12</f>
        <v>0.21</v>
      </c>
      <c r="AC64" s="740">
        <v>0</v>
      </c>
      <c r="AD64" s="741">
        <f>$AB$12</f>
        <v>0.21</v>
      </c>
      <c r="AE64" s="740">
        <v>0</v>
      </c>
      <c r="AF64" s="741">
        <f>$AB$12</f>
        <v>0.21</v>
      </c>
      <c r="AG64" s="740">
        <v>0</v>
      </c>
      <c r="AH64" s="741">
        <f>$AB$12</f>
        <v>0.21</v>
      </c>
      <c r="AI64" s="18"/>
      <c r="AL64" s="423">
        <f t="shared" si="0"/>
        <v>0</v>
      </c>
      <c r="AN64" s="423"/>
      <c r="AO64" s="423"/>
      <c r="AP64" s="423"/>
    </row>
    <row r="65" spans="2:42" outlineLevel="1" x14ac:dyDescent="0.3">
      <c r="B65" s="749" t="s">
        <v>456</v>
      </c>
      <c r="C65" s="740">
        <v>0</v>
      </c>
      <c r="D65" s="741">
        <f t="shared" si="42"/>
        <v>0.21</v>
      </c>
      <c r="E65" s="740">
        <f t="shared" ref="E65:E78" si="43">C65</f>
        <v>0</v>
      </c>
      <c r="F65" s="741">
        <f t="shared" ref="F65:L79" si="44">$AB$12</f>
        <v>0.21</v>
      </c>
      <c r="G65" s="740">
        <v>0</v>
      </c>
      <c r="H65" s="741">
        <f t="shared" si="44"/>
        <v>0.21</v>
      </c>
      <c r="I65" s="740">
        <v>0</v>
      </c>
      <c r="J65" s="741">
        <f t="shared" si="44"/>
        <v>0.21</v>
      </c>
      <c r="K65" s="740">
        <v>0</v>
      </c>
      <c r="L65" s="741">
        <f t="shared" si="44"/>
        <v>0.21</v>
      </c>
      <c r="M65" s="629"/>
      <c r="N65" s="740"/>
      <c r="O65" s="741">
        <f t="shared" ref="O65:O79" si="45">$Q$12</f>
        <v>0.21</v>
      </c>
      <c r="P65" s="740">
        <f t="shared" ref="P65:P78" si="46">N65</f>
        <v>0</v>
      </c>
      <c r="Q65" s="741">
        <f t="shared" ref="Q65:W79" si="47">$AB$12</f>
        <v>0.21</v>
      </c>
      <c r="R65" s="740">
        <v>0</v>
      </c>
      <c r="S65" s="741">
        <f t="shared" si="47"/>
        <v>0.21</v>
      </c>
      <c r="T65" s="740">
        <v>0</v>
      </c>
      <c r="U65" s="741">
        <f t="shared" si="47"/>
        <v>0.21</v>
      </c>
      <c r="V65" s="740">
        <v>0</v>
      </c>
      <c r="W65" s="741">
        <f t="shared" si="47"/>
        <v>0.21</v>
      </c>
      <c r="X65" s="647"/>
      <c r="Y65" s="740"/>
      <c r="Z65" s="741">
        <f t="shared" ref="Z65:Z79" si="48">$AB$12</f>
        <v>0.21</v>
      </c>
      <c r="AA65" s="740">
        <f t="shared" ref="AA65:AA78" si="49">Y65</f>
        <v>0</v>
      </c>
      <c r="AB65" s="741">
        <f t="shared" ref="AB65:AH79" si="50">$AB$12</f>
        <v>0.21</v>
      </c>
      <c r="AC65" s="740">
        <v>0</v>
      </c>
      <c r="AD65" s="741">
        <f t="shared" si="50"/>
        <v>0.21</v>
      </c>
      <c r="AE65" s="740">
        <v>0</v>
      </c>
      <c r="AF65" s="741">
        <f t="shared" si="50"/>
        <v>0.21</v>
      </c>
      <c r="AG65" s="740">
        <v>0</v>
      </c>
      <c r="AH65" s="741">
        <f t="shared" si="50"/>
        <v>0.21</v>
      </c>
      <c r="AI65" s="18"/>
      <c r="AJ65" s="18"/>
      <c r="AL65" s="423">
        <f t="shared" si="0"/>
        <v>0</v>
      </c>
      <c r="AN65" s="423"/>
      <c r="AO65" s="423"/>
      <c r="AP65" s="423"/>
    </row>
    <row r="66" spans="2:42" outlineLevel="1" x14ac:dyDescent="0.3">
      <c r="B66" s="749" t="s">
        <v>457</v>
      </c>
      <c r="C66" s="740">
        <v>0</v>
      </c>
      <c r="D66" s="741">
        <f t="shared" si="42"/>
        <v>0.21</v>
      </c>
      <c r="E66" s="740">
        <f t="shared" si="43"/>
        <v>0</v>
      </c>
      <c r="F66" s="741">
        <f t="shared" si="44"/>
        <v>0.21</v>
      </c>
      <c r="G66" s="740">
        <v>0</v>
      </c>
      <c r="H66" s="741">
        <f t="shared" si="44"/>
        <v>0.21</v>
      </c>
      <c r="I66" s="740">
        <v>0</v>
      </c>
      <c r="J66" s="741">
        <f t="shared" si="44"/>
        <v>0.21</v>
      </c>
      <c r="K66" s="740">
        <v>0</v>
      </c>
      <c r="L66" s="741">
        <f t="shared" si="44"/>
        <v>0.21</v>
      </c>
      <c r="M66" s="629"/>
      <c r="N66" s="740"/>
      <c r="O66" s="741">
        <f t="shared" si="45"/>
        <v>0.21</v>
      </c>
      <c r="P66" s="740">
        <f t="shared" si="46"/>
        <v>0</v>
      </c>
      <c r="Q66" s="741">
        <f t="shared" si="47"/>
        <v>0.21</v>
      </c>
      <c r="R66" s="740">
        <v>0</v>
      </c>
      <c r="S66" s="741">
        <f t="shared" si="47"/>
        <v>0.21</v>
      </c>
      <c r="T66" s="740">
        <v>0</v>
      </c>
      <c r="U66" s="741">
        <f t="shared" si="47"/>
        <v>0.21</v>
      </c>
      <c r="V66" s="740">
        <v>0</v>
      </c>
      <c r="W66" s="741">
        <f t="shared" si="47"/>
        <v>0.21</v>
      </c>
      <c r="X66" s="647"/>
      <c r="Y66" s="740"/>
      <c r="Z66" s="741">
        <f t="shared" si="48"/>
        <v>0.21</v>
      </c>
      <c r="AA66" s="740">
        <f t="shared" si="49"/>
        <v>0</v>
      </c>
      <c r="AB66" s="741">
        <f t="shared" si="50"/>
        <v>0.21</v>
      </c>
      <c r="AC66" s="740">
        <v>0</v>
      </c>
      <c r="AD66" s="741">
        <f t="shared" si="50"/>
        <v>0.21</v>
      </c>
      <c r="AE66" s="740">
        <v>0</v>
      </c>
      <c r="AF66" s="741">
        <f t="shared" si="50"/>
        <v>0.21</v>
      </c>
      <c r="AG66" s="740">
        <v>0</v>
      </c>
      <c r="AH66" s="741">
        <f t="shared" si="50"/>
        <v>0.21</v>
      </c>
      <c r="AI66" s="18"/>
      <c r="AJ66" s="18"/>
      <c r="AL66" s="423">
        <f t="shared" si="0"/>
        <v>0</v>
      </c>
      <c r="AN66" s="423"/>
      <c r="AO66" s="423"/>
      <c r="AP66" s="423"/>
    </row>
    <row r="67" spans="2:42" outlineLevel="1" x14ac:dyDescent="0.3">
      <c r="B67" s="748" t="s">
        <v>458</v>
      </c>
      <c r="C67" s="740">
        <v>0</v>
      </c>
      <c r="D67" s="741">
        <f t="shared" si="42"/>
        <v>0.21</v>
      </c>
      <c r="E67" s="740">
        <f t="shared" si="43"/>
        <v>0</v>
      </c>
      <c r="F67" s="741">
        <f t="shared" si="44"/>
        <v>0.21</v>
      </c>
      <c r="G67" s="740">
        <v>0</v>
      </c>
      <c r="H67" s="741">
        <f t="shared" si="44"/>
        <v>0.21</v>
      </c>
      <c r="I67" s="740">
        <v>0</v>
      </c>
      <c r="J67" s="741">
        <f t="shared" si="44"/>
        <v>0.21</v>
      </c>
      <c r="K67" s="740">
        <v>0</v>
      </c>
      <c r="L67" s="741">
        <f t="shared" si="44"/>
        <v>0.21</v>
      </c>
      <c r="M67" s="629"/>
      <c r="N67" s="740"/>
      <c r="O67" s="741">
        <f t="shared" si="45"/>
        <v>0.21</v>
      </c>
      <c r="P67" s="740">
        <f t="shared" si="46"/>
        <v>0</v>
      </c>
      <c r="Q67" s="741">
        <f t="shared" si="47"/>
        <v>0.21</v>
      </c>
      <c r="R67" s="740">
        <v>0</v>
      </c>
      <c r="S67" s="741">
        <f t="shared" si="47"/>
        <v>0.21</v>
      </c>
      <c r="T67" s="740">
        <v>0</v>
      </c>
      <c r="U67" s="741">
        <f t="shared" si="47"/>
        <v>0.21</v>
      </c>
      <c r="V67" s="740">
        <v>0</v>
      </c>
      <c r="W67" s="741">
        <f t="shared" si="47"/>
        <v>0.21</v>
      </c>
      <c r="X67" s="647"/>
      <c r="Y67" s="740"/>
      <c r="Z67" s="741">
        <f t="shared" si="48"/>
        <v>0.21</v>
      </c>
      <c r="AA67" s="740">
        <f t="shared" si="49"/>
        <v>0</v>
      </c>
      <c r="AB67" s="741">
        <f t="shared" si="50"/>
        <v>0.21</v>
      </c>
      <c r="AC67" s="740">
        <v>0</v>
      </c>
      <c r="AD67" s="741">
        <f t="shared" si="50"/>
        <v>0.21</v>
      </c>
      <c r="AE67" s="740">
        <v>0</v>
      </c>
      <c r="AF67" s="741">
        <f t="shared" si="50"/>
        <v>0.21</v>
      </c>
      <c r="AG67" s="740">
        <v>0</v>
      </c>
      <c r="AH67" s="741">
        <f t="shared" si="50"/>
        <v>0.21</v>
      </c>
      <c r="AI67" s="18"/>
      <c r="AJ67" s="18"/>
      <c r="AL67" s="423">
        <f t="shared" si="0"/>
        <v>0</v>
      </c>
      <c r="AN67" s="423"/>
      <c r="AO67" s="423"/>
      <c r="AP67" s="423"/>
    </row>
    <row r="68" spans="2:42" outlineLevel="1" x14ac:dyDescent="0.3">
      <c r="B68" s="748" t="s">
        <v>459</v>
      </c>
      <c r="C68" s="740">
        <v>0</v>
      </c>
      <c r="D68" s="741">
        <f t="shared" si="42"/>
        <v>0.21</v>
      </c>
      <c r="E68" s="740">
        <f t="shared" si="43"/>
        <v>0</v>
      </c>
      <c r="F68" s="741">
        <f t="shared" si="44"/>
        <v>0.21</v>
      </c>
      <c r="G68" s="740">
        <v>0</v>
      </c>
      <c r="H68" s="741">
        <f t="shared" si="44"/>
        <v>0.21</v>
      </c>
      <c r="I68" s="740">
        <v>0</v>
      </c>
      <c r="J68" s="741">
        <f t="shared" si="44"/>
        <v>0.21</v>
      </c>
      <c r="K68" s="740">
        <v>0</v>
      </c>
      <c r="L68" s="741">
        <f t="shared" si="44"/>
        <v>0.21</v>
      </c>
      <c r="M68" s="629"/>
      <c r="N68" s="740"/>
      <c r="O68" s="741">
        <f t="shared" si="45"/>
        <v>0.21</v>
      </c>
      <c r="P68" s="740">
        <f t="shared" si="46"/>
        <v>0</v>
      </c>
      <c r="Q68" s="741">
        <f t="shared" si="47"/>
        <v>0.21</v>
      </c>
      <c r="R68" s="740">
        <v>0</v>
      </c>
      <c r="S68" s="741">
        <f t="shared" si="47"/>
        <v>0.21</v>
      </c>
      <c r="T68" s="740">
        <v>0</v>
      </c>
      <c r="U68" s="741">
        <f t="shared" si="47"/>
        <v>0.21</v>
      </c>
      <c r="V68" s="740">
        <v>0</v>
      </c>
      <c r="W68" s="741">
        <f t="shared" si="47"/>
        <v>0.21</v>
      </c>
      <c r="X68" s="647"/>
      <c r="Y68" s="740"/>
      <c r="Z68" s="741">
        <f t="shared" si="48"/>
        <v>0.21</v>
      </c>
      <c r="AA68" s="740">
        <f t="shared" si="49"/>
        <v>0</v>
      </c>
      <c r="AB68" s="741">
        <f t="shared" si="50"/>
        <v>0.21</v>
      </c>
      <c r="AC68" s="740">
        <v>0</v>
      </c>
      <c r="AD68" s="741">
        <f t="shared" si="50"/>
        <v>0.21</v>
      </c>
      <c r="AE68" s="740">
        <v>0</v>
      </c>
      <c r="AF68" s="741">
        <f t="shared" si="50"/>
        <v>0.21</v>
      </c>
      <c r="AG68" s="740">
        <v>0</v>
      </c>
      <c r="AH68" s="741">
        <f t="shared" si="50"/>
        <v>0.21</v>
      </c>
      <c r="AI68" s="18"/>
      <c r="AJ68" s="18"/>
      <c r="AL68" s="423">
        <f t="shared" si="0"/>
        <v>0</v>
      </c>
      <c r="AN68" s="423"/>
      <c r="AO68" s="423"/>
      <c r="AP68" s="423"/>
    </row>
    <row r="69" spans="2:42" outlineLevel="1" x14ac:dyDescent="0.3">
      <c r="B69" s="748" t="s">
        <v>460</v>
      </c>
      <c r="C69" s="740">
        <v>0</v>
      </c>
      <c r="D69" s="741">
        <f t="shared" si="42"/>
        <v>0.21</v>
      </c>
      <c r="E69" s="740">
        <f t="shared" si="43"/>
        <v>0</v>
      </c>
      <c r="F69" s="741">
        <f t="shared" si="44"/>
        <v>0.21</v>
      </c>
      <c r="G69" s="740">
        <v>0</v>
      </c>
      <c r="H69" s="741">
        <f t="shared" si="44"/>
        <v>0.21</v>
      </c>
      <c r="I69" s="740">
        <v>0</v>
      </c>
      <c r="J69" s="741">
        <f t="shared" si="44"/>
        <v>0.21</v>
      </c>
      <c r="K69" s="740">
        <v>0</v>
      </c>
      <c r="L69" s="741">
        <f t="shared" si="44"/>
        <v>0.21</v>
      </c>
      <c r="M69" s="629"/>
      <c r="N69" s="740"/>
      <c r="O69" s="741">
        <f t="shared" si="45"/>
        <v>0.21</v>
      </c>
      <c r="P69" s="740">
        <f t="shared" si="46"/>
        <v>0</v>
      </c>
      <c r="Q69" s="741">
        <f t="shared" si="47"/>
        <v>0.21</v>
      </c>
      <c r="R69" s="740">
        <v>0</v>
      </c>
      <c r="S69" s="741">
        <f t="shared" si="47"/>
        <v>0.21</v>
      </c>
      <c r="T69" s="740">
        <v>0</v>
      </c>
      <c r="U69" s="741">
        <f t="shared" si="47"/>
        <v>0.21</v>
      </c>
      <c r="V69" s="740">
        <v>0</v>
      </c>
      <c r="W69" s="741">
        <f t="shared" si="47"/>
        <v>0.21</v>
      </c>
      <c r="X69" s="647"/>
      <c r="Y69" s="740"/>
      <c r="Z69" s="741">
        <f t="shared" si="48"/>
        <v>0.21</v>
      </c>
      <c r="AA69" s="740">
        <f t="shared" si="49"/>
        <v>0</v>
      </c>
      <c r="AB69" s="741">
        <f t="shared" si="50"/>
        <v>0.21</v>
      </c>
      <c r="AC69" s="740">
        <v>0</v>
      </c>
      <c r="AD69" s="741">
        <f t="shared" si="50"/>
        <v>0.21</v>
      </c>
      <c r="AE69" s="740">
        <v>0</v>
      </c>
      <c r="AF69" s="741">
        <f t="shared" si="50"/>
        <v>0.21</v>
      </c>
      <c r="AG69" s="740">
        <v>0</v>
      </c>
      <c r="AH69" s="741">
        <f t="shared" si="50"/>
        <v>0.21</v>
      </c>
      <c r="AI69" s="18"/>
      <c r="AJ69" s="18"/>
      <c r="AL69" s="423">
        <f t="shared" si="0"/>
        <v>0</v>
      </c>
      <c r="AN69" s="423"/>
      <c r="AO69" s="423"/>
      <c r="AP69" s="423"/>
    </row>
    <row r="70" spans="2:42" outlineLevel="1" x14ac:dyDescent="0.3">
      <c r="B70" s="749" t="s">
        <v>461</v>
      </c>
      <c r="C70" s="740">
        <v>0</v>
      </c>
      <c r="D70" s="741">
        <f t="shared" si="42"/>
        <v>0.21</v>
      </c>
      <c r="E70" s="740">
        <f t="shared" si="43"/>
        <v>0</v>
      </c>
      <c r="F70" s="741">
        <f t="shared" si="44"/>
        <v>0.21</v>
      </c>
      <c r="G70" s="740">
        <v>0</v>
      </c>
      <c r="H70" s="741">
        <f t="shared" si="44"/>
        <v>0.21</v>
      </c>
      <c r="I70" s="740">
        <v>0</v>
      </c>
      <c r="J70" s="741">
        <f t="shared" si="44"/>
        <v>0.21</v>
      </c>
      <c r="K70" s="740">
        <v>0</v>
      </c>
      <c r="L70" s="741">
        <f t="shared" si="44"/>
        <v>0.21</v>
      </c>
      <c r="M70" s="629"/>
      <c r="N70" s="740"/>
      <c r="O70" s="741">
        <f t="shared" si="45"/>
        <v>0.21</v>
      </c>
      <c r="P70" s="740">
        <f t="shared" si="46"/>
        <v>0</v>
      </c>
      <c r="Q70" s="741">
        <f t="shared" si="47"/>
        <v>0.21</v>
      </c>
      <c r="R70" s="740">
        <v>0</v>
      </c>
      <c r="S70" s="741">
        <f t="shared" si="47"/>
        <v>0.21</v>
      </c>
      <c r="T70" s="740">
        <v>0</v>
      </c>
      <c r="U70" s="741">
        <f t="shared" si="47"/>
        <v>0.21</v>
      </c>
      <c r="V70" s="740">
        <v>0</v>
      </c>
      <c r="W70" s="741">
        <f t="shared" si="47"/>
        <v>0.21</v>
      </c>
      <c r="X70" s="647"/>
      <c r="Y70" s="740"/>
      <c r="Z70" s="741">
        <f t="shared" si="48"/>
        <v>0.21</v>
      </c>
      <c r="AA70" s="740">
        <f t="shared" si="49"/>
        <v>0</v>
      </c>
      <c r="AB70" s="741">
        <f t="shared" si="50"/>
        <v>0.21</v>
      </c>
      <c r="AC70" s="740">
        <v>0</v>
      </c>
      <c r="AD70" s="741">
        <f t="shared" si="50"/>
        <v>0.21</v>
      </c>
      <c r="AE70" s="740">
        <v>0</v>
      </c>
      <c r="AF70" s="741">
        <f t="shared" si="50"/>
        <v>0.21</v>
      </c>
      <c r="AG70" s="740">
        <v>0</v>
      </c>
      <c r="AH70" s="741">
        <f t="shared" si="50"/>
        <v>0.21</v>
      </c>
      <c r="AI70" s="18"/>
      <c r="AJ70" s="18"/>
      <c r="AL70" s="423">
        <f t="shared" si="0"/>
        <v>0</v>
      </c>
      <c r="AN70" s="423"/>
      <c r="AO70" s="423"/>
      <c r="AP70" s="423"/>
    </row>
    <row r="71" spans="2:42" outlineLevel="1" x14ac:dyDescent="0.3">
      <c r="B71" s="748" t="s">
        <v>462</v>
      </c>
      <c r="C71" s="740">
        <v>0</v>
      </c>
      <c r="D71" s="741">
        <f t="shared" si="42"/>
        <v>0.21</v>
      </c>
      <c r="E71" s="740">
        <f t="shared" si="43"/>
        <v>0</v>
      </c>
      <c r="F71" s="741">
        <f t="shared" si="44"/>
        <v>0.21</v>
      </c>
      <c r="G71" s="740">
        <v>0</v>
      </c>
      <c r="H71" s="741">
        <f t="shared" si="44"/>
        <v>0.21</v>
      </c>
      <c r="I71" s="740">
        <v>0</v>
      </c>
      <c r="J71" s="741">
        <f t="shared" si="44"/>
        <v>0.21</v>
      </c>
      <c r="K71" s="740">
        <v>0</v>
      </c>
      <c r="L71" s="741">
        <f t="shared" si="44"/>
        <v>0.21</v>
      </c>
      <c r="M71" s="629"/>
      <c r="N71" s="740"/>
      <c r="O71" s="741">
        <f t="shared" si="45"/>
        <v>0.21</v>
      </c>
      <c r="P71" s="740">
        <f t="shared" si="46"/>
        <v>0</v>
      </c>
      <c r="Q71" s="741">
        <f t="shared" si="47"/>
        <v>0.21</v>
      </c>
      <c r="R71" s="740">
        <v>0</v>
      </c>
      <c r="S71" s="741">
        <f t="shared" si="47"/>
        <v>0.21</v>
      </c>
      <c r="T71" s="740">
        <v>0</v>
      </c>
      <c r="U71" s="741">
        <f t="shared" si="47"/>
        <v>0.21</v>
      </c>
      <c r="V71" s="740">
        <v>0</v>
      </c>
      <c r="W71" s="741">
        <f t="shared" si="47"/>
        <v>0.21</v>
      </c>
      <c r="X71" s="647"/>
      <c r="Y71" s="740"/>
      <c r="Z71" s="741">
        <f t="shared" si="48"/>
        <v>0.21</v>
      </c>
      <c r="AA71" s="740">
        <f t="shared" si="49"/>
        <v>0</v>
      </c>
      <c r="AB71" s="741">
        <f t="shared" si="50"/>
        <v>0.21</v>
      </c>
      <c r="AC71" s="740">
        <v>0</v>
      </c>
      <c r="AD71" s="741">
        <f t="shared" si="50"/>
        <v>0.21</v>
      </c>
      <c r="AE71" s="740">
        <v>0</v>
      </c>
      <c r="AF71" s="741">
        <f t="shared" si="50"/>
        <v>0.21</v>
      </c>
      <c r="AG71" s="740">
        <v>0</v>
      </c>
      <c r="AH71" s="741">
        <f t="shared" si="50"/>
        <v>0.21</v>
      </c>
      <c r="AI71" s="18"/>
      <c r="AJ71" s="18"/>
      <c r="AL71" s="423">
        <f t="shared" si="0"/>
        <v>0</v>
      </c>
      <c r="AN71" s="423"/>
      <c r="AO71" s="423"/>
      <c r="AP71" s="423"/>
    </row>
    <row r="72" spans="2:42" outlineLevel="1" x14ac:dyDescent="0.3">
      <c r="B72" s="749" t="s">
        <v>463</v>
      </c>
      <c r="C72" s="740">
        <v>0</v>
      </c>
      <c r="D72" s="741">
        <f t="shared" si="42"/>
        <v>0.21</v>
      </c>
      <c r="E72" s="740">
        <f t="shared" si="43"/>
        <v>0</v>
      </c>
      <c r="F72" s="741">
        <f t="shared" si="44"/>
        <v>0.21</v>
      </c>
      <c r="G72" s="740">
        <v>0</v>
      </c>
      <c r="H72" s="741">
        <f t="shared" si="44"/>
        <v>0.21</v>
      </c>
      <c r="I72" s="740">
        <v>0</v>
      </c>
      <c r="J72" s="741">
        <f t="shared" si="44"/>
        <v>0.21</v>
      </c>
      <c r="K72" s="740">
        <v>0</v>
      </c>
      <c r="L72" s="741">
        <f t="shared" si="44"/>
        <v>0.21</v>
      </c>
      <c r="M72" s="629"/>
      <c r="N72" s="740"/>
      <c r="O72" s="741">
        <f t="shared" si="45"/>
        <v>0.21</v>
      </c>
      <c r="P72" s="740">
        <f t="shared" si="46"/>
        <v>0</v>
      </c>
      <c r="Q72" s="741">
        <f t="shared" si="47"/>
        <v>0.21</v>
      </c>
      <c r="R72" s="740">
        <v>0</v>
      </c>
      <c r="S72" s="741">
        <f t="shared" si="47"/>
        <v>0.21</v>
      </c>
      <c r="T72" s="740">
        <v>0</v>
      </c>
      <c r="U72" s="741">
        <f t="shared" si="47"/>
        <v>0.21</v>
      </c>
      <c r="V72" s="740">
        <v>0</v>
      </c>
      <c r="W72" s="741">
        <f t="shared" si="47"/>
        <v>0.21</v>
      </c>
      <c r="X72" s="647"/>
      <c r="Y72" s="740"/>
      <c r="Z72" s="741">
        <f t="shared" si="48"/>
        <v>0.21</v>
      </c>
      <c r="AA72" s="740">
        <f t="shared" si="49"/>
        <v>0</v>
      </c>
      <c r="AB72" s="741">
        <f t="shared" si="50"/>
        <v>0.21</v>
      </c>
      <c r="AC72" s="740">
        <v>0</v>
      </c>
      <c r="AD72" s="741">
        <f t="shared" si="50"/>
        <v>0.21</v>
      </c>
      <c r="AE72" s="740">
        <v>0</v>
      </c>
      <c r="AF72" s="741">
        <f t="shared" si="50"/>
        <v>0.21</v>
      </c>
      <c r="AG72" s="740">
        <v>0</v>
      </c>
      <c r="AH72" s="741">
        <f t="shared" si="50"/>
        <v>0.21</v>
      </c>
      <c r="AI72" s="18"/>
      <c r="AJ72" s="18"/>
      <c r="AL72" s="423">
        <f t="shared" si="0"/>
        <v>0</v>
      </c>
      <c r="AN72" s="423"/>
      <c r="AO72" s="423"/>
      <c r="AP72" s="423"/>
    </row>
    <row r="73" spans="2:42" outlineLevel="1" x14ac:dyDescent="0.3">
      <c r="B73" s="749" t="s">
        <v>464</v>
      </c>
      <c r="C73" s="740">
        <v>0</v>
      </c>
      <c r="D73" s="741">
        <f t="shared" si="42"/>
        <v>0.21</v>
      </c>
      <c r="E73" s="740">
        <f t="shared" si="43"/>
        <v>0</v>
      </c>
      <c r="F73" s="741">
        <f t="shared" si="44"/>
        <v>0.21</v>
      </c>
      <c r="G73" s="740">
        <v>0</v>
      </c>
      <c r="H73" s="741">
        <f t="shared" si="44"/>
        <v>0.21</v>
      </c>
      <c r="I73" s="740">
        <v>0</v>
      </c>
      <c r="J73" s="741">
        <f t="shared" si="44"/>
        <v>0.21</v>
      </c>
      <c r="K73" s="740">
        <v>0</v>
      </c>
      <c r="L73" s="741">
        <f t="shared" si="44"/>
        <v>0.21</v>
      </c>
      <c r="M73" s="629"/>
      <c r="N73" s="740"/>
      <c r="O73" s="741">
        <f t="shared" si="45"/>
        <v>0.21</v>
      </c>
      <c r="P73" s="740">
        <f t="shared" si="46"/>
        <v>0</v>
      </c>
      <c r="Q73" s="741">
        <f t="shared" si="47"/>
        <v>0.21</v>
      </c>
      <c r="R73" s="740">
        <v>0</v>
      </c>
      <c r="S73" s="741">
        <f t="shared" si="47"/>
        <v>0.21</v>
      </c>
      <c r="T73" s="740">
        <v>0</v>
      </c>
      <c r="U73" s="741">
        <f t="shared" si="47"/>
        <v>0.21</v>
      </c>
      <c r="V73" s="740">
        <v>0</v>
      </c>
      <c r="W73" s="741">
        <f t="shared" si="47"/>
        <v>0.21</v>
      </c>
      <c r="X73" s="647"/>
      <c r="Y73" s="740"/>
      <c r="Z73" s="741">
        <f t="shared" si="48"/>
        <v>0.21</v>
      </c>
      <c r="AA73" s="740">
        <f t="shared" si="49"/>
        <v>0</v>
      </c>
      <c r="AB73" s="741">
        <f t="shared" si="50"/>
        <v>0.21</v>
      </c>
      <c r="AC73" s="740">
        <v>0</v>
      </c>
      <c r="AD73" s="741">
        <f t="shared" si="50"/>
        <v>0.21</v>
      </c>
      <c r="AE73" s="740">
        <v>0</v>
      </c>
      <c r="AF73" s="741">
        <f t="shared" si="50"/>
        <v>0.21</v>
      </c>
      <c r="AG73" s="740">
        <v>0</v>
      </c>
      <c r="AH73" s="741">
        <f t="shared" si="50"/>
        <v>0.21</v>
      </c>
      <c r="AI73" s="18"/>
      <c r="AJ73" s="18"/>
      <c r="AL73" s="423">
        <f t="shared" si="0"/>
        <v>0</v>
      </c>
      <c r="AN73" s="423"/>
      <c r="AO73" s="423"/>
      <c r="AP73" s="423"/>
    </row>
    <row r="74" spans="2:42" outlineLevel="1" x14ac:dyDescent="0.3">
      <c r="B74" s="748" t="s">
        <v>465</v>
      </c>
      <c r="C74" s="740">
        <v>0</v>
      </c>
      <c r="D74" s="741">
        <f t="shared" si="42"/>
        <v>0.21</v>
      </c>
      <c r="E74" s="740">
        <f t="shared" si="43"/>
        <v>0</v>
      </c>
      <c r="F74" s="741">
        <f t="shared" si="44"/>
        <v>0.21</v>
      </c>
      <c r="G74" s="740">
        <v>0</v>
      </c>
      <c r="H74" s="741">
        <f t="shared" si="44"/>
        <v>0.21</v>
      </c>
      <c r="I74" s="740">
        <v>0</v>
      </c>
      <c r="J74" s="741">
        <f t="shared" si="44"/>
        <v>0.21</v>
      </c>
      <c r="K74" s="740">
        <v>0</v>
      </c>
      <c r="L74" s="741">
        <f t="shared" si="44"/>
        <v>0.21</v>
      </c>
      <c r="M74" s="629"/>
      <c r="N74" s="740"/>
      <c r="O74" s="741">
        <f t="shared" si="45"/>
        <v>0.21</v>
      </c>
      <c r="P74" s="740">
        <f t="shared" si="46"/>
        <v>0</v>
      </c>
      <c r="Q74" s="741">
        <f t="shared" si="47"/>
        <v>0.21</v>
      </c>
      <c r="R74" s="740">
        <v>0</v>
      </c>
      <c r="S74" s="741">
        <f t="shared" si="47"/>
        <v>0.21</v>
      </c>
      <c r="T74" s="740">
        <v>0</v>
      </c>
      <c r="U74" s="741">
        <f t="shared" si="47"/>
        <v>0.21</v>
      </c>
      <c r="V74" s="740">
        <v>0</v>
      </c>
      <c r="W74" s="741">
        <f t="shared" si="47"/>
        <v>0.21</v>
      </c>
      <c r="X74" s="647"/>
      <c r="Y74" s="740"/>
      <c r="Z74" s="741">
        <f t="shared" si="48"/>
        <v>0.21</v>
      </c>
      <c r="AA74" s="740">
        <f t="shared" si="49"/>
        <v>0</v>
      </c>
      <c r="AB74" s="741">
        <f t="shared" si="50"/>
        <v>0.21</v>
      </c>
      <c r="AC74" s="740">
        <v>0</v>
      </c>
      <c r="AD74" s="741">
        <f t="shared" si="50"/>
        <v>0.21</v>
      </c>
      <c r="AE74" s="740">
        <v>0</v>
      </c>
      <c r="AF74" s="741">
        <f t="shared" si="50"/>
        <v>0.21</v>
      </c>
      <c r="AG74" s="740">
        <v>0</v>
      </c>
      <c r="AH74" s="741">
        <f t="shared" si="50"/>
        <v>0.21</v>
      </c>
      <c r="AI74" s="18"/>
      <c r="AJ74" s="18"/>
      <c r="AL74" s="423">
        <f t="shared" si="0"/>
        <v>0</v>
      </c>
      <c r="AN74" s="423"/>
      <c r="AO74" s="423"/>
      <c r="AP74" s="423"/>
    </row>
    <row r="75" spans="2:42" outlineLevel="1" x14ac:dyDescent="0.3">
      <c r="B75" s="748" t="s">
        <v>466</v>
      </c>
      <c r="C75" s="740">
        <v>0</v>
      </c>
      <c r="D75" s="741">
        <f t="shared" si="42"/>
        <v>0.21</v>
      </c>
      <c r="E75" s="740">
        <f t="shared" si="43"/>
        <v>0</v>
      </c>
      <c r="F75" s="741">
        <f t="shared" si="44"/>
        <v>0.21</v>
      </c>
      <c r="G75" s="740">
        <v>0</v>
      </c>
      <c r="H75" s="741">
        <f t="shared" si="44"/>
        <v>0.21</v>
      </c>
      <c r="I75" s="740">
        <v>0</v>
      </c>
      <c r="J75" s="741">
        <f t="shared" si="44"/>
        <v>0.21</v>
      </c>
      <c r="K75" s="740">
        <v>0</v>
      </c>
      <c r="L75" s="741">
        <f t="shared" si="44"/>
        <v>0.21</v>
      </c>
      <c r="M75" s="629"/>
      <c r="N75" s="740"/>
      <c r="O75" s="741">
        <f t="shared" si="45"/>
        <v>0.21</v>
      </c>
      <c r="P75" s="740">
        <f t="shared" si="46"/>
        <v>0</v>
      </c>
      <c r="Q75" s="741">
        <f t="shared" si="47"/>
        <v>0.21</v>
      </c>
      <c r="R75" s="740">
        <v>0</v>
      </c>
      <c r="S75" s="741">
        <f t="shared" si="47"/>
        <v>0.21</v>
      </c>
      <c r="T75" s="740">
        <v>0</v>
      </c>
      <c r="U75" s="741">
        <f t="shared" si="47"/>
        <v>0.21</v>
      </c>
      <c r="V75" s="740">
        <v>0</v>
      </c>
      <c r="W75" s="741">
        <f t="shared" si="47"/>
        <v>0.21</v>
      </c>
      <c r="X75" s="647"/>
      <c r="Y75" s="740"/>
      <c r="Z75" s="741">
        <f t="shared" si="48"/>
        <v>0.21</v>
      </c>
      <c r="AA75" s="740">
        <f t="shared" si="49"/>
        <v>0</v>
      </c>
      <c r="AB75" s="741">
        <f t="shared" si="50"/>
        <v>0.21</v>
      </c>
      <c r="AC75" s="740">
        <v>0</v>
      </c>
      <c r="AD75" s="741">
        <f t="shared" si="50"/>
        <v>0.21</v>
      </c>
      <c r="AE75" s="740">
        <v>0</v>
      </c>
      <c r="AF75" s="741">
        <f t="shared" si="50"/>
        <v>0.21</v>
      </c>
      <c r="AG75" s="740">
        <v>0</v>
      </c>
      <c r="AH75" s="741">
        <f t="shared" si="50"/>
        <v>0.21</v>
      </c>
      <c r="AI75" s="18"/>
      <c r="AJ75" s="18"/>
      <c r="AL75" s="423">
        <f t="shared" si="0"/>
        <v>0</v>
      </c>
      <c r="AN75" s="423"/>
      <c r="AO75" s="423"/>
      <c r="AP75" s="423"/>
    </row>
    <row r="76" spans="2:42" outlineLevel="1" x14ac:dyDescent="0.3">
      <c r="B76" s="748" t="s">
        <v>467</v>
      </c>
      <c r="C76" s="740">
        <v>0</v>
      </c>
      <c r="D76" s="741">
        <f t="shared" si="42"/>
        <v>0.21</v>
      </c>
      <c r="E76" s="740">
        <f t="shared" si="43"/>
        <v>0</v>
      </c>
      <c r="F76" s="741">
        <f t="shared" si="44"/>
        <v>0.21</v>
      </c>
      <c r="G76" s="740">
        <v>0</v>
      </c>
      <c r="H76" s="741">
        <f t="shared" si="44"/>
        <v>0.21</v>
      </c>
      <c r="I76" s="740">
        <v>0</v>
      </c>
      <c r="J76" s="741">
        <f t="shared" si="44"/>
        <v>0.21</v>
      </c>
      <c r="K76" s="740">
        <v>0</v>
      </c>
      <c r="L76" s="741">
        <f t="shared" si="44"/>
        <v>0.21</v>
      </c>
      <c r="M76" s="629"/>
      <c r="N76" s="740"/>
      <c r="O76" s="741">
        <f t="shared" si="45"/>
        <v>0.21</v>
      </c>
      <c r="P76" s="740">
        <f t="shared" si="46"/>
        <v>0</v>
      </c>
      <c r="Q76" s="741">
        <f t="shared" si="47"/>
        <v>0.21</v>
      </c>
      <c r="R76" s="740">
        <v>0</v>
      </c>
      <c r="S76" s="741">
        <f t="shared" si="47"/>
        <v>0.21</v>
      </c>
      <c r="T76" s="740">
        <v>0</v>
      </c>
      <c r="U76" s="741">
        <f t="shared" si="47"/>
        <v>0.21</v>
      </c>
      <c r="V76" s="740">
        <v>0</v>
      </c>
      <c r="W76" s="741">
        <f t="shared" si="47"/>
        <v>0.21</v>
      </c>
      <c r="X76" s="647"/>
      <c r="Y76" s="740"/>
      <c r="Z76" s="741">
        <f t="shared" si="48"/>
        <v>0.21</v>
      </c>
      <c r="AA76" s="740">
        <f t="shared" si="49"/>
        <v>0</v>
      </c>
      <c r="AB76" s="741">
        <f t="shared" si="50"/>
        <v>0.21</v>
      </c>
      <c r="AC76" s="740">
        <v>0</v>
      </c>
      <c r="AD76" s="741">
        <f t="shared" si="50"/>
        <v>0.21</v>
      </c>
      <c r="AE76" s="740">
        <v>0</v>
      </c>
      <c r="AF76" s="741">
        <f t="shared" si="50"/>
        <v>0.21</v>
      </c>
      <c r="AG76" s="740">
        <v>0</v>
      </c>
      <c r="AH76" s="741">
        <f t="shared" si="50"/>
        <v>0.21</v>
      </c>
      <c r="AI76" s="18"/>
      <c r="AJ76" s="18"/>
      <c r="AL76" s="423">
        <f t="shared" si="0"/>
        <v>0</v>
      </c>
      <c r="AN76" s="423"/>
      <c r="AO76" s="423"/>
      <c r="AP76" s="423"/>
    </row>
    <row r="77" spans="2:42" outlineLevel="1" x14ac:dyDescent="0.3">
      <c r="B77" s="744" t="s">
        <v>468</v>
      </c>
      <c r="C77" s="740">
        <v>0</v>
      </c>
      <c r="D77" s="741">
        <f t="shared" si="42"/>
        <v>0.21</v>
      </c>
      <c r="E77" s="740">
        <f t="shared" si="43"/>
        <v>0</v>
      </c>
      <c r="F77" s="741">
        <f t="shared" si="44"/>
        <v>0.21</v>
      </c>
      <c r="G77" s="740">
        <v>0</v>
      </c>
      <c r="H77" s="741">
        <f t="shared" si="44"/>
        <v>0.21</v>
      </c>
      <c r="I77" s="740">
        <v>0</v>
      </c>
      <c r="J77" s="741">
        <f t="shared" si="44"/>
        <v>0.21</v>
      </c>
      <c r="K77" s="740">
        <v>0</v>
      </c>
      <c r="L77" s="741">
        <f t="shared" si="44"/>
        <v>0.21</v>
      </c>
      <c r="M77" s="629"/>
      <c r="N77" s="740"/>
      <c r="O77" s="741">
        <f t="shared" si="45"/>
        <v>0.21</v>
      </c>
      <c r="P77" s="740">
        <f t="shared" si="46"/>
        <v>0</v>
      </c>
      <c r="Q77" s="741">
        <f t="shared" si="47"/>
        <v>0.21</v>
      </c>
      <c r="R77" s="740">
        <v>0</v>
      </c>
      <c r="S77" s="741">
        <f t="shared" si="47"/>
        <v>0.21</v>
      </c>
      <c r="T77" s="740">
        <v>0</v>
      </c>
      <c r="U77" s="741">
        <f t="shared" si="47"/>
        <v>0.21</v>
      </c>
      <c r="V77" s="740">
        <v>0</v>
      </c>
      <c r="W77" s="741">
        <f t="shared" si="47"/>
        <v>0.21</v>
      </c>
      <c r="X77" s="647"/>
      <c r="Y77" s="740"/>
      <c r="Z77" s="741">
        <f t="shared" si="48"/>
        <v>0.21</v>
      </c>
      <c r="AA77" s="740">
        <f t="shared" si="49"/>
        <v>0</v>
      </c>
      <c r="AB77" s="741">
        <f t="shared" si="50"/>
        <v>0.21</v>
      </c>
      <c r="AC77" s="740">
        <v>0</v>
      </c>
      <c r="AD77" s="741">
        <f t="shared" si="50"/>
        <v>0.21</v>
      </c>
      <c r="AE77" s="740">
        <v>0</v>
      </c>
      <c r="AF77" s="741">
        <f t="shared" si="50"/>
        <v>0.21</v>
      </c>
      <c r="AG77" s="740">
        <v>0</v>
      </c>
      <c r="AH77" s="741">
        <f t="shared" si="50"/>
        <v>0.21</v>
      </c>
      <c r="AI77" s="18"/>
      <c r="AJ77" s="18"/>
      <c r="AL77" s="423">
        <f t="shared" si="0"/>
        <v>0</v>
      </c>
      <c r="AN77" s="423"/>
      <c r="AO77" s="423"/>
      <c r="AP77" s="423"/>
    </row>
    <row r="78" spans="2:42" outlineLevel="1" x14ac:dyDescent="0.3">
      <c r="B78" s="744" t="s">
        <v>469</v>
      </c>
      <c r="C78" s="740">
        <v>0</v>
      </c>
      <c r="D78" s="741">
        <f t="shared" si="42"/>
        <v>0.21</v>
      </c>
      <c r="E78" s="740">
        <f t="shared" si="43"/>
        <v>0</v>
      </c>
      <c r="F78" s="741">
        <f t="shared" si="44"/>
        <v>0.21</v>
      </c>
      <c r="G78" s="740">
        <v>0</v>
      </c>
      <c r="H78" s="741">
        <f t="shared" si="44"/>
        <v>0.21</v>
      </c>
      <c r="I78" s="740">
        <v>0</v>
      </c>
      <c r="J78" s="741">
        <f t="shared" si="44"/>
        <v>0.21</v>
      </c>
      <c r="K78" s="740">
        <v>0</v>
      </c>
      <c r="L78" s="741">
        <f t="shared" si="44"/>
        <v>0.21</v>
      </c>
      <c r="M78" s="629"/>
      <c r="N78" s="740"/>
      <c r="O78" s="741">
        <f t="shared" si="45"/>
        <v>0.21</v>
      </c>
      <c r="P78" s="740">
        <f t="shared" si="46"/>
        <v>0</v>
      </c>
      <c r="Q78" s="741">
        <f t="shared" si="47"/>
        <v>0.21</v>
      </c>
      <c r="R78" s="740">
        <v>0</v>
      </c>
      <c r="S78" s="741">
        <f t="shared" si="47"/>
        <v>0.21</v>
      </c>
      <c r="T78" s="740">
        <v>0</v>
      </c>
      <c r="U78" s="741">
        <f t="shared" si="47"/>
        <v>0.21</v>
      </c>
      <c r="V78" s="740">
        <v>0</v>
      </c>
      <c r="W78" s="741">
        <f t="shared" si="47"/>
        <v>0.21</v>
      </c>
      <c r="X78" s="647"/>
      <c r="Y78" s="740"/>
      <c r="Z78" s="741">
        <f t="shared" si="48"/>
        <v>0.21</v>
      </c>
      <c r="AA78" s="740">
        <f t="shared" si="49"/>
        <v>0</v>
      </c>
      <c r="AB78" s="741">
        <f t="shared" si="50"/>
        <v>0.21</v>
      </c>
      <c r="AC78" s="740">
        <v>0</v>
      </c>
      <c r="AD78" s="741">
        <f t="shared" si="50"/>
        <v>0.21</v>
      </c>
      <c r="AE78" s="740">
        <v>0</v>
      </c>
      <c r="AF78" s="741">
        <f t="shared" si="50"/>
        <v>0.21</v>
      </c>
      <c r="AG78" s="740">
        <v>0</v>
      </c>
      <c r="AH78" s="741">
        <f t="shared" si="50"/>
        <v>0.21</v>
      </c>
      <c r="AI78" s="18"/>
      <c r="AJ78" s="18"/>
      <c r="AL78" s="423">
        <f t="shared" si="0"/>
        <v>0</v>
      </c>
      <c r="AN78" s="423"/>
      <c r="AO78" s="423"/>
      <c r="AP78" s="423"/>
    </row>
    <row r="79" spans="2:42" outlineLevel="1" x14ac:dyDescent="0.3">
      <c r="B79" s="737" t="s">
        <v>431</v>
      </c>
      <c r="C79" s="740">
        <f>C63-SUM(C68:C78)</f>
        <v>0</v>
      </c>
      <c r="D79" s="741">
        <f t="shared" si="42"/>
        <v>0.21</v>
      </c>
      <c r="E79" s="740">
        <f>E63-SUM(E68:E78)</f>
        <v>0</v>
      </c>
      <c r="F79" s="741">
        <f t="shared" si="44"/>
        <v>0.21</v>
      </c>
      <c r="G79" s="740">
        <f>G63-SUM(G68:G78)</f>
        <v>0</v>
      </c>
      <c r="H79" s="741">
        <f t="shared" si="44"/>
        <v>0.21</v>
      </c>
      <c r="I79" s="740">
        <f>I63-SUM(I68:I78)</f>
        <v>0</v>
      </c>
      <c r="J79" s="741">
        <f t="shared" si="44"/>
        <v>0.21</v>
      </c>
      <c r="K79" s="740">
        <f>K63-SUM(K68:K78)</f>
        <v>0</v>
      </c>
      <c r="L79" s="741">
        <f t="shared" si="44"/>
        <v>0.21</v>
      </c>
      <c r="M79" s="629"/>
      <c r="N79" s="740">
        <f>N63-SUM(N68:N78)</f>
        <v>0</v>
      </c>
      <c r="O79" s="741">
        <f t="shared" si="45"/>
        <v>0.21</v>
      </c>
      <c r="P79" s="740">
        <f>P63-SUM(P68:P78)</f>
        <v>0</v>
      </c>
      <c r="Q79" s="741">
        <f t="shared" si="47"/>
        <v>0.21</v>
      </c>
      <c r="R79" s="740">
        <f>R63-SUM(R68:R78)</f>
        <v>0</v>
      </c>
      <c r="S79" s="741">
        <f t="shared" si="47"/>
        <v>0.21</v>
      </c>
      <c r="T79" s="740">
        <f>T63-SUM(T68:T78)</f>
        <v>0</v>
      </c>
      <c r="U79" s="741">
        <f t="shared" si="47"/>
        <v>0.21</v>
      </c>
      <c r="V79" s="740">
        <f>V63-SUM(V68:V78)</f>
        <v>0</v>
      </c>
      <c r="W79" s="741">
        <f t="shared" si="47"/>
        <v>0.21</v>
      </c>
      <c r="X79" s="647"/>
      <c r="Y79" s="740">
        <f>Y63-SUM(Y68:Y78)</f>
        <v>0</v>
      </c>
      <c r="Z79" s="741">
        <f t="shared" si="48"/>
        <v>0.21</v>
      </c>
      <c r="AA79" s="740">
        <f>AA63-SUM(AA68:AA78)</f>
        <v>0</v>
      </c>
      <c r="AB79" s="741">
        <f t="shared" si="50"/>
        <v>0.21</v>
      </c>
      <c r="AC79" s="740">
        <f>AC63-SUM(AC68:AC78)</f>
        <v>0</v>
      </c>
      <c r="AD79" s="741">
        <f t="shared" si="50"/>
        <v>0.21</v>
      </c>
      <c r="AE79" s="740">
        <f>AE63-SUM(AE68:AE78)</f>
        <v>0</v>
      </c>
      <c r="AF79" s="741">
        <f t="shared" si="50"/>
        <v>0.21</v>
      </c>
      <c r="AG79" s="740">
        <f>AG63-SUM(AG68:AG78)</f>
        <v>0</v>
      </c>
      <c r="AH79" s="741">
        <f t="shared" si="50"/>
        <v>0.21</v>
      </c>
      <c r="AI79" s="18"/>
      <c r="AJ79" s="18"/>
      <c r="AL79" s="423">
        <f t="shared" si="0"/>
        <v>0</v>
      </c>
      <c r="AN79" s="423"/>
      <c r="AO79" s="423"/>
      <c r="AP79" s="423"/>
    </row>
    <row r="80" spans="2:42"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N80" s="423"/>
      <c r="AO80" s="423"/>
      <c r="AP80" s="423"/>
    </row>
    <row r="81" spans="2:42" ht="15" thickBot="1" x14ac:dyDescent="0.35">
      <c r="B81" s="307" t="s">
        <v>471</v>
      </c>
      <c r="C81" s="326" t="e">
        <f ca="1">C61+C63+C16</f>
        <v>#REF!</v>
      </c>
      <c r="D81" s="325"/>
      <c r="E81" s="326" t="e">
        <f ca="1">E61+E63+E16</f>
        <v>#REF!</v>
      </c>
      <c r="F81" s="325"/>
      <c r="G81" s="326">
        <f>G61+G63+G16</f>
        <v>0</v>
      </c>
      <c r="H81" s="325"/>
      <c r="I81" s="326">
        <f>I61+I63+I16</f>
        <v>0</v>
      </c>
      <c r="J81" s="324"/>
      <c r="K81" s="614">
        <f>SUM(K61:K63)+K16+K20</f>
        <v>0</v>
      </c>
      <c r="L81" s="18"/>
      <c r="M81" s="18"/>
      <c r="N81" s="326" t="e">
        <f ca="1">N61+N63+N16</f>
        <v>#REF!</v>
      </c>
      <c r="O81" s="325"/>
      <c r="P81" s="326" t="e">
        <f ca="1">P61+P63+P16</f>
        <v>#REF!</v>
      </c>
      <c r="Q81" s="325"/>
      <c r="R81" s="326">
        <f>R61+R63+R16</f>
        <v>0</v>
      </c>
      <c r="S81" s="325"/>
      <c r="T81" s="326">
        <f>T61+T63+T16</f>
        <v>0</v>
      </c>
      <c r="U81" s="324"/>
      <c r="V81" s="614">
        <f>SUM(V61:V63)+V16+V20</f>
        <v>0</v>
      </c>
      <c r="W81" s="18"/>
      <c r="X81" s="18"/>
      <c r="Y81" s="326" t="e">
        <f ca="1">Y61+Y63+Y16</f>
        <v>#REF!</v>
      </c>
      <c r="Z81" s="325"/>
      <c r="AA81" s="326" t="e">
        <f ca="1">AA61+AA63+AA16</f>
        <v>#REF!</v>
      </c>
      <c r="AB81" s="325"/>
      <c r="AC81" s="326">
        <f>AC61+AC63+AC16</f>
        <v>0</v>
      </c>
      <c r="AD81" s="325"/>
      <c r="AE81" s="326">
        <f>AE61+AE63+AE16</f>
        <v>0</v>
      </c>
      <c r="AF81" s="324"/>
      <c r="AG81" s="614">
        <f>SUM(AG61:AG63)+AG16+AG20</f>
        <v>0</v>
      </c>
      <c r="AH81" s="18"/>
      <c r="AI81" s="18"/>
      <c r="AJ81" s="18" t="s">
        <v>470</v>
      </c>
      <c r="AL81" s="819">
        <f t="shared" si="0"/>
        <v>0</v>
      </c>
      <c r="AN81" s="423"/>
    </row>
    <row r="82" spans="2:42" x14ac:dyDescent="0.3">
      <c r="B82" s="54"/>
      <c r="C82" s="978"/>
      <c r="D82" s="978"/>
      <c r="E82" s="978"/>
      <c r="F82" s="978"/>
      <c r="G82" s="978"/>
      <c r="H82" s="978"/>
      <c r="I82" s="978"/>
      <c r="J82" s="978"/>
      <c r="K82" s="51"/>
      <c r="L82" s="18"/>
      <c r="M82" s="18"/>
      <c r="N82" s="978"/>
      <c r="O82" s="978"/>
      <c r="P82" s="978"/>
      <c r="Q82" s="978"/>
      <c r="R82" s="978"/>
      <c r="S82" s="978"/>
      <c r="T82" s="978"/>
      <c r="U82" s="978"/>
      <c r="V82" s="51"/>
      <c r="W82" s="18"/>
      <c r="X82" s="18"/>
      <c r="Y82" s="978"/>
      <c r="Z82" s="978"/>
      <c r="AA82" s="978"/>
      <c r="AB82" s="978"/>
      <c r="AC82" s="978"/>
      <c r="AD82" s="978"/>
      <c r="AE82" s="978"/>
      <c r="AF82" s="978"/>
      <c r="AG82" s="51"/>
      <c r="AH82" s="18"/>
      <c r="AI82" s="18"/>
      <c r="AJ82" s="18"/>
      <c r="AL82" s="423"/>
      <c r="AN82" s="423"/>
    </row>
    <row r="83" spans="2:42" x14ac:dyDescent="0.3">
      <c r="B83" s="977" t="s">
        <v>472</v>
      </c>
      <c r="C83" s="978"/>
      <c r="D83" s="978"/>
      <c r="E83" s="978"/>
      <c r="F83" s="978"/>
      <c r="G83" s="978"/>
      <c r="H83" s="978"/>
      <c r="I83" s="978">
        <f>I48*F10+I55*J55+I49*J49+I51*J51+I63+I63*J64+I61+I16</f>
        <v>0</v>
      </c>
      <c r="J83" s="978"/>
      <c r="K83" s="978">
        <f>K48*H10+K55*L55+K49*L49+K51*L51+K63+K63*L64+K61+K16</f>
        <v>0</v>
      </c>
      <c r="L83" s="18"/>
      <c r="M83" s="18"/>
      <c r="N83" s="978"/>
      <c r="O83" s="978"/>
      <c r="P83" s="978"/>
      <c r="Q83" s="978"/>
      <c r="R83" s="978"/>
      <c r="S83" s="978"/>
      <c r="T83" s="978">
        <f>T48*Q10+T55*U55+T49*U49+T51*U51+T63+T63*U64+T61+T16</f>
        <v>0</v>
      </c>
      <c r="U83" s="978"/>
      <c r="V83" s="978">
        <f>V48*S10+V55*W55+V49*W49+V51*W51+V63+V63*W64+V61+V16</f>
        <v>0</v>
      </c>
      <c r="W83" s="18"/>
      <c r="X83" s="18"/>
      <c r="Y83" s="978"/>
      <c r="Z83" s="978"/>
      <c r="AA83" s="978"/>
      <c r="AB83" s="978"/>
      <c r="AC83" s="978"/>
      <c r="AD83" s="978"/>
      <c r="AE83" s="978">
        <f>AE48*AB10+AE55*AF55+AE49*AF49+AE51*AF51+AE63+AE63*AF64+AE61+AE16</f>
        <v>0</v>
      </c>
      <c r="AF83" s="978"/>
      <c r="AG83" s="978">
        <f>AG48*AD10+AG55*AH55+AG49*AH49+AG51*AH51+AG63+AG63*AH64+AG61+AG16</f>
        <v>0</v>
      </c>
      <c r="AH83" s="18"/>
      <c r="AI83" s="18"/>
      <c r="AJ83" s="18"/>
      <c r="AL83" s="819"/>
      <c r="AN83" s="51"/>
      <c r="AO83" s="423"/>
      <c r="AP83" s="423"/>
    </row>
    <row r="84" spans="2:42" x14ac:dyDescent="0.3">
      <c r="AI84" s="18"/>
      <c r="AN84" s="51"/>
      <c r="AO84" s="423"/>
      <c r="AP84" s="423"/>
    </row>
    <row r="85" spans="2:42" x14ac:dyDescent="0.3">
      <c r="B85" s="307" t="s">
        <v>61</v>
      </c>
      <c r="C85" s="102" t="s">
        <v>406</v>
      </c>
      <c r="D85" s="103"/>
      <c r="E85" s="102" t="s">
        <v>408</v>
      </c>
      <c r="F85" s="103"/>
      <c r="G85" s="104" t="s">
        <v>409</v>
      </c>
      <c r="H85" s="103"/>
      <c r="I85" s="104" t="s">
        <v>410</v>
      </c>
      <c r="J85" s="103"/>
      <c r="K85" s="104" t="s">
        <v>411</v>
      </c>
      <c r="L85" s="105"/>
      <c r="M85" s="480"/>
      <c r="N85" s="102" t="s">
        <v>406</v>
      </c>
      <c r="O85" s="103"/>
      <c r="P85" s="102" t="s">
        <v>408</v>
      </c>
      <c r="Q85" s="103"/>
      <c r="R85" s="104" t="s">
        <v>409</v>
      </c>
      <c r="S85" s="103"/>
      <c r="T85" s="104" t="s">
        <v>410</v>
      </c>
      <c r="U85" s="103"/>
      <c r="V85" s="104" t="s">
        <v>411</v>
      </c>
      <c r="W85" s="105"/>
      <c r="X85" s="480"/>
      <c r="Y85" s="102" t="s">
        <v>406</v>
      </c>
      <c r="Z85" s="103"/>
      <c r="AA85" s="102" t="s">
        <v>408</v>
      </c>
      <c r="AB85" s="103"/>
      <c r="AC85" s="104" t="s">
        <v>409</v>
      </c>
      <c r="AD85" s="103"/>
      <c r="AE85" s="104" t="s">
        <v>410</v>
      </c>
      <c r="AF85" s="103"/>
      <c r="AG85" s="104" t="s">
        <v>411</v>
      </c>
      <c r="AH85" s="105"/>
      <c r="AJ85" s="18"/>
      <c r="AN85" s="423"/>
    </row>
    <row r="86" spans="2:42" x14ac:dyDescent="0.3">
      <c r="B86" s="22" t="s">
        <v>475</v>
      </c>
      <c r="C86" s="439">
        <f>IFERROR(VLOOKUP(B3,'Overzicht BTA'!B7:C10,2),0)</f>
        <v>0</v>
      </c>
      <c r="D86" s="323" t="s">
        <v>476</v>
      </c>
      <c r="E86" s="439">
        <f>IFERROR(VLOOKUP(B3,'Overzicht BTA'!B51:C54,2),0)</f>
        <v>0</v>
      </c>
      <c r="F86" s="323" t="s">
        <v>476</v>
      </c>
      <c r="G86" s="439">
        <f>C86</f>
        <v>0</v>
      </c>
      <c r="H86" s="323" t="s">
        <v>476</v>
      </c>
      <c r="I86" s="439">
        <f>C86</f>
        <v>0</v>
      </c>
      <c r="J86" s="323" t="s">
        <v>476</v>
      </c>
      <c r="K86" s="439">
        <f>C86</f>
        <v>0</v>
      </c>
      <c r="L86" s="323" t="s">
        <v>476</v>
      </c>
      <c r="M86" s="321"/>
      <c r="N86" s="439">
        <f>IFERROR(VLOOKUP($B$3,'Overzicht BTA'!H7:I10,2),0)</f>
        <v>0</v>
      </c>
      <c r="O86" s="323" t="s">
        <v>476</v>
      </c>
      <c r="P86" s="439">
        <f>IFERROR(VLOOKUP($B$3,'Overzicht BTA'!H51:I54,2),0)</f>
        <v>0</v>
      </c>
      <c r="Q86" s="323" t="s">
        <v>476</v>
      </c>
      <c r="R86" s="439">
        <f>N86</f>
        <v>0</v>
      </c>
      <c r="S86" s="323" t="s">
        <v>476</v>
      </c>
      <c r="T86" s="439">
        <f>N86</f>
        <v>0</v>
      </c>
      <c r="U86" s="323" t="s">
        <v>476</v>
      </c>
      <c r="V86" s="439">
        <f>N86</f>
        <v>0</v>
      </c>
      <c r="W86" s="323" t="s">
        <v>476</v>
      </c>
      <c r="X86" s="649"/>
      <c r="Y86" s="439">
        <f>IFERROR(VLOOKUP($B$3,'Overzicht BTA'!N7:O10,2),0)</f>
        <v>0</v>
      </c>
      <c r="Z86" s="323" t="s">
        <v>476</v>
      </c>
      <c r="AA86" s="439">
        <f>IFERROR(VLOOKUP($B$3,'Overzicht BTA'!N51:O54,2),0)</f>
        <v>0</v>
      </c>
      <c r="AB86" s="323" t="s">
        <v>476</v>
      </c>
      <c r="AC86" s="439">
        <f>Y86</f>
        <v>0</v>
      </c>
      <c r="AD86" s="323" t="s">
        <v>476</v>
      </c>
      <c r="AE86" s="439">
        <f>Y86</f>
        <v>0</v>
      </c>
      <c r="AF86" s="323" t="s">
        <v>476</v>
      </c>
      <c r="AG86" s="439">
        <f>Y86</f>
        <v>0</v>
      </c>
      <c r="AH86" s="323" t="s">
        <v>476</v>
      </c>
      <c r="AJ86" t="s">
        <v>474</v>
      </c>
      <c r="AN86" s="423"/>
    </row>
    <row r="87" spans="2:42" x14ac:dyDescent="0.3">
      <c r="B87" s="916" t="s">
        <v>477</v>
      </c>
      <c r="C87" s="439">
        <f>IFERROR(VLOOKUP(B4,'Overzicht BTA'!B8:C11,2),0)</f>
        <v>0</v>
      </c>
      <c r="D87" s="323" t="s">
        <v>476</v>
      </c>
      <c r="E87" s="439">
        <f>IFERROR(VLOOKUP(B4,'Overzicht BTA'!B52:C55,2),0)</f>
        <v>0</v>
      </c>
      <c r="F87" s="323" t="s">
        <v>476</v>
      </c>
      <c r="G87" s="439">
        <f>C87</f>
        <v>0</v>
      </c>
      <c r="H87" s="323" t="s">
        <v>476</v>
      </c>
      <c r="I87" s="439">
        <f>C87</f>
        <v>0</v>
      </c>
      <c r="J87" s="323" t="s">
        <v>476</v>
      </c>
      <c r="K87" s="439">
        <f>C87</f>
        <v>0</v>
      </c>
      <c r="L87" s="323" t="s">
        <v>476</v>
      </c>
      <c r="M87" s="321"/>
      <c r="N87" s="439">
        <f>IFERROR(VLOOKUP($B$3,'Overzicht BTA'!H8:I11,2),0)</f>
        <v>0</v>
      </c>
      <c r="O87" s="323" t="s">
        <v>476</v>
      </c>
      <c r="P87" s="439">
        <f>IFERROR(VLOOKUP($B$3,'Overzicht BTA'!H52:I55,2),0)</f>
        <v>0</v>
      </c>
      <c r="Q87" s="323" t="s">
        <v>476</v>
      </c>
      <c r="R87" s="439">
        <f>N87</f>
        <v>0</v>
      </c>
      <c r="S87" s="323" t="s">
        <v>476</v>
      </c>
      <c r="T87" s="439">
        <f>N87</f>
        <v>0</v>
      </c>
      <c r="U87" s="323" t="s">
        <v>476</v>
      </c>
      <c r="V87" s="439">
        <f>N87</f>
        <v>0</v>
      </c>
      <c r="W87" s="323" t="s">
        <v>476</v>
      </c>
      <c r="X87" s="649"/>
      <c r="Y87" s="439">
        <f>IFERROR(VLOOKUP($B$3,'Overzicht BTA'!N8:O11,2),0)</f>
        <v>0</v>
      </c>
      <c r="Z87" s="323" t="s">
        <v>476</v>
      </c>
      <c r="AA87" s="439">
        <v>0</v>
      </c>
      <c r="AB87" s="323"/>
      <c r="AC87" s="439">
        <v>0</v>
      </c>
      <c r="AD87" s="323"/>
      <c r="AE87" s="439">
        <v>0</v>
      </c>
      <c r="AF87" s="323"/>
      <c r="AG87" s="439">
        <v>0</v>
      </c>
      <c r="AH87" s="323"/>
      <c r="AN87" s="423"/>
      <c r="AO87" s="423"/>
      <c r="AP87" s="423"/>
    </row>
    <row r="88" spans="2:42" x14ac:dyDescent="0.3">
      <c r="B88" s="983" t="s">
        <v>501</v>
      </c>
      <c r="C88" s="439">
        <f>IFERROR(VLOOKUP(B5,'Overzicht BTA'!B9:C12,2),0)</f>
        <v>0</v>
      </c>
      <c r="D88" s="323" t="s">
        <v>476</v>
      </c>
      <c r="E88" s="439">
        <f>IFERROR(VLOOKUP(B5,'Overzicht BTA'!B53:C56,2),0)</f>
        <v>0</v>
      </c>
      <c r="F88" s="323" t="s">
        <v>476</v>
      </c>
      <c r="G88" s="439">
        <f>C88</f>
        <v>0</v>
      </c>
      <c r="H88" s="323" t="s">
        <v>476</v>
      </c>
      <c r="I88" s="439">
        <f>C88</f>
        <v>0</v>
      </c>
      <c r="J88" s="323" t="s">
        <v>476</v>
      </c>
      <c r="K88" s="439">
        <f>C88</f>
        <v>0</v>
      </c>
      <c r="L88" s="323" t="s">
        <v>476</v>
      </c>
      <c r="M88" s="321"/>
      <c r="N88" s="439">
        <f>IFERROR(VLOOKUP($B$3,'Overzicht BTA'!H9:I12,2),0)</f>
        <v>0</v>
      </c>
      <c r="O88" s="323" t="s">
        <v>476</v>
      </c>
      <c r="P88" s="439">
        <f>IFERROR(VLOOKUP($B$3,'Overzicht BTA'!H53:I56,2),0)</f>
        <v>0</v>
      </c>
      <c r="Q88" s="323" t="s">
        <v>476</v>
      </c>
      <c r="R88" s="439">
        <f>N88</f>
        <v>0</v>
      </c>
      <c r="S88" s="323" t="s">
        <v>476</v>
      </c>
      <c r="T88" s="439">
        <f>N88</f>
        <v>0</v>
      </c>
      <c r="U88" s="323" t="s">
        <v>476</v>
      </c>
      <c r="V88" s="439">
        <f>N88</f>
        <v>0</v>
      </c>
      <c r="W88" s="323" t="s">
        <v>476</v>
      </c>
      <c r="X88" s="649"/>
      <c r="Y88" s="439">
        <f>IFERROR(VLOOKUP($B$3,'Overzicht BTA'!N9:O12,2),0)</f>
        <v>0</v>
      </c>
      <c r="Z88" s="323" t="s">
        <v>476</v>
      </c>
      <c r="AA88" s="439"/>
      <c r="AB88" s="323"/>
      <c r="AC88" s="439"/>
      <c r="AD88" s="323"/>
      <c r="AE88" s="439"/>
      <c r="AF88" s="323"/>
      <c r="AG88" s="439"/>
      <c r="AH88" s="323"/>
      <c r="AN88" s="423"/>
      <c r="AO88" s="423"/>
      <c r="AP88" s="423"/>
    </row>
    <row r="89" spans="2:42" x14ac:dyDescent="0.3">
      <c r="B89" s="917" t="s">
        <v>130</v>
      </c>
      <c r="C89" s="439">
        <f>IFERROR(VLOOKUP(B6,'Overzicht BTA'!B10:C13,2),0)</f>
        <v>0</v>
      </c>
      <c r="D89" s="323" t="s">
        <v>476</v>
      </c>
      <c r="E89" s="439">
        <f>IFERROR(VLOOKUP(B6,'Overzicht BTA'!B54:C57,2),0)</f>
        <v>0</v>
      </c>
      <c r="F89" s="323" t="s">
        <v>476</v>
      </c>
      <c r="G89" s="439">
        <f>C89</f>
        <v>0</v>
      </c>
      <c r="H89" s="323" t="s">
        <v>476</v>
      </c>
      <c r="I89" s="439">
        <f>C89</f>
        <v>0</v>
      </c>
      <c r="J89" s="323" t="s">
        <v>476</v>
      </c>
      <c r="K89" s="439">
        <f>C89</f>
        <v>0</v>
      </c>
      <c r="L89" s="323" t="s">
        <v>476</v>
      </c>
      <c r="M89" s="321"/>
      <c r="N89" s="439">
        <f>IFERROR(VLOOKUP($B$3,'Overzicht BTA'!H10:I13,2),0)</f>
        <v>0</v>
      </c>
      <c r="O89" s="323" t="s">
        <v>476</v>
      </c>
      <c r="P89" s="439">
        <f>IFERROR(VLOOKUP($B$3,'Overzicht BTA'!H54:I57,2),0)</f>
        <v>0</v>
      </c>
      <c r="Q89" s="323" t="s">
        <v>476</v>
      </c>
      <c r="R89" s="439">
        <f>N89</f>
        <v>0</v>
      </c>
      <c r="S89" s="323" t="s">
        <v>476</v>
      </c>
      <c r="T89" s="439">
        <f>N89</f>
        <v>0</v>
      </c>
      <c r="U89" s="323" t="s">
        <v>476</v>
      </c>
      <c r="V89" s="439">
        <f>N89</f>
        <v>0</v>
      </c>
      <c r="W89" s="323" t="s">
        <v>476</v>
      </c>
      <c r="X89" s="649"/>
      <c r="Y89" s="439">
        <f>IFERROR(VLOOKUP($B$3,'Overzicht BTA'!N10:O13,2),0)</f>
        <v>0</v>
      </c>
      <c r="Z89" s="323" t="s">
        <v>476</v>
      </c>
      <c r="AA89" s="439">
        <v>0</v>
      </c>
      <c r="AB89" s="323"/>
      <c r="AC89" s="439">
        <v>0</v>
      </c>
      <c r="AD89" s="323"/>
      <c r="AE89" s="439">
        <v>0</v>
      </c>
      <c r="AF89" s="323"/>
      <c r="AG89" s="439">
        <v>0</v>
      </c>
      <c r="AH89" s="323"/>
      <c r="AN89" s="423"/>
      <c r="AO89" s="423"/>
      <c r="AP89" s="423"/>
    </row>
    <row r="90" spans="2:42" x14ac:dyDescent="0.3">
      <c r="B90" s="22" t="s">
        <v>479</v>
      </c>
      <c r="C90" s="439">
        <v>0</v>
      </c>
      <c r="D90" s="323" t="s">
        <v>476</v>
      </c>
      <c r="E90" s="439">
        <f>C90</f>
        <v>0</v>
      </c>
      <c r="F90" s="323" t="s">
        <v>476</v>
      </c>
      <c r="G90" s="439">
        <f>E90</f>
        <v>0</v>
      </c>
      <c r="H90" s="323" t="s">
        <v>476</v>
      </c>
      <c r="I90" s="439">
        <f>G90</f>
        <v>0</v>
      </c>
      <c r="J90" s="323" t="s">
        <v>476</v>
      </c>
      <c r="K90" s="439">
        <f>I90</f>
        <v>0</v>
      </c>
      <c r="L90" s="323" t="s">
        <v>476</v>
      </c>
      <c r="M90" s="321"/>
      <c r="N90" s="439">
        <v>0</v>
      </c>
      <c r="O90" s="323" t="s">
        <v>476</v>
      </c>
      <c r="P90" s="439">
        <f>N90</f>
        <v>0</v>
      </c>
      <c r="Q90" s="323" t="s">
        <v>476</v>
      </c>
      <c r="R90" s="439">
        <f>P90</f>
        <v>0</v>
      </c>
      <c r="S90" s="323" t="s">
        <v>476</v>
      </c>
      <c r="T90" s="439">
        <f>R90</f>
        <v>0</v>
      </c>
      <c r="U90" s="323" t="s">
        <v>476</v>
      </c>
      <c r="V90" s="439">
        <f>T90</f>
        <v>0</v>
      </c>
      <c r="W90" s="323" t="s">
        <v>476</v>
      </c>
      <c r="X90" s="649"/>
      <c r="Y90" s="439">
        <v>0</v>
      </c>
      <c r="Z90" s="323" t="s">
        <v>476</v>
      </c>
      <c r="AA90" s="439">
        <f>Y90</f>
        <v>0</v>
      </c>
      <c r="AB90" s="323" t="s">
        <v>476</v>
      </c>
      <c r="AC90" s="439">
        <f>AA90</f>
        <v>0</v>
      </c>
      <c r="AD90" s="323" t="s">
        <v>476</v>
      </c>
      <c r="AE90" s="439">
        <f>AC90</f>
        <v>0</v>
      </c>
      <c r="AF90" s="323" t="s">
        <v>476</v>
      </c>
      <c r="AG90" s="439">
        <f>AE90</f>
        <v>0</v>
      </c>
      <c r="AH90" s="323" t="s">
        <v>476</v>
      </c>
      <c r="AN90" s="423"/>
      <c r="AO90" s="423"/>
      <c r="AP90" s="423"/>
    </row>
    <row r="91" spans="2:42"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N91" s="423"/>
      <c r="AO91" s="423"/>
      <c r="AP91" s="423"/>
    </row>
    <row r="92" spans="2:42" x14ac:dyDescent="0.3">
      <c r="B92" s="22" t="s">
        <v>88</v>
      </c>
      <c r="C92" s="1086">
        <f>'Overzicht BTA'!$C$36</f>
        <v>2026</v>
      </c>
      <c r="D92" s="321"/>
      <c r="E92" s="1086">
        <f>'Overzicht BTA'!$C$37</f>
        <v>2026</v>
      </c>
      <c r="F92" s="321"/>
      <c r="G92" s="1086">
        <v>2025</v>
      </c>
      <c r="H92" s="321"/>
      <c r="I92" s="1086">
        <v>2025</v>
      </c>
      <c r="J92" s="321"/>
      <c r="K92" s="1086">
        <v>2025</v>
      </c>
      <c r="L92" s="321"/>
      <c r="M92" s="321"/>
      <c r="N92" s="1086">
        <f>'Overzicht BTA'!$C$36</f>
        <v>2026</v>
      </c>
      <c r="O92" s="321"/>
      <c r="P92" s="1086">
        <f>'Overzicht BTA'!$C$37</f>
        <v>2026</v>
      </c>
      <c r="Q92" s="321"/>
      <c r="R92" s="1086">
        <v>2025</v>
      </c>
      <c r="S92" s="321"/>
      <c r="T92" s="1086">
        <v>2025</v>
      </c>
      <c r="U92" s="321"/>
      <c r="V92" s="1086">
        <v>2025</v>
      </c>
      <c r="W92" s="321"/>
      <c r="X92" s="321"/>
      <c r="Y92" s="1086">
        <f>'Overzicht BTA'!$C$36</f>
        <v>2026</v>
      </c>
      <c r="Z92" s="321"/>
      <c r="AA92" s="1086">
        <f>'Overzicht BTA'!$C$37</f>
        <v>2026</v>
      </c>
      <c r="AB92" s="321"/>
      <c r="AC92" s="1086">
        <v>2025</v>
      </c>
      <c r="AD92" s="321"/>
      <c r="AE92" s="1086">
        <v>2025</v>
      </c>
      <c r="AF92" s="321"/>
      <c r="AG92" s="1086">
        <v>2025</v>
      </c>
      <c r="AH92" s="321"/>
      <c r="AJ92" t="s">
        <v>480</v>
      </c>
      <c r="AN92" s="423"/>
    </row>
    <row r="93" spans="2:42"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row>
    <row r="94" spans="2:42"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423"/>
    </row>
    <row r="95" spans="2:42" x14ac:dyDescent="0.3">
      <c r="AN95" s="677"/>
      <c r="AO95" s="677"/>
      <c r="AP95" s="677"/>
    </row>
    <row r="96" spans="2:42"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473</v>
      </c>
      <c r="Q96" s="103"/>
      <c r="R96" s="104" t="s">
        <v>409</v>
      </c>
      <c r="S96" s="103"/>
      <c r="T96" s="104" t="s">
        <v>410</v>
      </c>
      <c r="U96" s="103"/>
      <c r="V96" s="104" t="s">
        <v>411</v>
      </c>
      <c r="W96" s="105"/>
      <c r="X96" s="480"/>
      <c r="Y96" s="102" t="s">
        <v>473</v>
      </c>
      <c r="Z96" s="103"/>
      <c r="AA96" s="102" t="s">
        <v>473</v>
      </c>
      <c r="AB96" s="103"/>
      <c r="AC96" s="104" t="s">
        <v>409</v>
      </c>
      <c r="AD96" s="103"/>
      <c r="AE96" s="104" t="s">
        <v>410</v>
      </c>
      <c r="AF96" s="103"/>
      <c r="AG96" s="104" t="s">
        <v>411</v>
      </c>
      <c r="AH96" s="105"/>
      <c r="AN96" s="423"/>
    </row>
    <row r="97" spans="2:42"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423"/>
    </row>
    <row r="98" spans="2:42"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678"/>
      <c r="AO98" s="678"/>
      <c r="AP98" s="678"/>
    </row>
    <row r="99" spans="2:42"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678"/>
      <c r="AO99" s="678"/>
      <c r="AP99" s="678"/>
    </row>
    <row r="100" spans="2:42"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678"/>
      <c r="AO100" s="678"/>
      <c r="AP100" s="678"/>
    </row>
    <row r="101" spans="2:42" x14ac:dyDescent="0.3">
      <c r="B101" s="310" t="s">
        <v>359</v>
      </c>
      <c r="C101" s="309">
        <f>C121*10/6*'Overzicht BTA'!$D$36</f>
        <v>0</v>
      </c>
      <c r="D101" s="315" t="s">
        <v>278</v>
      </c>
      <c r="E101" s="309">
        <f>C121*10/6*'Overzicht BTA'!$D$37</f>
        <v>0</v>
      </c>
      <c r="F101" s="315" t="s">
        <v>278</v>
      </c>
      <c r="G101" s="309">
        <f>E101</f>
        <v>0</v>
      </c>
      <c r="H101" s="315" t="s">
        <v>278</v>
      </c>
      <c r="I101" s="309">
        <f>E101</f>
        <v>0</v>
      </c>
      <c r="J101" s="315" t="s">
        <v>278</v>
      </c>
      <c r="K101" s="309">
        <f>C121*10/6*'Overzicht BTA'!$D$38</f>
        <v>0</v>
      </c>
      <c r="L101" s="315" t="s">
        <v>278</v>
      </c>
      <c r="M101" s="633"/>
      <c r="N101" s="309">
        <f>N121*10/6*'Overzicht BTA'!$D$36</f>
        <v>0</v>
      </c>
      <c r="O101" s="315" t="s">
        <v>278</v>
      </c>
      <c r="P101" s="309">
        <f>N121*10/6*'Overzicht BTA'!$D$37</f>
        <v>0</v>
      </c>
      <c r="Q101" s="315" t="s">
        <v>278</v>
      </c>
      <c r="R101" s="309">
        <f>P101</f>
        <v>0</v>
      </c>
      <c r="S101" s="315" t="s">
        <v>278</v>
      </c>
      <c r="T101" s="309">
        <f>P101</f>
        <v>0</v>
      </c>
      <c r="U101" s="315" t="s">
        <v>278</v>
      </c>
      <c r="V101" s="309">
        <f>N121*10/6*'Overzicht BTA'!$D$38</f>
        <v>0</v>
      </c>
      <c r="W101" s="315" t="s">
        <v>278</v>
      </c>
      <c r="X101" s="652"/>
      <c r="Y101" s="309">
        <f>Y121*10/6*'Overzicht BTA'!$D$36</f>
        <v>0</v>
      </c>
      <c r="Z101" s="315" t="s">
        <v>278</v>
      </c>
      <c r="AA101" s="309">
        <f>Y121*10/6*'Overzicht BTA'!$D$37</f>
        <v>0</v>
      </c>
      <c r="AB101" s="315" t="s">
        <v>278</v>
      </c>
      <c r="AC101" s="309">
        <f>AA101</f>
        <v>0</v>
      </c>
      <c r="AD101" s="315" t="s">
        <v>278</v>
      </c>
      <c r="AE101" s="309">
        <f>AA101</f>
        <v>0</v>
      </c>
      <c r="AF101" s="315" t="s">
        <v>278</v>
      </c>
      <c r="AG101" s="309">
        <f>Y121*10/6*'Overzicht BTA'!$D$38</f>
        <v>0</v>
      </c>
      <c r="AH101" s="315" t="s">
        <v>278</v>
      </c>
      <c r="AN101" s="423"/>
    </row>
    <row r="102" spans="2:42"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679"/>
      <c r="AO102" s="679"/>
      <c r="AP102" s="679"/>
    </row>
    <row r="103" spans="2:42" x14ac:dyDescent="0.3">
      <c r="B103" s="310" t="s">
        <v>361</v>
      </c>
      <c r="C103" s="309">
        <f>C101+C105</f>
        <v>199.65166666666667</v>
      </c>
      <c r="D103" s="315" t="s">
        <v>278</v>
      </c>
      <c r="E103" s="309">
        <f>E101+E105</f>
        <v>199.65166666666667</v>
      </c>
      <c r="F103" s="315" t="s">
        <v>278</v>
      </c>
      <c r="G103" s="309">
        <f>G101+G105</f>
        <v>199.65166666666667</v>
      </c>
      <c r="H103" s="315" t="s">
        <v>278</v>
      </c>
      <c r="I103" s="309">
        <f>I101+I105</f>
        <v>199.65166666666667</v>
      </c>
      <c r="J103" s="315" t="s">
        <v>278</v>
      </c>
      <c r="K103" s="309">
        <f>K101+K105</f>
        <v>199.65166666666667</v>
      </c>
      <c r="L103" s="315" t="s">
        <v>278</v>
      </c>
      <c r="M103" s="633"/>
      <c r="N103" s="309">
        <f>N101+N105</f>
        <v>199.65166666666667</v>
      </c>
      <c r="O103" s="315" t="s">
        <v>278</v>
      </c>
      <c r="P103" s="309">
        <f>P101+P105</f>
        <v>199.65166666666667</v>
      </c>
      <c r="Q103" s="315" t="s">
        <v>278</v>
      </c>
      <c r="R103" s="309">
        <f>R101+R105</f>
        <v>199.65166666666667</v>
      </c>
      <c r="S103" s="315" t="s">
        <v>278</v>
      </c>
      <c r="T103" s="309">
        <f>T101+T105</f>
        <v>199.65166666666667</v>
      </c>
      <c r="U103" s="315" t="s">
        <v>278</v>
      </c>
      <c r="V103" s="309">
        <f>V101+V105</f>
        <v>199.65166666666667</v>
      </c>
      <c r="W103" s="315" t="s">
        <v>278</v>
      </c>
      <c r="X103" s="652"/>
      <c r="Y103" s="309">
        <f>Y101+Y105</f>
        <v>199.65166666666667</v>
      </c>
      <c r="Z103" s="315" t="s">
        <v>278</v>
      </c>
      <c r="AA103" s="309">
        <f>AA101+AA105</f>
        <v>199.65166666666667</v>
      </c>
      <c r="AB103" s="315" t="s">
        <v>278</v>
      </c>
      <c r="AC103" s="309">
        <f>AC101+AC105</f>
        <v>199.65166666666667</v>
      </c>
      <c r="AD103" s="315" t="s">
        <v>278</v>
      </c>
      <c r="AE103" s="309">
        <f>AE101+AE105</f>
        <v>199.65166666666667</v>
      </c>
      <c r="AF103" s="315" t="s">
        <v>278</v>
      </c>
      <c r="AG103" s="309">
        <f>AG101+AG105</f>
        <v>199.65166666666667</v>
      </c>
      <c r="AH103" s="315" t="s">
        <v>278</v>
      </c>
      <c r="AN103" s="607"/>
      <c r="AO103" s="607"/>
      <c r="AP103" s="607"/>
    </row>
    <row r="104" spans="2:42"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679"/>
      <c r="AO104" s="679"/>
      <c r="AP104" s="679"/>
    </row>
    <row r="105" spans="2:42" x14ac:dyDescent="0.3">
      <c r="B105" s="310" t="s">
        <v>362</v>
      </c>
      <c r="C105" s="309">
        <f>C122*10/6*'Overzicht BTA'!$D$36</f>
        <v>199.65166666666667</v>
      </c>
      <c r="D105" s="315" t="s">
        <v>278</v>
      </c>
      <c r="E105" s="309">
        <f>C122*10/6*'Overzicht BTA'!$D$37</f>
        <v>199.65166666666667</v>
      </c>
      <c r="F105" s="315" t="s">
        <v>278</v>
      </c>
      <c r="G105" s="309">
        <f>E105</f>
        <v>199.65166666666667</v>
      </c>
      <c r="H105" s="315" t="s">
        <v>278</v>
      </c>
      <c r="I105" s="309">
        <f>E105</f>
        <v>199.65166666666667</v>
      </c>
      <c r="J105" s="315" t="s">
        <v>278</v>
      </c>
      <c r="K105" s="309">
        <f>C122*10/6*'Overzicht BTA'!$D$38</f>
        <v>199.65166666666667</v>
      </c>
      <c r="L105" s="315" t="s">
        <v>278</v>
      </c>
      <c r="M105" s="633"/>
      <c r="N105" s="309">
        <f>N122*10/6*'Overzicht BTA'!$D$36</f>
        <v>199.65166666666667</v>
      </c>
      <c r="O105" s="315" t="s">
        <v>278</v>
      </c>
      <c r="P105" s="309">
        <f>N122*10/6*'Overzicht BTA'!$D$37</f>
        <v>199.65166666666667</v>
      </c>
      <c r="Q105" s="315" t="s">
        <v>278</v>
      </c>
      <c r="R105" s="309">
        <f>P105</f>
        <v>199.65166666666667</v>
      </c>
      <c r="S105" s="315" t="s">
        <v>278</v>
      </c>
      <c r="T105" s="309">
        <f>P105</f>
        <v>199.65166666666667</v>
      </c>
      <c r="U105" s="315" t="s">
        <v>278</v>
      </c>
      <c r="V105" s="309">
        <f>N122*10/6*'Overzicht BTA'!$D$38</f>
        <v>199.65166666666667</v>
      </c>
      <c r="W105" s="315" t="s">
        <v>278</v>
      </c>
      <c r="X105" s="652"/>
      <c r="Y105" s="309">
        <f>Y122*10/6*'Overzicht BTA'!$D$36</f>
        <v>199.65166666666667</v>
      </c>
      <c r="Z105" s="315" t="s">
        <v>278</v>
      </c>
      <c r="AA105" s="309">
        <f>Y122*10/6*'Overzicht BTA'!$D$37</f>
        <v>199.65166666666667</v>
      </c>
      <c r="AB105" s="315" t="s">
        <v>278</v>
      </c>
      <c r="AC105" s="309">
        <f>AA105</f>
        <v>199.65166666666667</v>
      </c>
      <c r="AD105" s="315" t="s">
        <v>278</v>
      </c>
      <c r="AE105" s="309">
        <f>AA105</f>
        <v>199.65166666666667</v>
      </c>
      <c r="AF105" s="315" t="s">
        <v>278</v>
      </c>
      <c r="AG105" s="309">
        <f>Y122*10/6*'Overzicht BTA'!$D$38</f>
        <v>199.65166666666667</v>
      </c>
      <c r="AH105" s="315" t="s">
        <v>278</v>
      </c>
      <c r="AN105" s="607"/>
      <c r="AO105" s="607"/>
      <c r="AP105" s="607"/>
    </row>
    <row r="106" spans="2:42"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679"/>
      <c r="AO106" s="679"/>
      <c r="AP106" s="679"/>
    </row>
    <row r="107" spans="2:42"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607"/>
      <c r="AO107" s="607"/>
      <c r="AP107" s="607"/>
    </row>
    <row r="108" spans="2:42" x14ac:dyDescent="0.3">
      <c r="B108" s="310" t="s">
        <v>483</v>
      </c>
      <c r="C108" s="1036" t="e">
        <f>C51/C90</f>
        <v>#DIV/0!</v>
      </c>
      <c r="D108" s="308"/>
      <c r="E108" s="1036" t="e">
        <f>E51/E90</f>
        <v>#DIV/0!</v>
      </c>
      <c r="F108" s="308"/>
      <c r="G108" s="1036" t="e">
        <f>G51/G90</f>
        <v>#DIV/0!</v>
      </c>
      <c r="H108" s="308"/>
      <c r="I108" s="1036" t="e">
        <f>I51/I90</f>
        <v>#DIV/0!</v>
      </c>
      <c r="J108" s="308"/>
      <c r="K108" s="1036" t="e">
        <f>K51/K90</f>
        <v>#DIV/0!</v>
      </c>
      <c r="L108" s="308"/>
      <c r="M108" s="311"/>
      <c r="N108" s="1036" t="e">
        <f>N51/N90</f>
        <v>#DIV/0!</v>
      </c>
      <c r="O108" s="308"/>
      <c r="P108" s="1036" t="e">
        <f>P51/P90</f>
        <v>#DIV/0!</v>
      </c>
      <c r="Q108" s="308"/>
      <c r="R108" s="1036" t="e">
        <f>R51/R90</f>
        <v>#DIV/0!</v>
      </c>
      <c r="S108" s="308"/>
      <c r="T108" s="1036" t="e">
        <f>T51/T90</f>
        <v>#DIV/0!</v>
      </c>
      <c r="U108" s="308"/>
      <c r="V108" s="1036" t="e">
        <f>V51/V90</f>
        <v>#DIV/0!</v>
      </c>
      <c r="W108" s="308"/>
      <c r="X108" s="654"/>
      <c r="Y108" s="1036" t="e">
        <f>Y51/Y90</f>
        <v>#DIV/0!</v>
      </c>
      <c r="Z108" s="308"/>
      <c r="AA108" s="1036" t="e">
        <f>AA51/AA90</f>
        <v>#DIV/0!</v>
      </c>
      <c r="AB108" s="308"/>
      <c r="AC108" s="1036" t="e">
        <f>AC51/AC90</f>
        <v>#DIV/0!</v>
      </c>
      <c r="AD108" s="308"/>
      <c r="AE108" s="1036" t="e">
        <f>AE51/AE90</f>
        <v>#DIV/0!</v>
      </c>
      <c r="AF108" s="308"/>
      <c r="AG108" s="1036" t="e">
        <f>AG51/AG90</f>
        <v>#DIV/0!</v>
      </c>
      <c r="AH108" s="308"/>
      <c r="AN108" s="423"/>
      <c r="AO108" s="423"/>
      <c r="AP108" s="423"/>
    </row>
    <row r="109" spans="2:42"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679"/>
      <c r="AO109" s="679"/>
      <c r="AP109" s="679"/>
    </row>
    <row r="110" spans="2:42"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42"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51">AG111+V111+K111</f>
        <v>0</v>
      </c>
      <c r="AM111" s="820" t="str">
        <f>IF(ISNUMBER(ROUND(AL111/(C24+N24+Y24),2)),ROUND(AL111/(C24+N24+Y24),2),"/")</f>
        <v>/</v>
      </c>
    </row>
    <row r="112" spans="2:42"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51"/>
        <v>0</v>
      </c>
      <c r="AM112" s="820" t="str">
        <f>IF(ISNUMBER(ROUND(AL112/(Y31+C31+N31),2)),ROUND(AL112/(Y31+C31+N31),2),"/")</f>
        <v>/</v>
      </c>
    </row>
    <row r="113" spans="2:39" ht="14.4" customHeight="1"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51"/>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51"/>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51"/>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51"/>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51"/>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51"/>
        <v>0</v>
      </c>
      <c r="AM118" s="820" t="str">
        <f>IF(ISNUMBER(ROUND(AL118/(C54+N54+Y54),2)),ROUND(AL118/(C54+N54+Y54),2),"/")</f>
        <v>/</v>
      </c>
    </row>
    <row r="119" spans="2:39" x14ac:dyDescent="0.3">
      <c r="L119" s="18"/>
      <c r="M119" s="18"/>
      <c r="AI119" s="18"/>
      <c r="AJ119" s="18"/>
    </row>
    <row r="120" spans="2:39" x14ac:dyDescent="0.3">
      <c r="B120" s="299" t="s">
        <v>489</v>
      </c>
      <c r="L120" s="18"/>
      <c r="M120" s="18"/>
    </row>
    <row r="121" spans="2:39" x14ac:dyDescent="0.3">
      <c r="B121" s="249" t="s">
        <v>490</v>
      </c>
      <c r="C121" s="298">
        <f>IF(VLOOKUP(C8,'Capaciteiten &amp; forfaits'!$B$3:$H$71,4,FALSE)-50&lt;0,0,VLOOKUP(C8,'Capaciteiten &amp; forfaits'!$B$3:$H$71,4,FALSE)-50)</f>
        <v>0</v>
      </c>
      <c r="L121" s="18"/>
      <c r="N121" s="298">
        <f>IF(VLOOKUP(N8,'Capaciteiten &amp; forfaits'!$B$3:$H$71,4,FALSE)-50&lt;0,0,VLOOKUP(N8,'Capaciteiten &amp; forfaits'!$B$3:$H$71,4,FALSE)-50)</f>
        <v>0</v>
      </c>
      <c r="Y121" s="298">
        <f>IF(VLOOKUP(Y8,'Capaciteiten &amp; forfaits'!$B$3:$H$71,4,FALSE)-50&lt;0,0,VLOOKUP(Y8,'Capaciteiten &amp; forfaits'!$B$3:$H$71,4,FALSE)-50)</f>
        <v>0</v>
      </c>
    </row>
    <row r="122" spans="2:39" x14ac:dyDescent="0.3">
      <c r="B122" s="249" t="s">
        <v>491</v>
      </c>
      <c r="C122" s="297">
        <v>50</v>
      </c>
      <c r="E122" s="296"/>
      <c r="N122" s="297">
        <v>50</v>
      </c>
      <c r="Y122" s="297">
        <v>50</v>
      </c>
    </row>
    <row r="127" spans="2:39" x14ac:dyDescent="0.3">
      <c r="D127" s="294"/>
      <c r="E127" s="294"/>
      <c r="F127" s="294"/>
      <c r="G127" s="294"/>
    </row>
    <row r="128" spans="2:39" x14ac:dyDescent="0.3">
      <c r="D128" s="294"/>
      <c r="E128" s="294"/>
      <c r="F128" s="294"/>
      <c r="G128" s="294"/>
    </row>
    <row r="129" spans="4:7" x14ac:dyDescent="0.3">
      <c r="D129" s="294"/>
      <c r="E129" s="295"/>
      <c r="F129" s="294"/>
      <c r="G129" s="294"/>
    </row>
    <row r="130" spans="4:7" x14ac:dyDescent="0.3">
      <c r="D130" s="294"/>
      <c r="E130" s="295"/>
      <c r="F130" s="294"/>
      <c r="G130" s="294"/>
    </row>
    <row r="131" spans="4:7" x14ac:dyDescent="0.3">
      <c r="D131" s="294"/>
      <c r="E131" s="295"/>
      <c r="F131" s="294"/>
      <c r="G131" s="294"/>
    </row>
    <row r="132" spans="4:7" x14ac:dyDescent="0.3">
      <c r="E132" s="294"/>
      <c r="F132" s="294"/>
      <c r="G132" s="294"/>
    </row>
    <row r="133" spans="4:7" x14ac:dyDescent="0.3">
      <c r="E133" s="294"/>
    </row>
    <row r="134" spans="4:7" x14ac:dyDescent="0.3">
      <c r="E134" s="294"/>
    </row>
    <row r="135" spans="4:7" x14ac:dyDescent="0.3">
      <c r="E135" s="294"/>
    </row>
  </sheetData>
  <mergeCells count="20">
    <mergeCell ref="C1:E1"/>
    <mergeCell ref="C4:E4"/>
    <mergeCell ref="C8:L8"/>
    <mergeCell ref="G3:L3"/>
    <mergeCell ref="B6:L6"/>
    <mergeCell ref="N8:W8"/>
    <mergeCell ref="Y8:AH8"/>
    <mergeCell ref="AJ5:AT5"/>
    <mergeCell ref="C10:E10"/>
    <mergeCell ref="N10:P10"/>
    <mergeCell ref="Y10:AA10"/>
    <mergeCell ref="C13:E13"/>
    <mergeCell ref="N13:P13"/>
    <mergeCell ref="Y13:AA13"/>
    <mergeCell ref="C11:E11"/>
    <mergeCell ref="N11:P11"/>
    <mergeCell ref="Y11:AA11"/>
    <mergeCell ref="C12:E12"/>
    <mergeCell ref="N12:P12"/>
    <mergeCell ref="Y12:AA12"/>
  </mergeCells>
  <conditionalFormatting sqref="Y16">
    <cfRule type="expression" dxfId="90" priority="94">
      <formula>Y22&lt;0</formula>
    </cfRule>
  </conditionalFormatting>
  <conditionalFormatting sqref="C39">
    <cfRule type="expression" dxfId="89" priority="127">
      <formula>C45&lt;0</formula>
    </cfRule>
  </conditionalFormatting>
  <conditionalFormatting sqref="N24">
    <cfRule type="expression" dxfId="88" priority="124">
      <formula>N30&lt;0</formula>
    </cfRule>
  </conditionalFormatting>
  <conditionalFormatting sqref="Y31">
    <cfRule type="expression" dxfId="87" priority="97">
      <formula>Y37&lt;0</formula>
    </cfRule>
  </conditionalFormatting>
  <conditionalFormatting sqref="N39">
    <cfRule type="expression" dxfId="86" priority="118">
      <formula>N45&lt;0</formula>
    </cfRule>
  </conditionalFormatting>
  <conditionalFormatting sqref="E56">
    <cfRule type="expression" dxfId="85" priority="74">
      <formula>E63&lt;0</formula>
    </cfRule>
  </conditionalFormatting>
  <conditionalFormatting sqref="Y39">
    <cfRule type="expression" dxfId="84" priority="96">
      <formula>Y45&lt;0</formula>
    </cfRule>
  </conditionalFormatting>
  <conditionalFormatting sqref="E24">
    <cfRule type="expression" dxfId="83" priority="80">
      <formula>E30&lt;0</formula>
    </cfRule>
  </conditionalFormatting>
  <conditionalFormatting sqref="E49">
    <cfRule type="expression" dxfId="82" priority="77">
      <formula>E55&lt;0</formula>
    </cfRule>
  </conditionalFormatting>
  <conditionalFormatting sqref="AA56:AA57">
    <cfRule type="expression" dxfId="81" priority="48">
      <formula>AA63&lt;0</formula>
    </cfRule>
  </conditionalFormatting>
  <conditionalFormatting sqref="C24">
    <cfRule type="expression" dxfId="80" priority="134">
      <formula>C30&lt;0</formula>
    </cfRule>
  </conditionalFormatting>
  <conditionalFormatting sqref="C31">
    <cfRule type="expression" dxfId="79" priority="128">
      <formula>C37&lt;0</formula>
    </cfRule>
  </conditionalFormatting>
  <conditionalFormatting sqref="C49">
    <cfRule type="expression" dxfId="78" priority="126">
      <formula>C59&lt;0</formula>
    </cfRule>
  </conditionalFormatting>
  <conditionalFormatting sqref="C16">
    <cfRule type="expression" dxfId="77" priority="125">
      <formula>C22&lt;0</formula>
    </cfRule>
  </conditionalFormatting>
  <conditionalFormatting sqref="N31">
    <cfRule type="expression" dxfId="76" priority="119">
      <formula>N37&lt;0</formula>
    </cfRule>
  </conditionalFormatting>
  <conditionalFormatting sqref="N49">
    <cfRule type="expression" dxfId="75" priority="117">
      <formula>N59&lt;0</formula>
    </cfRule>
  </conditionalFormatting>
  <conditionalFormatting sqref="N16">
    <cfRule type="expression" dxfId="74" priority="116">
      <formula>N22&lt;0</formula>
    </cfRule>
  </conditionalFormatting>
  <conditionalFormatting sqref="E54">
    <cfRule type="expression" dxfId="73" priority="75">
      <formula>E61&lt;0</formula>
    </cfRule>
  </conditionalFormatting>
  <conditionalFormatting sqref="V24">
    <cfRule type="expression" dxfId="72" priority="72">
      <formula>V30&lt;0</formula>
    </cfRule>
  </conditionalFormatting>
  <conditionalFormatting sqref="E16">
    <cfRule type="expression" dxfId="71" priority="82">
      <formula>E22&lt;0</formula>
    </cfRule>
  </conditionalFormatting>
  <conditionalFormatting sqref="E31">
    <cfRule type="expression" dxfId="70" priority="79">
      <formula>E37&lt;0</formula>
    </cfRule>
  </conditionalFormatting>
  <conditionalFormatting sqref="Y24">
    <cfRule type="expression" dxfId="69" priority="103">
      <formula>Y30&lt;0</formula>
    </cfRule>
  </conditionalFormatting>
  <conditionalFormatting sqref="Y49">
    <cfRule type="expression" dxfId="68" priority="95">
      <formula>Y59&lt;0</formula>
    </cfRule>
  </conditionalFormatting>
  <conditionalFormatting sqref="E39">
    <cfRule type="expression" dxfId="67" priority="78">
      <formula>E45&lt;0</formula>
    </cfRule>
  </conditionalFormatting>
  <conditionalFormatting sqref="K24">
    <cfRule type="expression" dxfId="66" priority="85">
      <formula>K30&lt;0</formula>
    </cfRule>
  </conditionalFormatting>
  <conditionalFormatting sqref="K63">
    <cfRule type="expression" dxfId="65" priority="81">
      <formula>K79&lt;0</formula>
    </cfRule>
  </conditionalFormatting>
  <conditionalFormatting sqref="K31">
    <cfRule type="expression" dxfId="64" priority="84">
      <formula>K38&lt;0</formula>
    </cfRule>
  </conditionalFormatting>
  <conditionalFormatting sqref="K39">
    <cfRule type="expression" dxfId="63" priority="83">
      <formula>K47&lt;0</formula>
    </cfRule>
  </conditionalFormatting>
  <conditionalFormatting sqref="E51">
    <cfRule type="expression" dxfId="62" priority="76">
      <formula>E58&lt;0</formula>
    </cfRule>
  </conditionalFormatting>
  <conditionalFormatting sqref="G49">
    <cfRule type="expression" dxfId="61" priority="73">
      <formula>G55&lt;0</formula>
    </cfRule>
  </conditionalFormatting>
  <conditionalFormatting sqref="V63">
    <cfRule type="expression" dxfId="60" priority="68">
      <formula>V79&lt;0</formula>
    </cfRule>
  </conditionalFormatting>
  <conditionalFormatting sqref="V31">
    <cfRule type="expression" dxfId="59" priority="71">
      <formula>V38&lt;0</formula>
    </cfRule>
  </conditionalFormatting>
  <conditionalFormatting sqref="V39">
    <cfRule type="expression" dxfId="58" priority="70">
      <formula>V47&lt;0</formula>
    </cfRule>
  </conditionalFormatting>
  <conditionalFormatting sqref="P16">
    <cfRule type="expression" dxfId="57" priority="69">
      <formula>P22&lt;0</formula>
    </cfRule>
  </conditionalFormatting>
  <conditionalFormatting sqref="P24">
    <cfRule type="expression" dxfId="56" priority="67">
      <formula>P30&lt;0</formula>
    </cfRule>
  </conditionalFormatting>
  <conditionalFormatting sqref="P31">
    <cfRule type="expression" dxfId="55" priority="66">
      <formula>P37&lt;0</formula>
    </cfRule>
  </conditionalFormatting>
  <conditionalFormatting sqref="P39">
    <cfRule type="expression" dxfId="54" priority="65">
      <formula>P45&lt;0</formula>
    </cfRule>
  </conditionalFormatting>
  <conditionalFormatting sqref="P49">
    <cfRule type="expression" dxfId="53" priority="64">
      <formula>P55&lt;0</formula>
    </cfRule>
  </conditionalFormatting>
  <conditionalFormatting sqref="P51">
    <cfRule type="expression" dxfId="52" priority="63">
      <formula>P58&lt;0</formula>
    </cfRule>
  </conditionalFormatting>
  <conditionalFormatting sqref="P54">
    <cfRule type="expression" dxfId="51" priority="62">
      <formula>P61&lt;0</formula>
    </cfRule>
  </conditionalFormatting>
  <conditionalFormatting sqref="P56">
    <cfRule type="expression" dxfId="50" priority="61">
      <formula>P63&lt;0</formula>
    </cfRule>
  </conditionalFormatting>
  <conditionalFormatting sqref="R49">
    <cfRule type="expression" dxfId="49" priority="60">
      <formula>R55&lt;0</formula>
    </cfRule>
  </conditionalFormatting>
  <conditionalFormatting sqref="AG24">
    <cfRule type="expression" dxfId="48" priority="59">
      <formula>AG30&lt;0</formula>
    </cfRule>
  </conditionalFormatting>
  <conditionalFormatting sqref="AG63">
    <cfRule type="expression" dxfId="47" priority="55">
      <formula>AG79&lt;0</formula>
    </cfRule>
  </conditionalFormatting>
  <conditionalFormatting sqref="AG31">
    <cfRule type="expression" dxfId="46" priority="58">
      <formula>AG38&lt;0</formula>
    </cfRule>
  </conditionalFormatting>
  <conditionalFormatting sqref="AG39">
    <cfRule type="expression" dxfId="45" priority="57">
      <formula>AG47&lt;0</formula>
    </cfRule>
  </conditionalFormatting>
  <conditionalFormatting sqref="AA16">
    <cfRule type="expression" dxfId="44" priority="56">
      <formula>AA22&lt;0</formula>
    </cfRule>
  </conditionalFormatting>
  <conditionalFormatting sqref="AA24">
    <cfRule type="expression" dxfId="43" priority="54">
      <formula>AA30&lt;0</formula>
    </cfRule>
  </conditionalFormatting>
  <conditionalFormatting sqref="AA31">
    <cfRule type="expression" dxfId="42" priority="53">
      <formula>AA37&lt;0</formula>
    </cfRule>
  </conditionalFormatting>
  <conditionalFormatting sqref="AA39">
    <cfRule type="expression" dxfId="41" priority="52">
      <formula>AA45&lt;0</formula>
    </cfRule>
  </conditionalFormatting>
  <conditionalFormatting sqref="AA49">
    <cfRule type="expression" dxfId="40" priority="51">
      <formula>AA55&lt;0</formula>
    </cfRule>
  </conditionalFormatting>
  <conditionalFormatting sqref="AA51">
    <cfRule type="expression" dxfId="39" priority="50">
      <formula>AA58&lt;0</formula>
    </cfRule>
  </conditionalFormatting>
  <conditionalFormatting sqref="AA54">
    <cfRule type="expression" dxfId="38" priority="49">
      <formula>AA61&lt;0</formula>
    </cfRule>
  </conditionalFormatting>
  <conditionalFormatting sqref="AC49">
    <cfRule type="expression" dxfId="37" priority="47">
      <formula>AC55&lt;0</formula>
    </cfRule>
  </conditionalFormatting>
  <conditionalFormatting sqref="N51">
    <cfRule type="expression" dxfId="36" priority="46">
      <formula>N58&lt;0</formula>
    </cfRule>
  </conditionalFormatting>
  <conditionalFormatting sqref="Y51">
    <cfRule type="expression" dxfId="35" priority="45">
      <formula>Y58&lt;0</formula>
    </cfRule>
  </conditionalFormatting>
  <conditionalFormatting sqref="E57">
    <cfRule type="expression" dxfId="34" priority="44">
      <formula>E64&lt;0</formula>
    </cfRule>
  </conditionalFormatting>
  <conditionalFormatting sqref="P57">
    <cfRule type="expression" dxfId="33" priority="43">
      <formula>P64&lt;0</formula>
    </cfRule>
  </conditionalFormatting>
  <conditionalFormatting sqref="C93 E93 G93 I93 K93">
    <cfRule type="expression" dxfId="32" priority="5">
      <formula>AND(C84&gt;0,C93=0)</formula>
    </cfRule>
  </conditionalFormatting>
  <conditionalFormatting sqref="C92 E92 G92 I92 K92">
    <cfRule type="expression" dxfId="31" priority="6">
      <formula>AND(C81&gt;0,C92=0)</formula>
    </cfRule>
  </conditionalFormatting>
  <conditionalFormatting sqref="N93 P93 R93 T93 V93">
    <cfRule type="expression" dxfId="30" priority="3">
      <formula>AND(N84&gt;0,N93=0)</formula>
    </cfRule>
  </conditionalFormatting>
  <conditionalFormatting sqref="N92 P92 R92 T92 V92">
    <cfRule type="expression" dxfId="29" priority="4">
      <formula>AND(N81&gt;0,N92=0)</formula>
    </cfRule>
  </conditionalFormatting>
  <conditionalFormatting sqref="Y93 AA93 AC93 AE93 AG93">
    <cfRule type="expression" dxfId="28" priority="1">
      <formula>AND(Y84&gt;0,Y93=0)</formula>
    </cfRule>
  </conditionalFormatting>
  <conditionalFormatting sqref="Y92 AA92 AC92 AE92 AG92">
    <cfRule type="expression" dxfId="27"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85621F8-149B-4E37-84F9-1C916FA29DB9}">
          <x14:formula1>
            <xm:f>Bouwindex_ABEX!$Q$3:$Q$34</xm:f>
          </x14:formula1>
          <xm:sqref>C92 E92 G92 I92 K92 N92 P92 R92 T92 V92 Y92 AA92 AC92 AE92 AG92</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8C8F-8E12-432E-A08A-BA2F0E8B5758}">
  <sheetPr codeName="Blad36"/>
  <dimension ref="A3:DQ120"/>
  <sheetViews>
    <sheetView topLeftCell="A64" zoomScale="70" zoomScaleNormal="70" workbookViewId="0">
      <selection activeCell="Y93" sqref="Y93"/>
    </sheetView>
  </sheetViews>
  <sheetFormatPr defaultRowHeight="14.4" x14ac:dyDescent="0.3"/>
  <cols>
    <col min="1" max="1" width="42.6640625" bestFit="1" customWidth="1"/>
    <col min="2" max="2" width="16.33203125" style="89" customWidth="1"/>
    <col min="3" max="3" width="4.44140625" style="89" bestFit="1" customWidth="1"/>
    <col min="4" max="4" width="20" style="89" bestFit="1" customWidth="1"/>
    <col min="5" max="5" width="4.44140625" style="89" bestFit="1" customWidth="1"/>
    <col min="6" max="6" width="16.33203125" style="89" bestFit="1" customWidth="1"/>
    <col min="7" max="7" width="4.44140625" style="89" bestFit="1" customWidth="1"/>
    <col min="8" max="8" width="16.33203125" style="89" bestFit="1" customWidth="1"/>
    <col min="9" max="9" width="4.44140625" style="89" bestFit="1" customWidth="1"/>
    <col min="10" max="10" width="15.6640625" style="89" bestFit="1" customWidth="1"/>
    <col min="11" max="11" width="4.44140625" style="89" bestFit="1" customWidth="1"/>
    <col min="12" max="12" width="15.6640625" style="89" bestFit="1" customWidth="1"/>
    <col min="13" max="13" width="4.44140625" style="89" bestFit="1" customWidth="1"/>
    <col min="14" max="14" width="15.6640625" style="89" bestFit="1" customWidth="1"/>
    <col min="15" max="15" width="4.44140625" style="89" bestFit="1" customWidth="1"/>
    <col min="16" max="16" width="15.6640625" style="89" bestFit="1" customWidth="1"/>
    <col min="17" max="17" width="4.44140625" style="89" bestFit="1" customWidth="1"/>
    <col min="18" max="18" width="15.6640625" style="89" bestFit="1" customWidth="1"/>
    <col min="19" max="19" width="4.44140625" style="89" bestFit="1" customWidth="1"/>
    <col min="20" max="20" width="15.6640625" style="89" bestFit="1" customWidth="1"/>
    <col min="21" max="21" width="4.44140625" style="89" bestFit="1" customWidth="1"/>
    <col min="22" max="22" width="15.6640625" style="89" bestFit="1" customWidth="1"/>
    <col min="23" max="23" width="4.44140625" style="89" bestFit="1" customWidth="1"/>
    <col min="24" max="24" width="15.6640625" style="89" bestFit="1" customWidth="1"/>
    <col min="25" max="25" width="16.33203125" bestFit="1" customWidth="1"/>
    <col min="26" max="26" width="17.44140625" bestFit="1" customWidth="1"/>
  </cols>
  <sheetData>
    <row r="3" spans="1:121" s="592" customFormat="1" x14ac:dyDescent="0.3">
      <c r="B3" s="1281" t="str">
        <f>'Overzicht BTA'!C2</f>
        <v>Zorgvorm 1</v>
      </c>
      <c r="C3" s="1281"/>
      <c r="D3" s="1281"/>
      <c r="E3" s="1281"/>
      <c r="F3" s="1281"/>
      <c r="G3" s="1281"/>
      <c r="H3" s="1281"/>
      <c r="I3" s="831"/>
      <c r="J3" s="1281" t="str">
        <f>'Overzicht BTA'!H2</f>
        <v>Zorgvorm 2</v>
      </c>
      <c r="K3" s="1281"/>
      <c r="L3" s="1281"/>
      <c r="M3" s="1281"/>
      <c r="N3" s="1281"/>
      <c r="O3" s="1281"/>
      <c r="P3" s="1281"/>
      <c r="Q3" s="831"/>
      <c r="R3" s="1281" t="str">
        <f>'Overzicht BTA'!N2</f>
        <v>Zorgvorm 3</v>
      </c>
      <c r="S3" s="1281"/>
      <c r="T3" s="1281"/>
      <c r="U3" s="1281"/>
      <c r="V3" s="1281"/>
      <c r="W3" s="1281"/>
      <c r="X3" s="1281"/>
      <c r="Y3" s="106"/>
      <c r="Z3" s="106"/>
      <c r="AA3" s="106"/>
      <c r="AB3" s="106"/>
      <c r="AC3" s="106"/>
      <c r="AD3" s="106"/>
      <c r="AE3" s="106"/>
      <c r="AF3" s="106"/>
      <c r="AG3" s="106"/>
      <c r="AH3" s="106"/>
      <c r="AI3" s="106"/>
      <c r="AJ3" s="106"/>
      <c r="AK3" s="106"/>
      <c r="AL3" s="106"/>
      <c r="AM3" s="106"/>
      <c r="AN3" s="106"/>
      <c r="AO3" s="106"/>
      <c r="AP3" s="106"/>
      <c r="AQ3" s="106"/>
      <c r="AR3" s="106"/>
      <c r="AS3" s="106"/>
      <c r="AT3" s="106"/>
      <c r="AU3" s="106"/>
      <c r="AV3" s="106"/>
      <c r="AW3" s="106"/>
      <c r="AX3" s="106"/>
      <c r="AY3" s="106"/>
      <c r="AZ3" s="106"/>
      <c r="BA3" s="106"/>
      <c r="BB3" s="106"/>
      <c r="BC3" s="106"/>
      <c r="BD3" s="106"/>
      <c r="BE3" s="106"/>
      <c r="BF3" s="106"/>
      <c r="BG3" s="106"/>
      <c r="BH3" s="106"/>
      <c r="BI3" s="106"/>
      <c r="BJ3" s="106"/>
      <c r="BK3" s="106"/>
      <c r="BL3" s="106"/>
      <c r="BM3" s="106"/>
      <c r="BN3" s="106"/>
      <c r="BO3" s="106"/>
      <c r="BP3" s="106"/>
      <c r="BQ3" s="106"/>
      <c r="BR3" s="106"/>
      <c r="BS3" s="106"/>
      <c r="BT3" s="106"/>
      <c r="BU3" s="106"/>
      <c r="BV3" s="106"/>
      <c r="BW3" s="106"/>
      <c r="BX3" s="106"/>
      <c r="BY3" s="106"/>
      <c r="BZ3" s="106"/>
      <c r="CA3" s="106"/>
      <c r="CB3" s="106"/>
      <c r="CC3" s="106"/>
      <c r="CD3" s="106"/>
      <c r="CE3" s="106"/>
      <c r="CF3" s="106"/>
      <c r="CG3" s="106"/>
      <c r="CH3" s="106"/>
      <c r="CI3" s="106"/>
      <c r="CJ3" s="106"/>
      <c r="CK3" s="106"/>
      <c r="CL3" s="106"/>
      <c r="CM3" s="106"/>
      <c r="CN3" s="106"/>
      <c r="CO3" s="106"/>
      <c r="CP3" s="106"/>
      <c r="CQ3" s="106"/>
      <c r="CR3" s="106"/>
      <c r="CS3" s="106"/>
      <c r="CT3" s="106"/>
      <c r="CU3" s="106"/>
      <c r="CV3" s="106"/>
      <c r="CW3" s="106"/>
      <c r="CX3" s="106"/>
      <c r="CY3" s="106"/>
      <c r="CZ3" s="106"/>
      <c r="DA3" s="106"/>
      <c r="DB3" s="106"/>
      <c r="DC3" s="106"/>
      <c r="DD3" s="106"/>
      <c r="DE3" s="106"/>
      <c r="DF3" s="106"/>
      <c r="DG3" s="106"/>
      <c r="DH3" s="106"/>
      <c r="DI3" s="106"/>
      <c r="DJ3" s="106"/>
      <c r="DK3" s="106"/>
      <c r="DL3" s="106"/>
      <c r="DM3" s="106"/>
      <c r="DN3" s="106"/>
      <c r="DO3" s="106"/>
      <c r="DP3" s="106"/>
      <c r="DQ3" s="106"/>
    </row>
    <row r="4" spans="1:121" s="183" customFormat="1" x14ac:dyDescent="0.3">
      <c r="A4" s="307" t="s">
        <v>405</v>
      </c>
      <c r="B4" s="593" t="str">
        <f>'Overzicht BTA'!B51</f>
        <v>Kies kostensoort</v>
      </c>
      <c r="C4" s="593"/>
      <c r="D4" s="593" t="str">
        <f>'Overzicht BTA'!$B52</f>
        <v>Kies kostensoort</v>
      </c>
      <c r="E4" s="593"/>
      <c r="F4" s="593" t="str">
        <f>'Overzicht BTA'!$B53</f>
        <v>Kies kostensoort</v>
      </c>
      <c r="G4" s="593"/>
      <c r="H4" s="593" t="str">
        <f>'Overzicht BTA'!$B54</f>
        <v>Kies kostensoort</v>
      </c>
      <c r="I4" s="593"/>
      <c r="J4" s="593" t="str">
        <f>'Overzicht BTA'!$H51</f>
        <v>Kies kostensoort</v>
      </c>
      <c r="K4" s="593"/>
      <c r="L4" s="593" t="str">
        <f>'Overzicht BTA'!$H52</f>
        <v>Kies kostensoort</v>
      </c>
      <c r="M4" s="593"/>
      <c r="N4" s="593" t="str">
        <f>'Overzicht BTA'!$H53</f>
        <v>Kies kostensoort</v>
      </c>
      <c r="O4" s="593"/>
      <c r="P4" s="593" t="str">
        <f>'Overzicht BTA'!$H54</f>
        <v>Kies kostensoort</v>
      </c>
      <c r="Q4" s="593"/>
      <c r="R4" s="593" t="str">
        <f>'Overzicht BTA'!$N51</f>
        <v>Kies kostensoort</v>
      </c>
      <c r="S4" s="593"/>
      <c r="T4" s="593" t="str">
        <f>'Overzicht BTA'!$N52</f>
        <v>Kies kostensoort</v>
      </c>
      <c r="U4" s="593"/>
      <c r="V4" s="593" t="str">
        <f>'Overzicht BTA'!$N53</f>
        <v>Kies kostensoort</v>
      </c>
      <c r="W4" s="593"/>
      <c r="X4" s="593" t="str">
        <f>'Overzicht BTA'!$N54</f>
        <v>Kies kostensoort</v>
      </c>
      <c r="Y4" s="106"/>
      <c r="Z4" s="106"/>
      <c r="AA4" s="106"/>
      <c r="AB4" s="106"/>
      <c r="AC4" s="106"/>
      <c r="AD4" s="106"/>
      <c r="AE4" s="106"/>
      <c r="AF4" s="106"/>
      <c r="AG4" s="106"/>
      <c r="AH4" s="106"/>
      <c r="AI4" s="106"/>
      <c r="AJ4" s="106"/>
      <c r="AK4" s="106"/>
      <c r="AL4" s="106"/>
      <c r="AM4" s="106"/>
      <c r="AN4" s="106"/>
      <c r="AO4" s="106"/>
      <c r="AP4" s="106"/>
      <c r="AQ4" s="106"/>
      <c r="AR4" s="106"/>
      <c r="AS4" s="106"/>
      <c r="AT4" s="106"/>
      <c r="AU4" s="106"/>
      <c r="AV4" s="106"/>
      <c r="AW4" s="106"/>
      <c r="AX4" s="106"/>
      <c r="AY4" s="106"/>
      <c r="AZ4" s="106"/>
      <c r="BA4" s="106"/>
      <c r="BB4" s="106"/>
      <c r="BC4" s="106"/>
      <c r="BD4" s="106"/>
      <c r="BE4" s="106"/>
      <c r="BF4" s="106"/>
      <c r="BG4" s="106"/>
      <c r="BH4" s="106"/>
      <c r="BI4" s="106"/>
      <c r="BJ4" s="106"/>
      <c r="BK4" s="106"/>
      <c r="BL4" s="106"/>
      <c r="BM4" s="106"/>
      <c r="BN4" s="106"/>
      <c r="BO4" s="106"/>
      <c r="BP4" s="106"/>
      <c r="BQ4" s="106"/>
      <c r="BR4" s="106"/>
      <c r="BS4" s="106"/>
      <c r="BT4" s="106"/>
      <c r="BU4" s="106"/>
      <c r="BV4" s="106"/>
      <c r="BW4" s="106"/>
      <c r="BX4" s="106"/>
      <c r="BY4" s="106"/>
      <c r="BZ4" s="106"/>
      <c r="CA4" s="106"/>
      <c r="CB4" s="106"/>
      <c r="CC4" s="106"/>
      <c r="CD4" s="106"/>
      <c r="CE4" s="106"/>
      <c r="CF4" s="106"/>
      <c r="CG4" s="106"/>
      <c r="CH4" s="106"/>
      <c r="CI4" s="106"/>
      <c r="CJ4" s="106"/>
      <c r="CK4" s="106"/>
      <c r="CL4" s="106"/>
      <c r="CM4" s="106"/>
      <c r="CN4" s="106"/>
      <c r="CO4" s="106"/>
      <c r="CP4" s="106"/>
      <c r="CQ4" s="106"/>
      <c r="CR4" s="106"/>
      <c r="CS4" s="106"/>
      <c r="CT4" s="106"/>
      <c r="CU4" s="106"/>
      <c r="CV4" s="106"/>
      <c r="CW4" s="106"/>
      <c r="CX4" s="106"/>
      <c r="CY4" s="106"/>
      <c r="CZ4" s="106"/>
      <c r="DA4" s="106"/>
      <c r="DB4" s="106"/>
      <c r="DC4" s="106"/>
      <c r="DD4" s="106"/>
      <c r="DE4" s="106"/>
      <c r="DF4" s="106"/>
      <c r="DG4" s="106"/>
      <c r="DH4" s="106"/>
      <c r="DI4" s="106"/>
      <c r="DJ4" s="106"/>
      <c r="DK4" s="106"/>
      <c r="DL4" s="106"/>
      <c r="DM4" s="106"/>
      <c r="DN4" s="106"/>
      <c r="DO4" s="106"/>
      <c r="DP4" s="106"/>
      <c r="DQ4" s="106"/>
    </row>
    <row r="5" spans="1:121" x14ac:dyDescent="0.3">
      <c r="A5" s="336" t="s">
        <v>415</v>
      </c>
      <c r="B5" s="89">
        <f>IF(OR($B$4=Bron!$B$8,$B$4=Bron!$B$9,$B$4=Bron!$B$15),'Bouwkost NB'!$C17,IF($B$4=Bron!$B$10,'Bouwkost UITB'!$C16,IF($B$4=Bron!$B$11,'Bouwkost VERB'!$C16,IF($B$4=Bron!$B$12,'Bouwkost IER'!$C15,IF(OR($B$4=Bron!$B$13,$B$4=Bron!$B$14),'Bouwkost VOLT'!$C16,IF($B$4=Bron!$C$16,'Bouwkost AK+VERB'!$C16,0))))))</f>
        <v>0</v>
      </c>
      <c r="D5" s="89">
        <f>IF(OR($D$4=Bron!$B$8,$D$4=Bron!$B$9,$D$4=Bron!$B$15),'Bouwkost NB'!$C17,IF($D$4=Bron!$B$10,'Bouwkost UITB'!$C16,IF($D$4=Bron!$B$11,'Bouwkost VERB'!$C16,IF($D$4=Bron!$B$12,'Bouwkost IER'!$C15,IF(OR($D$4=Bron!$B$13,$D$4=Bron!$B$14),'Bouwkost VOLT'!$C16,IF($D$4=Bron!$C$16,'Bouwkost AK+VERB'!$C16,0))))))</f>
        <v>0</v>
      </c>
      <c r="F5" s="89">
        <f>IF(OR($F$4=Bron!$B$8,$F$4=Bron!$B$9,$F$4=Bron!$B$15),'Bouwkost NB'!$C17,IF($F$4=Bron!$B$10,'Bouwkost UITB'!$C16,IF($F$4=Bron!$B$11,'Bouwkost VERB'!$C16,IF($F$4=Bron!$B$12,'Bouwkost IER'!$C15,IF(OR($F$4=Bron!$B$13,$F$4=Bron!$B$14),'Bouwkost VOLT'!$C16,IF($F$4=Bron!$C$16,'Bouwkost AK+VERB'!$C16,0))))))</f>
        <v>0</v>
      </c>
      <c r="H5" s="89">
        <f>IF(OR($H$4=Bron!$B$8,$H$4=Bron!$B$9,$H$4=Bron!$B$15),'Bouwkost NB'!$C17,IF($H$4=Bron!$B$10,'Bouwkost UITB'!$C16,IF($H$4=Bron!$B$11,'Bouwkost VERB'!$C16,IF($H$4=Bron!$B$12,'Bouwkost IER'!$C15,IF(OR($H$4=Bron!$B$13,$H$4=Bron!$B$14),'Bouwkost VOLT'!$C16,IF($H$4=Bron!$C$16,'Bouwkost AK+VERB'!$C16,0))))))</f>
        <v>0</v>
      </c>
      <c r="J5" s="89">
        <f>IF(OR($J$4=Bron!$B$8,$J$4=Bron!$B$9,$J$4=Bron!$B$15),'Bouwkost NB'!$N17,IF($J$4=Bron!$B$10,'Bouwkost UITB'!$N16,IF($J$4=Bron!$B$11,'Bouwkost VERB'!$N16,IF($J$4=Bron!$B$12,'Bouwkost IER'!$N15,IF(OR($J$4=Bron!$B$13,$J$4=Bron!$B$14),'Bouwkost VOLT'!$N16,IF($J$4=Bron!$C$16,'Bouwkost AK+VERB'!$N16,0))))))</f>
        <v>0</v>
      </c>
      <c r="L5" s="89">
        <f>IF(OR($L$4=Bron!$B$8,$L$4=Bron!$B$9,$L$4=Bron!$B$15),'Bouwkost NB'!$N17,IF($L$4=Bron!$B$10,'Bouwkost UITB'!$N16,IF($L$4=Bron!$B$11,'Bouwkost VERB'!$N16,IF($L$4=Bron!$B$12,'Bouwkost IER'!$N15,IF(OR($L$4=Bron!$B$13,$L$4=Bron!$B$14),'Bouwkost VOLT'!$N16,IF($L$4=Bron!$C$16,'Bouwkost AK+VERB'!$N16,0))))))</f>
        <v>0</v>
      </c>
      <c r="N5" s="89">
        <f>IF(OR($N$4=Bron!$B$8,$N$4=Bron!$B$9,,$N$4=Bron!$B$15),'Bouwkost NB'!$N17,IF($N$4=Bron!$B$10,'Bouwkost UITB'!$N16,IF($N$4=Bron!$B$11,'Bouwkost VERB'!$N16,IF($N$4=Bron!$B$12,'Bouwkost IER'!$N15,IF(OR($N$4=Bron!$B$13,$N$4=Bron!$B$14),'Bouwkost VOLT'!$N16,IF($N$4=Bron!$C$16,'Bouwkost AK+VERB'!$N16,0))))))</f>
        <v>0</v>
      </c>
      <c r="P5" s="89">
        <f>IF(OR($P$4=Bron!$B$8,$P$4=Bron!$B$9,$P$4=Bron!$B$15),'Bouwkost NB'!$N17,IF($P$4=Bron!$B$10,'Bouwkost UITB'!$N16,IF($P$4=Bron!$B$11,'Bouwkost VERB'!$N16,IF($P$4=Bron!$B$12,'Bouwkost IER'!$N15,IF(OR($P$4=Bron!$B$13,$P$4=Bron!$B$14),'Bouwkost VOLT'!$N16,IF($P$4=Bron!$C$16,'Bouwkost AK+VERB'!$N16,0))))))</f>
        <v>0</v>
      </c>
      <c r="R5" s="89">
        <f>IF(OR($R$4=Bron!$B$8,$R$4=Bron!$B$9,$R$4=Bron!$B$15),'Bouwkost NB'!$Y17,IF($R$4=Bron!$B$10,'Bouwkost UITB'!$Y16,IF($R$4=Bron!$B$11,'Bouwkost VERB'!$Y16,IF($R$4=Bron!$B$12,'Bouwkost IER'!$Y15,IF(OR($R$4=Bron!$B$13,$R$4=Bron!$B$14),'Bouwkost VOLT'!$Y16,IF($R$4=Bron!$C$16,'Bouwkost AK+VERB'!$Y16,0))))))</f>
        <v>0</v>
      </c>
      <c r="T5" s="89">
        <f>IF(OR($T$4=Bron!$B$8,$T$4=Bron!$B$9,$T$4=Bron!$B$15),'Bouwkost NB'!$Y17,IF($T$4=Bron!$B$10,'Bouwkost UITB'!$Y16,IF($T$4=Bron!$B$11,'Bouwkost VERB'!$Y16,IF($T$4=Bron!$B$12,'Bouwkost IER'!$Y15,IF(OR($T$4=Bron!$B$13,$T$4=Bron!$B$14),'Bouwkost VOLT'!$Y16,IF($T$4=Bron!$C$16,'Bouwkost AK+VERB'!$Y16,0))))))</f>
        <v>0</v>
      </c>
      <c r="V5" s="89">
        <f>IF(OR($N$4=Bron!$B$8,$N$4=Bron!$B$9,$N$4=Bron!$B$15),'Bouwkost NB'!$Y17,IF($N$4=Bron!$B$10,'Bouwkost UITB'!$Y16,IF($N$4=Bron!$B$11,'Bouwkost VERB'!$Y16,IF($N$4=Bron!$B$12,'Bouwkost IER'!$Y15,IF(OR($N$4=Bron!$B$13,$N$4=Bron!$B$14),'Bouwkost VOLT'!$Y16,IF($N$4=Bron!$C$16,'Bouwkost AK+VERB'!$Y16,0))))))</f>
        <v>0</v>
      </c>
      <c r="X5" s="89">
        <f>IF(OR($X$4=Bron!$B$8,$X$4=Bron!$B$9,$X$4=Bron!$B$15),'Bouwkost NB'!$Y17,IF($X$4=Bron!$B$10,'Bouwkost UITB'!$Y16,IF($X$4=Bron!$B$11,'Bouwkost VERB'!$Y16,IF($X$4=Bron!$B$12,'Bouwkost IER'!$Y15,IF(OR($X$4=Bron!$B$13,$X$4=Bron!$B$14),'Bouwkost VOLT'!$Y16,IF($X$4=Bron!$C$16,'Bouwkost AK+VERB'!$Y16,0))))))</f>
        <v>0</v>
      </c>
    </row>
    <row r="6" spans="1:121" x14ac:dyDescent="0.3">
      <c r="A6" s="640" t="s">
        <v>417</v>
      </c>
      <c r="B6" s="89">
        <f>IF(OR($B$4=Bron!$B$8,$B$4=Bron!$B$9,$B$4=Bron!$B$15),'Bouwkost NB'!$C18,IF($B$4=Bron!$B$10,'Bouwkost UITB'!$C17,IF($B$4=Bron!$B$11,'Bouwkost VERB'!$C17,IF($B$4=Bron!$B$12,'Bouwkost IER'!$C16,IF(OR($B$4=Bron!$B$13,$B$4=Bron!$B$14),'Bouwkost VOLT'!$C17,IF($B$4=Bron!$C$16,'Bouwkost AK+VERB'!$C17,0))))))</f>
        <v>0</v>
      </c>
      <c r="D6" s="89">
        <f>IF(OR($D$4=Bron!$B$8,$D$4=Bron!$B$9,$D$4=Bron!$B$15),'Bouwkost NB'!$C18,IF($D$4=Bron!$B$10,'Bouwkost UITB'!$C17,IF($D$4=Bron!$B$11,'Bouwkost VERB'!$C17,IF($D$4=Bron!$B$12,'Bouwkost IER'!$C16,IF(OR($D$4=Bron!$B$13,$D$4=Bron!$B$14),'Bouwkost VOLT'!$C17,IF($D$4=Bron!$C$16,'Bouwkost AK+VERB'!$C17,0))))))</f>
        <v>0</v>
      </c>
      <c r="F6" s="89">
        <f>IF(OR($F$4=Bron!$B$8,$F$4=Bron!$B$9,$F$4=Bron!$B$15),'Bouwkost NB'!$C18,IF($F$4=Bron!$B$10,'Bouwkost UITB'!$C17,IF($F$4=Bron!$B$11,'Bouwkost VERB'!$C17,IF($F$4=Bron!$B$12,'Bouwkost IER'!$C16,IF(OR($F$4=Bron!$B$13,$F$4=Bron!$B$14),'Bouwkost VOLT'!$C17,IF($F$4=Bron!$C$16,'Bouwkost AK+VERB'!$C17,0))))))</f>
        <v>0</v>
      </c>
      <c r="H6" s="89">
        <f>IF(OR($H$4=Bron!$B$8,$H$4=Bron!$B$9,$H$4=Bron!$B$15),'Bouwkost NB'!$C18,IF($H$4=Bron!$B$10,'Bouwkost UITB'!$C17,IF($H$4=Bron!$B$11,'Bouwkost VERB'!$C17,IF($H$4=Bron!$B$12,'Bouwkost IER'!$C16,IF(OR($H$4=Bron!$B$13,$H$4=Bron!$B$14),'Bouwkost VOLT'!$C17,IF($H$4=Bron!$C$16,'Bouwkost AK+VERB'!$C17,0))))))</f>
        <v>0</v>
      </c>
      <c r="J6" s="89">
        <f>IF(OR($J$4=Bron!$B$8,$J$4=Bron!$B$9,$J$4=Bron!$B$15),'Bouwkost NB'!$N18,IF($J$4=Bron!$B$10,'Bouwkost UITB'!$N17,IF($J$4=Bron!$B$11,'Bouwkost VERB'!$N17,IF($J$4=Bron!$B$12,'Bouwkost IER'!$N16,IF(OR($J$4=Bron!$B$13,$J$4=Bron!$B$14),'Bouwkost VOLT'!$N17,IF($J$4=Bron!$C$16,'Bouwkost AK+VERB'!$N17,0))))))</f>
        <v>0</v>
      </c>
      <c r="L6" s="89">
        <f>IF(OR($L$4=Bron!$B$8,$L$4=Bron!$B$9,$L$4=Bron!$B$15),'Bouwkost NB'!$N18,IF($L$4=Bron!$B$10,'Bouwkost UITB'!$N17,IF($L$4=Bron!$B$11,'Bouwkost VERB'!$N17,IF($L$4=Bron!$B$12,'Bouwkost IER'!$N16,IF(OR($L$4=Bron!$B$13,$L$4=Bron!$B$14),'Bouwkost VOLT'!$N17,IF($L$4=Bron!$C$16,'Bouwkost AK+VERB'!$N17,0))))))</f>
        <v>0</v>
      </c>
      <c r="N6" s="89">
        <f>IF(OR($N$4=Bron!$B$8,$N$4=Bron!$B$9,,$N$4=Bron!$B$15),'Bouwkost NB'!$N18,IF($N$4=Bron!$B$10,'Bouwkost UITB'!$N17,IF($N$4=Bron!$B$11,'Bouwkost VERB'!$N17,IF($N$4=Bron!$B$12,'Bouwkost IER'!$N16,IF(OR($N$4=Bron!$B$13,$N$4=Bron!$B$14),'Bouwkost VOLT'!$N17,IF($N$4=Bron!$C$16,'Bouwkost AK+VERB'!$N17,0))))))</f>
        <v>0</v>
      </c>
      <c r="P6" s="89">
        <f>IF(OR($P$4=Bron!$B$8,$P$4=Bron!$B$9,$P$4=Bron!$B$15),'Bouwkost NB'!$N18,IF($P$4=Bron!$B$10,'Bouwkost UITB'!$N17,IF($P$4=Bron!$B$11,'Bouwkost VERB'!$N17,IF($P$4=Bron!$B$12,'Bouwkost IER'!$N16,IF(OR($P$4=Bron!$B$13,$P$4=Bron!$B$14),'Bouwkost VOLT'!$N17,IF($P$4=Bron!$C$16,'Bouwkost AK+VERB'!$N17,0))))))</f>
        <v>0</v>
      </c>
      <c r="R6" s="89">
        <f>IF(OR($R$4=Bron!$B$8,$R$4=Bron!$B$9,$R$4=Bron!$B$15),'Bouwkost NB'!$Y18,IF($R$4=Bron!$B$10,'Bouwkost UITB'!$Y17,IF($R$4=Bron!$B$11,'Bouwkost VERB'!$Y17,IF($R$4=Bron!$B$12,'Bouwkost IER'!$Y16,IF(OR($R$4=Bron!$B$13,$R$4=Bron!$B$14),'Bouwkost VOLT'!$Y17,IF($R$4=Bron!$C$16,'Bouwkost AK+VERB'!$Y17,0))))))</f>
        <v>0</v>
      </c>
      <c r="T6" s="89">
        <f>IF(OR($T$4=Bron!$B$8,$T$4=Bron!$B$9,$T$4=Bron!$B$15),'Bouwkost NB'!$Y18,IF($T$4=Bron!$B$10,'Bouwkost UITB'!$Y17,IF($T$4=Bron!$B$11,'Bouwkost VERB'!$Y17,IF($T$4=Bron!$B$12,'Bouwkost IER'!$Y16,IF(OR($T$4=Bron!$B$13,$T$4=Bron!$B$14),'Bouwkost VOLT'!$Y17,IF($T$4=Bron!$C$16,'Bouwkost AK+VERB'!$Y17,0))))))</f>
        <v>0</v>
      </c>
      <c r="V6" s="89">
        <f>IF(OR($N$4=Bron!$B$8,$N$4=Bron!$B$9,$N$4=Bron!$B$15),'Bouwkost NB'!$Y18,IF($N$4=Bron!$B$10,'Bouwkost UITB'!$Y17,IF($N$4=Bron!$B$11,'Bouwkost VERB'!$Y17,IF($N$4=Bron!$B$12,'Bouwkost IER'!$Y16,IF(OR($N$4=Bron!$B$13,$N$4=Bron!$B$14),'Bouwkost VOLT'!$Y17,IF($N$4=Bron!$C$16,'Bouwkost AK+VERB'!$Y17,0))))))</f>
        <v>0</v>
      </c>
      <c r="X6" s="89">
        <f>IF(OR($X$4=Bron!$B$8,$X$4=Bron!$B$9,$X$4=Bron!$B$15),'Bouwkost NB'!$Y18,IF($X$4=Bron!$B$10,'Bouwkost UITB'!$Y17,IF($X$4=Bron!$B$11,'Bouwkost VERB'!$Y17,IF($X$4=Bron!$B$12,'Bouwkost IER'!$Y16,IF(OR($X$4=Bron!$B$13,$X$4=Bron!$B$14),'Bouwkost VOLT'!$Y17,IF($X$4=Bron!$C$16,'Bouwkost AK+VERB'!$Y17,0))))))</f>
        <v>0</v>
      </c>
    </row>
    <row r="7" spans="1:121" x14ac:dyDescent="0.3">
      <c r="A7" s="640" t="s">
        <v>418</v>
      </c>
      <c r="B7" s="89">
        <f>IF(OR($B$4=Bron!$B$8,$B$4=Bron!$B$9,$B$4=Bron!$B$15),'Bouwkost NB'!$C19,IF($B$4=Bron!$B$10,'Bouwkost UITB'!$C18,IF($B$4=Bron!$B$11,'Bouwkost VERB'!$C18,IF($B$4=Bron!$B$12,'Bouwkost IER'!$C17,IF(OR($B$4=Bron!$B$13,$B$4=Bron!$B$14),'Bouwkost VOLT'!$C18,IF($B$4=Bron!$C$16,'Bouwkost AK+VERB'!$C18,0))))))</f>
        <v>0</v>
      </c>
      <c r="D7" s="89">
        <f>IF(OR($D$4=Bron!$B$8,$D$4=Bron!$B$9,$D$4=Bron!$B$15),'Bouwkost NB'!$C19,IF($D$4=Bron!$B$10,'Bouwkost UITB'!$C18,IF($D$4=Bron!$B$11,'Bouwkost VERB'!$C18,IF($D$4=Bron!$B$12,'Bouwkost IER'!$C17,IF(OR($D$4=Bron!$B$13,$D$4=Bron!$B$14),'Bouwkost VOLT'!$C18,IF($D$4=Bron!$C$16,'Bouwkost AK+VERB'!$C18,0))))))</f>
        <v>0</v>
      </c>
      <c r="F7" s="89">
        <f>IF(OR($F$4=Bron!$B$8,$F$4=Bron!$B$9,$F$4=Bron!$B$15),'Bouwkost NB'!$C19,IF($F$4=Bron!$B$10,'Bouwkost UITB'!$C18,IF($F$4=Bron!$B$11,'Bouwkost VERB'!$C18,IF($F$4=Bron!$B$12,'Bouwkost IER'!$C17,IF(OR($F$4=Bron!$B$13,$F$4=Bron!$B$14),'Bouwkost VOLT'!$C18,IF($F$4=Bron!$C$16,'Bouwkost AK+VERB'!$C18,0))))))</f>
        <v>0</v>
      </c>
      <c r="H7" s="89">
        <f>IF(OR($H$4=Bron!$B$8,$H$4=Bron!$B$9,$H$4=Bron!$B$15),'Bouwkost NB'!$C19,IF($H$4=Bron!$B$10,'Bouwkost UITB'!$C18,IF($H$4=Bron!$B$11,'Bouwkost VERB'!$C18,IF($H$4=Bron!$B$12,'Bouwkost IER'!$C17,IF(OR($H$4=Bron!$B$13,$H$4=Bron!$B$14),'Bouwkost VOLT'!$C18,IF($H$4=Bron!$C$16,'Bouwkost AK+VERB'!$C18,0))))))</f>
        <v>0</v>
      </c>
      <c r="J7" s="89">
        <f>IF(OR($J$4=Bron!$B$8,$J$4=Bron!$B$9,$J$4=Bron!$B$15),'Bouwkost NB'!$N19,IF($J$4=Bron!$B$10,'Bouwkost UITB'!$N18,IF($J$4=Bron!$B$11,'Bouwkost VERB'!$N18,IF($J$4=Bron!$B$12,'Bouwkost IER'!$N17,IF(OR($J$4=Bron!$B$13,$J$4=Bron!$B$14),'Bouwkost VOLT'!$N18,IF($J$4=Bron!$C$16,'Bouwkost AK+VERB'!$N18,0))))))</f>
        <v>0</v>
      </c>
      <c r="L7" s="89">
        <f>IF(OR($L$4=Bron!$B$8,$L$4=Bron!$B$9,$L$4=Bron!$B$15),'Bouwkost NB'!$N19,IF($L$4=Bron!$B$10,'Bouwkost UITB'!$N18,IF($L$4=Bron!$B$11,'Bouwkost VERB'!$N18,IF($L$4=Bron!$B$12,'Bouwkost IER'!$N17,IF(OR($L$4=Bron!$B$13,$L$4=Bron!$B$14),'Bouwkost VOLT'!$N18,IF($L$4=Bron!$C$16,'Bouwkost AK+VERB'!$N18,0))))))</f>
        <v>0</v>
      </c>
      <c r="N7" s="89">
        <f>IF(OR($N$4=Bron!$B$8,$N$4=Bron!$B$9,,$N$4=Bron!$B$15),'Bouwkost NB'!$N19,IF($N$4=Bron!$B$10,'Bouwkost UITB'!$N18,IF($N$4=Bron!$B$11,'Bouwkost VERB'!$N18,IF($N$4=Bron!$B$12,'Bouwkost IER'!$N17,IF(OR($N$4=Bron!$B$13,$N$4=Bron!$B$14),'Bouwkost VOLT'!$N18,IF($N$4=Bron!$C$16,'Bouwkost AK+VERB'!$N18,0))))))</f>
        <v>0</v>
      </c>
      <c r="P7" s="89">
        <f>IF(OR($P$4=Bron!$B$8,$P$4=Bron!$B$9,$P$4=Bron!$B$15),'Bouwkost NB'!$N19,IF($P$4=Bron!$B$10,'Bouwkost UITB'!$N18,IF($P$4=Bron!$B$11,'Bouwkost VERB'!$N18,IF($P$4=Bron!$B$12,'Bouwkost IER'!$N17,IF(OR($P$4=Bron!$B$13,$P$4=Bron!$B$14),'Bouwkost VOLT'!$N18,IF($P$4=Bron!$C$16,'Bouwkost AK+VERB'!$N18,0))))))</f>
        <v>0</v>
      </c>
      <c r="R7" s="89">
        <f>IF(OR($R$4=Bron!$B$8,$R$4=Bron!$B$9,$R$4=Bron!$B$15),'Bouwkost NB'!$Y19,IF($R$4=Bron!$B$10,'Bouwkost UITB'!$Y18,IF($R$4=Bron!$B$11,'Bouwkost VERB'!$Y18,IF($R$4=Bron!$B$12,'Bouwkost IER'!$Y17,IF(OR($R$4=Bron!$B$13,$R$4=Bron!$B$14),'Bouwkost VOLT'!$Y18,IF($R$4=Bron!$C$16,'Bouwkost AK+VERB'!$Y18,0))))))</f>
        <v>0</v>
      </c>
      <c r="T7" s="89">
        <f>IF(OR($T$4=Bron!$B$8,$T$4=Bron!$B$9,$T$4=Bron!$B$15),'Bouwkost NB'!$Y19,IF($T$4=Bron!$B$10,'Bouwkost UITB'!$Y18,IF($T$4=Bron!$B$11,'Bouwkost VERB'!$Y18,IF($T$4=Bron!$B$12,'Bouwkost IER'!$Y17,IF(OR($T$4=Bron!$B$13,$T$4=Bron!$B$14),'Bouwkost VOLT'!$Y18,IF($T$4=Bron!$C$16,'Bouwkost AK+VERB'!$Y18,0))))))</f>
        <v>0</v>
      </c>
      <c r="V7" s="89">
        <f>IF(OR($N$4=Bron!$B$8,$N$4=Bron!$B$9,$N$4=Bron!$B$15),'Bouwkost NB'!$Y19,IF($N$4=Bron!$B$10,'Bouwkost UITB'!$Y18,IF($N$4=Bron!$B$11,'Bouwkost VERB'!$Y18,IF($N$4=Bron!$B$12,'Bouwkost IER'!$Y17,IF(OR($N$4=Bron!$B$13,$N$4=Bron!$B$14),'Bouwkost VOLT'!$Y18,IF($N$4=Bron!$C$16,'Bouwkost AK+VERB'!$Y18,0))))))</f>
        <v>0</v>
      </c>
      <c r="X7" s="89">
        <f>IF(OR($X$4=Bron!$B$8,$X$4=Bron!$B$9,$X$4=Bron!$B$15),'Bouwkost NB'!$Y19,IF($X$4=Bron!$B$10,'Bouwkost UITB'!$Y18,IF($X$4=Bron!$B$11,'Bouwkost VERB'!$Y18,IF($X$4=Bron!$B$12,'Bouwkost IER'!$Y17,IF(OR($X$4=Bron!$B$13,$X$4=Bron!$B$14),'Bouwkost VOLT'!$Y18,IF($X$4=Bron!$C$16,'Bouwkost AK+VERB'!$Y18,0))))))</f>
        <v>0</v>
      </c>
    </row>
    <row r="8" spans="1:121" x14ac:dyDescent="0.3">
      <c r="A8" s="640" t="s">
        <v>419</v>
      </c>
      <c r="B8" s="89">
        <f>IF(OR($B$4=Bron!$B$8,$B$4=Bron!$B$9,$B$4=Bron!$B$15),'Bouwkost NB'!$C20,IF($B$4=Bron!$B$10,'Bouwkost UITB'!$C19,IF($B$4=Bron!$B$11,'Bouwkost VERB'!$C19,IF($B$4=Bron!$B$12,'Bouwkost IER'!$C18,IF(OR($B$4=Bron!$B$13,$B$4=Bron!$B$14),'Bouwkost VOLT'!$C19,IF($B$4=Bron!$C$16,'Bouwkost AK+VERB'!$C19,0))))))</f>
        <v>0</v>
      </c>
      <c r="D8" s="89">
        <f>IF(OR($D$4=Bron!$B$8,$D$4=Bron!$B$9,$D$4=Bron!$B$15),'Bouwkost NB'!$C20,IF($D$4=Bron!$B$10,'Bouwkost UITB'!$C19,IF($D$4=Bron!$B$11,'Bouwkost VERB'!$C19,IF($D$4=Bron!$B$12,'Bouwkost IER'!$C18,IF(OR($D$4=Bron!$B$13,$D$4=Bron!$B$14),'Bouwkost VOLT'!$C19,IF($D$4=Bron!$C$16,'Bouwkost AK+VERB'!$C19,0))))))</f>
        <v>0</v>
      </c>
      <c r="F8" s="89">
        <f>IF(OR($F$4=Bron!$B$8,$F$4=Bron!$B$9,$F$4=Bron!$B$15),'Bouwkost NB'!$C20,IF($F$4=Bron!$B$10,'Bouwkost UITB'!$C19,IF($F$4=Bron!$B$11,'Bouwkost VERB'!$C19,IF($F$4=Bron!$B$12,'Bouwkost IER'!$C18,IF(OR($F$4=Bron!$B$13,$F$4=Bron!$B$14),'Bouwkost VOLT'!$C19,IF($F$4=Bron!$C$16,'Bouwkost AK+VERB'!$C19,0))))))</f>
        <v>0</v>
      </c>
      <c r="H8" s="89">
        <f>IF(OR($H$4=Bron!$B$8,$H$4=Bron!$B$9,$H$4=Bron!$B$15),'Bouwkost NB'!$C20,IF($H$4=Bron!$B$10,'Bouwkost UITB'!$C19,IF($H$4=Bron!$B$11,'Bouwkost VERB'!$C19,IF($H$4=Bron!$B$12,'Bouwkost IER'!$C18,IF(OR($H$4=Bron!$B$13,$H$4=Bron!$B$14),'Bouwkost VOLT'!$C19,IF($H$4=Bron!$C$16,'Bouwkost AK+VERB'!$C19,0))))))</f>
        <v>0</v>
      </c>
      <c r="J8" s="89">
        <f>IF(OR($J$4=Bron!$B$8,$J$4=Bron!$B$9,$J$4=Bron!$B$15),'Bouwkost NB'!$N20,IF($J$4=Bron!$B$10,'Bouwkost UITB'!$N19,IF($J$4=Bron!$B$11,'Bouwkost VERB'!$N19,IF($J$4=Bron!$B$12,'Bouwkost IER'!$N18,IF(OR($J$4=Bron!$B$13,$J$4=Bron!$B$14),'Bouwkost VOLT'!$N19,IF($J$4=Bron!$C$16,'Bouwkost AK+VERB'!$N19,0))))))</f>
        <v>0</v>
      </c>
      <c r="L8" s="89">
        <f>IF(OR($L$4=Bron!$B$8,$L$4=Bron!$B$9,$L$4=Bron!$B$15),'Bouwkost NB'!$N20,IF($L$4=Bron!$B$10,'Bouwkost UITB'!$N19,IF($L$4=Bron!$B$11,'Bouwkost VERB'!$N19,IF($L$4=Bron!$B$12,'Bouwkost IER'!$N18,IF(OR($L$4=Bron!$B$13,$L$4=Bron!$B$14),'Bouwkost VOLT'!$N19,IF($L$4=Bron!$C$16,'Bouwkost AK+VERB'!$N19,0))))))</f>
        <v>0</v>
      </c>
      <c r="N8" s="89">
        <f>IF(OR($N$4=Bron!$B$8,$N$4=Bron!$B$9,,$N$4=Bron!$B$15),'Bouwkost NB'!$N20,IF($N$4=Bron!$B$10,'Bouwkost UITB'!$N19,IF($N$4=Bron!$B$11,'Bouwkost VERB'!$N19,IF($N$4=Bron!$B$12,'Bouwkost IER'!$N18,IF(OR($N$4=Bron!$B$13,$N$4=Bron!$B$14),'Bouwkost VOLT'!$N19,IF($N$4=Bron!$C$16,'Bouwkost AK+VERB'!$N19,0))))))</f>
        <v>0</v>
      </c>
      <c r="P8" s="89">
        <f>IF(OR($P$4=Bron!$B$8,$P$4=Bron!$B$9,$P$4=Bron!$B$15),'Bouwkost NB'!$N20,IF($P$4=Bron!$B$10,'Bouwkost UITB'!$N19,IF($P$4=Bron!$B$11,'Bouwkost VERB'!$N19,IF($P$4=Bron!$B$12,'Bouwkost IER'!$N18,IF(OR($P$4=Bron!$B$13,$P$4=Bron!$B$14),'Bouwkost VOLT'!$N19,IF($P$4=Bron!$C$16,'Bouwkost AK+VERB'!$N19,0))))))</f>
        <v>0</v>
      </c>
      <c r="R8" s="89">
        <f>IF(OR($R$4=Bron!$B$8,$R$4=Bron!$B$9,$R$4=Bron!$B$15),'Bouwkost NB'!$Y20,IF($R$4=Bron!$B$10,'Bouwkost UITB'!$Y19,IF($R$4=Bron!$B$11,'Bouwkost VERB'!$Y19,IF($R$4=Bron!$B$12,'Bouwkost IER'!$Y18,IF(OR($R$4=Bron!$B$13,$R$4=Bron!$B$14),'Bouwkost VOLT'!$Y19,IF($R$4=Bron!$C$16,'Bouwkost AK+VERB'!$Y19,0))))))</f>
        <v>0</v>
      </c>
      <c r="T8" s="89">
        <f>IF(OR($T$4=Bron!$B$8,$T$4=Bron!$B$9,$T$4=Bron!$B$15),'Bouwkost NB'!$Y20,IF($T$4=Bron!$B$10,'Bouwkost UITB'!$Y19,IF($T$4=Bron!$B$11,'Bouwkost VERB'!$Y19,IF($T$4=Bron!$B$12,'Bouwkost IER'!$Y18,IF(OR($T$4=Bron!$B$13,$T$4=Bron!$B$14),'Bouwkost VOLT'!$Y19,IF($T$4=Bron!$C$16,'Bouwkost AK+VERB'!$Y19,0))))))</f>
        <v>0</v>
      </c>
      <c r="V8" s="89">
        <f>IF(OR($N$4=Bron!$B$8,$N$4=Bron!$B$9,$N$4=Bron!$B$15),'Bouwkost NB'!$Y20,IF($N$4=Bron!$B$10,'Bouwkost UITB'!$Y19,IF($N$4=Bron!$B$11,'Bouwkost VERB'!$Y19,IF($N$4=Bron!$B$12,'Bouwkost IER'!$Y18,IF(OR($N$4=Bron!$B$13,$N$4=Bron!$B$14),'Bouwkost VOLT'!$Y19,IF($N$4=Bron!$C$16,'Bouwkost AK+VERB'!$Y19,0))))))</f>
        <v>0</v>
      </c>
      <c r="X8" s="89">
        <f>IF(OR($X$4=Bron!$B$8,$X$4=Bron!$B$9,$X$4=Bron!$B$15),'Bouwkost NB'!$Y20,IF($X$4=Bron!$B$10,'Bouwkost UITB'!$Y19,IF($X$4=Bron!$B$11,'Bouwkost VERB'!$Y19,IF($X$4=Bron!$B$12,'Bouwkost IER'!$Y18,IF(OR($X$4=Bron!$B$13,$X$4=Bron!$B$14),'Bouwkost VOLT'!$Y19,IF($X$4=Bron!$C$16,'Bouwkost AK+VERB'!$Y19,0))))))</f>
        <v>0</v>
      </c>
    </row>
    <row r="9" spans="1:121" x14ac:dyDescent="0.3">
      <c r="A9" s="336" t="s">
        <v>420</v>
      </c>
      <c r="B9" s="89">
        <f>IF(OR($B$4=Bron!$B$8,$B$4=Bron!$B$9,$B$4=Bron!$B$15),'Bouwkost NB'!$C21,IF($B$4=Bron!$B$10,'Bouwkost UITB'!$C20,IF($B$4=Bron!$B$11,'Bouwkost VERB'!$C20,IF($B$4=Bron!$B$12,'Bouwkost IER'!$C19,IF(OR($B$4=Bron!$B$13,$B$4=Bron!$B$14),'Bouwkost VOLT'!$C20,IF($B$4=Bron!$C$16,'Bouwkost AK+VERB'!$C20,0))))))</f>
        <v>0</v>
      </c>
      <c r="D9" s="89">
        <f>IF(OR($D$4=Bron!$B$8,$D$4=Bron!$B$9,$D$4=Bron!$B$15),'Bouwkost NB'!$C21,IF($D$4=Bron!$B$10,'Bouwkost UITB'!$C20,IF($D$4=Bron!$B$11,'Bouwkost VERB'!$C20,IF($D$4=Bron!$B$12,'Bouwkost IER'!$C19,IF(OR($D$4=Bron!$B$13,$D$4=Bron!$B$14),'Bouwkost VOLT'!$C20,IF($D$4=Bron!$C$16,'Bouwkost AK+VERB'!$C20,0))))))</f>
        <v>0</v>
      </c>
      <c r="F9" s="89">
        <f>IF(OR($F$4=Bron!$B$8,$F$4=Bron!$B$9,$F$4=Bron!$B$15),'Bouwkost NB'!$C21,IF($F$4=Bron!$B$10,'Bouwkost UITB'!$C20,IF($F$4=Bron!$B$11,'Bouwkost VERB'!$C20,IF($F$4=Bron!$B$12,'Bouwkost IER'!$C19,IF(OR($F$4=Bron!$B$13,$F$4=Bron!$B$14),'Bouwkost VOLT'!$C20,IF($F$4=Bron!$C$16,'Bouwkost AK+VERB'!$C20,0))))))</f>
        <v>0</v>
      </c>
      <c r="H9" s="89">
        <f>IF(OR($H$4=Bron!$B$8,$H$4=Bron!$B$9,$H$4=Bron!$B$15),'Bouwkost NB'!$C21,IF($H$4=Bron!$B$10,'Bouwkost UITB'!$C20,IF($H$4=Bron!$B$11,'Bouwkost VERB'!$C20,IF($H$4=Bron!$B$12,'Bouwkost IER'!$C19,IF(OR($H$4=Bron!$B$13,$H$4=Bron!$B$14),'Bouwkost VOLT'!$C20,IF($H$4=Bron!$C$16,'Bouwkost AK+VERB'!$C20,0))))))</f>
        <v>0</v>
      </c>
      <c r="J9" s="89">
        <f>IF(OR($J$4=Bron!$B$8,$J$4=Bron!$B$9,$J$4=Bron!$B$15),'Bouwkost NB'!$N21,IF($J$4=Bron!$B$10,'Bouwkost UITB'!$N20,IF($J$4=Bron!$B$11,'Bouwkost VERB'!$N20,IF($J$4=Bron!$B$12,'Bouwkost IER'!$N19,IF(OR($J$4=Bron!$B$13,$J$4=Bron!$B$14),'Bouwkost VOLT'!$N20,IF($J$4=Bron!$C$16,'Bouwkost AK+VERB'!$N20,0))))))</f>
        <v>0</v>
      </c>
      <c r="L9" s="89">
        <f>IF(OR($L$4=Bron!$B$8,$L$4=Bron!$B$9,$L$4=Bron!$B$15),'Bouwkost NB'!$N21,IF($L$4=Bron!$B$10,'Bouwkost UITB'!$N20,IF($L$4=Bron!$B$11,'Bouwkost VERB'!$N20,IF($L$4=Bron!$B$12,'Bouwkost IER'!$N19,IF(OR($L$4=Bron!$B$13,$L$4=Bron!$B$14),'Bouwkost VOLT'!$N20,IF($L$4=Bron!$C$16,'Bouwkost AK+VERB'!$N20,0))))))</f>
        <v>0</v>
      </c>
      <c r="N9" s="89">
        <f>IF(OR($N$4=Bron!$B$8,$N$4=Bron!$B$9,,$N$4=Bron!$B$15),'Bouwkost NB'!$N21,IF($N$4=Bron!$B$10,'Bouwkost UITB'!$N20,IF($N$4=Bron!$B$11,'Bouwkost VERB'!$N20,IF($N$4=Bron!$B$12,'Bouwkost IER'!$N19,IF(OR($N$4=Bron!$B$13,$N$4=Bron!$B$14),'Bouwkost VOLT'!$N20,IF($N$4=Bron!$C$16,'Bouwkost AK+VERB'!$N20,0))))))</f>
        <v>0</v>
      </c>
      <c r="P9" s="89">
        <f>IF(OR($P$4=Bron!$B$8,$P$4=Bron!$B$9,$P$4=Bron!$B$15),'Bouwkost NB'!$N21,IF($P$4=Bron!$B$10,'Bouwkost UITB'!$N20,IF($P$4=Bron!$B$11,'Bouwkost VERB'!$N20,IF($P$4=Bron!$B$12,'Bouwkost IER'!$N19,IF(OR($P$4=Bron!$B$13,$P$4=Bron!$B$14),'Bouwkost VOLT'!$N20,IF($P$4=Bron!$C$16,'Bouwkost AK+VERB'!$N20,0))))))</f>
        <v>0</v>
      </c>
      <c r="R9" s="89">
        <f>IF(OR($R$4=Bron!$B$8,$R$4=Bron!$B$9,$R$4=Bron!$B$15),'Bouwkost NB'!$Y21,IF($R$4=Bron!$B$10,'Bouwkost UITB'!$Y20,IF($R$4=Bron!$B$11,'Bouwkost VERB'!$Y20,IF($R$4=Bron!$B$12,'Bouwkost IER'!$Y19,IF(OR($R$4=Bron!$B$13,$R$4=Bron!$B$14),'Bouwkost VOLT'!$Y20,IF($R$4=Bron!$C$16,'Bouwkost AK+VERB'!$Y20,0))))))</f>
        <v>0</v>
      </c>
      <c r="T9" s="89">
        <f>IF(OR($T$4=Bron!$B$8,$T$4=Bron!$B$9,$T$4=Bron!$B$15),'Bouwkost NB'!$Y21,IF($T$4=Bron!$B$10,'Bouwkost UITB'!$Y20,IF($T$4=Bron!$B$11,'Bouwkost VERB'!$Y20,IF($T$4=Bron!$B$12,'Bouwkost IER'!$Y19,IF(OR($T$4=Bron!$B$13,$T$4=Bron!$B$14),'Bouwkost VOLT'!$Y20,IF($T$4=Bron!$C$16,'Bouwkost AK+VERB'!$Y20,0))))))</f>
        <v>0</v>
      </c>
      <c r="V9" s="89">
        <f>IF(OR($N$4=Bron!$B$8,$N$4=Bron!$B$9,$N$4=Bron!$B$15),'Bouwkost NB'!$Y21,IF($N$4=Bron!$B$10,'Bouwkost UITB'!$Y20,IF($N$4=Bron!$B$11,'Bouwkost VERB'!$Y20,IF($N$4=Bron!$B$12,'Bouwkost IER'!$Y19,IF(OR($N$4=Bron!$B$13,$N$4=Bron!$B$14),'Bouwkost VOLT'!$Y20,IF($N$4=Bron!$C$16,'Bouwkost AK+VERB'!$Y20,0))))))</f>
        <v>0</v>
      </c>
      <c r="X9" s="89">
        <f>IF(OR($X$4=Bron!$B$8,$X$4=Bron!$B$9,$X$4=Bron!$B$15),'Bouwkost NB'!$Y21,IF($X$4=Bron!$B$10,'Bouwkost UITB'!$Y20,IF($X$4=Bron!$B$11,'Bouwkost VERB'!$Y20,IF($X$4=Bron!$B$12,'Bouwkost IER'!$Y19,IF(OR($X$4=Bron!$B$13,$X$4=Bron!$B$14),'Bouwkost VOLT'!$Y20,IF($X$4=Bron!$C$16,'Bouwkost AK+VERB'!$Y20,0))))))</f>
        <v>0</v>
      </c>
    </row>
    <row r="10" spans="1:121" x14ac:dyDescent="0.3">
      <c r="A10" s="640" t="s">
        <v>421</v>
      </c>
      <c r="B10" s="89">
        <f>IF(OR($B$4=Bron!$B$8,$B$4=Bron!$B$9,$B$4=Bron!$B$15),'Bouwkost NB'!$C22,IF($B$4=Bron!$B$10,'Bouwkost UITB'!$C21,IF($B$4=Bron!$B$11,'Bouwkost VERB'!$C21,IF($B$4=Bron!$B$12,'Bouwkost IER'!$C20,IF(OR($B$4=Bron!$B$13,$B$4=Bron!$B$14),'Bouwkost VOLT'!$C21,IF($B$4=Bron!$C$16,'Bouwkost AK+VERB'!$C21,0))))))</f>
        <v>0</v>
      </c>
      <c r="D10" s="89">
        <f>IF(OR($D$4=Bron!$B$8,$D$4=Bron!$B$9,$D$4=Bron!$B$15),'Bouwkost NB'!$C22,IF($D$4=Bron!$B$10,'Bouwkost UITB'!$C21,IF($D$4=Bron!$B$11,'Bouwkost VERB'!$C21,IF($D$4=Bron!$B$12,'Bouwkost IER'!$C20,IF(OR($D$4=Bron!$B$13,$D$4=Bron!$B$14),'Bouwkost VOLT'!$C21,IF($D$4=Bron!$C$16,'Bouwkost AK+VERB'!$C21,0))))))</f>
        <v>0</v>
      </c>
      <c r="F10" s="89">
        <f>IF(OR($F$4=Bron!$B$8,$F$4=Bron!$B$9,$F$4=Bron!$B$15),'Bouwkost NB'!$C22,IF($F$4=Bron!$B$10,'Bouwkost UITB'!$C21,IF($F$4=Bron!$B$11,'Bouwkost VERB'!$C21,IF($F$4=Bron!$B$12,'Bouwkost IER'!$C20,IF(OR($F$4=Bron!$B$13,$F$4=Bron!$B$14),'Bouwkost VOLT'!$C21,IF($F$4=Bron!$C$16,'Bouwkost AK+VERB'!$C21,0))))))</f>
        <v>0</v>
      </c>
      <c r="H10" s="89">
        <f>IF(OR($H$4=Bron!$B$8,$H$4=Bron!$B$9,$H$4=Bron!$B$15),'Bouwkost NB'!$C22,IF($H$4=Bron!$B$10,'Bouwkost UITB'!$C21,IF($H$4=Bron!$B$11,'Bouwkost VERB'!$C21,IF($H$4=Bron!$B$12,'Bouwkost IER'!$C20,IF(OR($H$4=Bron!$B$13,$H$4=Bron!$B$14),'Bouwkost VOLT'!$C21,IF($H$4=Bron!$C$16,'Bouwkost AK+VERB'!$C21,0))))))</f>
        <v>0</v>
      </c>
      <c r="J10" s="89">
        <f>IF(OR($J$4=Bron!$B$8,$J$4=Bron!$B$9,$J$4=Bron!$B$15),'Bouwkost NB'!$N22,IF($J$4=Bron!$B$10,'Bouwkost UITB'!$N21,IF($J$4=Bron!$B$11,'Bouwkost VERB'!$N21,IF($J$4=Bron!$B$12,'Bouwkost IER'!$N20,IF(OR($J$4=Bron!$B$13,$J$4=Bron!$B$14),'Bouwkost VOLT'!$N21,IF($J$4=Bron!$C$16,'Bouwkost AK+VERB'!$N21,0))))))</f>
        <v>0</v>
      </c>
      <c r="L10" s="89">
        <f>IF(OR($L$4=Bron!$B$8,$L$4=Bron!$B$9,$L$4=Bron!$B$15),'Bouwkost NB'!$N22,IF($L$4=Bron!$B$10,'Bouwkost UITB'!$N21,IF($L$4=Bron!$B$11,'Bouwkost VERB'!$N21,IF($L$4=Bron!$B$12,'Bouwkost IER'!$N20,IF(OR($L$4=Bron!$B$13,$L$4=Bron!$B$14),'Bouwkost VOLT'!$N21,IF($L$4=Bron!$C$16,'Bouwkost AK+VERB'!$N21,0))))))</f>
        <v>0</v>
      </c>
      <c r="N10" s="89">
        <f>IF(OR($N$4=Bron!$B$8,$N$4=Bron!$B$9,,$N$4=Bron!$B$15),'Bouwkost NB'!$N22,IF($N$4=Bron!$B$10,'Bouwkost UITB'!$N21,IF($N$4=Bron!$B$11,'Bouwkost VERB'!$N21,IF($N$4=Bron!$B$12,'Bouwkost IER'!$N20,IF(OR($N$4=Bron!$B$13,$N$4=Bron!$B$14),'Bouwkost VOLT'!$N21,IF($N$4=Bron!$C$16,'Bouwkost AK+VERB'!$N21,0))))))</f>
        <v>0</v>
      </c>
      <c r="P10" s="89">
        <f>IF(OR($P$4=Bron!$B$8,$P$4=Bron!$B$9,$P$4=Bron!$B$15),'Bouwkost NB'!$N22,IF($P$4=Bron!$B$10,'Bouwkost UITB'!$N21,IF($P$4=Bron!$B$11,'Bouwkost VERB'!$N21,IF($P$4=Bron!$B$12,'Bouwkost IER'!$N20,IF(OR($P$4=Bron!$B$13,$P$4=Bron!$B$14),'Bouwkost VOLT'!$N21,IF($P$4=Bron!$C$16,'Bouwkost AK+VERB'!$N21,0))))))</f>
        <v>0</v>
      </c>
      <c r="R10" s="89">
        <f>IF(OR($R$4=Bron!$B$8,$R$4=Bron!$B$9,$R$4=Bron!$B$15),'Bouwkost NB'!$Y22,IF($R$4=Bron!$B$10,'Bouwkost UITB'!$Y21,IF($R$4=Bron!$B$11,'Bouwkost VERB'!$Y21,IF($R$4=Bron!$B$12,'Bouwkost IER'!$Y20,IF(OR($R$4=Bron!$B$13,$R$4=Bron!$B$14),'Bouwkost VOLT'!$Y21,IF($R$4=Bron!$C$16,'Bouwkost AK+VERB'!$Y21,0))))))</f>
        <v>0</v>
      </c>
      <c r="T10" s="89">
        <f>IF(OR($T$4=Bron!$B$8,$T$4=Bron!$B$9,$T$4=Bron!$B$15),'Bouwkost NB'!$Y22,IF($T$4=Bron!$B$10,'Bouwkost UITB'!$Y21,IF($T$4=Bron!$B$11,'Bouwkost VERB'!$Y21,IF($T$4=Bron!$B$12,'Bouwkost IER'!$Y20,IF(OR($T$4=Bron!$B$13,$T$4=Bron!$B$14),'Bouwkost VOLT'!$Y21,IF($T$4=Bron!$C$16,'Bouwkost AK+VERB'!$Y21,0))))))</f>
        <v>0</v>
      </c>
      <c r="V10" s="89">
        <f>IF(OR($N$4=Bron!$B$8,$N$4=Bron!$B$9,$N$4=Bron!$B$15),'Bouwkost NB'!$Y22,IF($N$4=Bron!$B$10,'Bouwkost UITB'!$Y21,IF($N$4=Bron!$B$11,'Bouwkost VERB'!$Y21,IF($N$4=Bron!$B$12,'Bouwkost IER'!$Y20,IF(OR($N$4=Bron!$B$13,$N$4=Bron!$B$14),'Bouwkost VOLT'!$Y21,IF($N$4=Bron!$C$16,'Bouwkost AK+VERB'!$Y21,0))))))</f>
        <v>0</v>
      </c>
      <c r="X10" s="89">
        <f>IF(OR($X$4=Bron!$B$8,$X$4=Bron!$B$9,$X$4=Bron!$B$15),'Bouwkost NB'!$Y22,IF($X$4=Bron!$B$10,'Bouwkost UITB'!$Y21,IF($X$4=Bron!$B$11,'Bouwkost VERB'!$Y21,IF($X$4=Bron!$B$12,'Bouwkost IER'!$Y20,IF(OR($X$4=Bron!$B$13,$X$4=Bron!$B$14),'Bouwkost VOLT'!$Y21,IF($X$4=Bron!$C$16,'Bouwkost AK+VERB'!$Y21,0))))))</f>
        <v>0</v>
      </c>
    </row>
    <row r="11" spans="1:121" x14ac:dyDescent="0.3">
      <c r="A11" s="640" t="s">
        <v>422</v>
      </c>
      <c r="B11" s="89">
        <f>IF(OR($B$4=Bron!$B$8,$B$4=Bron!$B$9,$B$4=Bron!$B$15),'Bouwkost NB'!$C23,IF($B$4=Bron!$B$10,'Bouwkost UITB'!$C22,IF($B$4=Bron!$B$11,'Bouwkost VERB'!$C22,IF($B$4=Bron!$B$12,'Bouwkost IER'!$C21,IF(OR($B$4=Bron!$B$13,$B$4=Bron!$B$14),'Bouwkost VOLT'!$C22,IF($B$4=Bron!$C$16,'Bouwkost AK+VERB'!$C22,0))))))</f>
        <v>0</v>
      </c>
      <c r="D11" s="89">
        <f>IF(OR($D$4=Bron!$B$8,$D$4=Bron!$B$9,$D$4=Bron!$B$15),'Bouwkost NB'!$C23,IF($D$4=Bron!$B$10,'Bouwkost UITB'!$C22,IF($D$4=Bron!$B$11,'Bouwkost VERB'!$C22,IF($D$4=Bron!$B$12,'Bouwkost IER'!$C21,IF(OR($D$4=Bron!$B$13,$D$4=Bron!$B$14),'Bouwkost VOLT'!$C22,IF($D$4=Bron!$C$16,'Bouwkost AK+VERB'!$C22,0))))))</f>
        <v>0</v>
      </c>
      <c r="F11" s="89">
        <f>IF(OR($F$4=Bron!$B$8,$F$4=Bron!$B$9,$F$4=Bron!$B$15),'Bouwkost NB'!$C23,IF($F$4=Bron!$B$10,'Bouwkost UITB'!$C22,IF($F$4=Bron!$B$11,'Bouwkost VERB'!$C22,IF($F$4=Bron!$B$12,'Bouwkost IER'!$C21,IF(OR($F$4=Bron!$B$13,$F$4=Bron!$B$14),'Bouwkost VOLT'!$C22,IF($F$4=Bron!$C$16,'Bouwkost AK+VERB'!$C22,0))))))</f>
        <v>0</v>
      </c>
      <c r="H11" s="89">
        <f>IF(OR($H$4=Bron!$B$8,$H$4=Bron!$B$9,$H$4=Bron!$B$15),'Bouwkost NB'!$C23,IF($H$4=Bron!$B$10,'Bouwkost UITB'!$C22,IF($H$4=Bron!$B$11,'Bouwkost VERB'!$C22,IF($H$4=Bron!$B$12,'Bouwkost IER'!$C21,IF(OR($H$4=Bron!$B$13,$H$4=Bron!$B$14),'Bouwkost VOLT'!$C22,IF($H$4=Bron!$C$16,'Bouwkost AK+VERB'!$C22,0))))))</f>
        <v>0</v>
      </c>
      <c r="J11" s="89">
        <f>IF(OR($J$4=Bron!$B$8,$J$4=Bron!$B$9,$J$4=Bron!$B$15),'Bouwkost NB'!$N23,IF($J$4=Bron!$B$10,'Bouwkost UITB'!$N22,IF($J$4=Bron!$B$11,'Bouwkost VERB'!$N22,IF($J$4=Bron!$B$12,'Bouwkost IER'!$N21,IF(OR($J$4=Bron!$B$13,$J$4=Bron!$B$14),'Bouwkost VOLT'!$N22,IF($J$4=Bron!$C$16,'Bouwkost AK+VERB'!$N22,0))))))</f>
        <v>0</v>
      </c>
      <c r="L11" s="89">
        <f>IF(OR($L$4=Bron!$B$8,$L$4=Bron!$B$9,$L$4=Bron!$B$15),'Bouwkost NB'!$N23,IF($L$4=Bron!$B$10,'Bouwkost UITB'!$N22,IF($L$4=Bron!$B$11,'Bouwkost VERB'!$N22,IF($L$4=Bron!$B$12,'Bouwkost IER'!$N21,IF(OR($L$4=Bron!$B$13,$L$4=Bron!$B$14),'Bouwkost VOLT'!$N22,IF($L$4=Bron!$C$16,'Bouwkost AK+VERB'!$N22,0))))))</f>
        <v>0</v>
      </c>
      <c r="N11" s="89">
        <f>IF(OR($N$4=Bron!$B$8,$N$4=Bron!$B$9,,$N$4=Bron!$B$15),'Bouwkost NB'!$N23,IF($N$4=Bron!$B$10,'Bouwkost UITB'!$N22,IF($N$4=Bron!$B$11,'Bouwkost VERB'!$N22,IF($N$4=Bron!$B$12,'Bouwkost IER'!$N21,IF(OR($N$4=Bron!$B$13,$N$4=Bron!$B$14),'Bouwkost VOLT'!$N22,IF($N$4=Bron!$C$16,'Bouwkost AK+VERB'!$N22,0))))))</f>
        <v>0</v>
      </c>
      <c r="P11" s="89">
        <f>IF(OR($P$4=Bron!$B$8,$P$4=Bron!$B$9,$P$4=Bron!$B$15),'Bouwkost NB'!$N23,IF($P$4=Bron!$B$10,'Bouwkost UITB'!$N22,IF($P$4=Bron!$B$11,'Bouwkost VERB'!$N22,IF($P$4=Bron!$B$12,'Bouwkost IER'!$N21,IF(OR($P$4=Bron!$B$13,$P$4=Bron!$B$14),'Bouwkost VOLT'!$N22,IF($P$4=Bron!$C$16,'Bouwkost AK+VERB'!$N22,0))))))</f>
        <v>0</v>
      </c>
      <c r="R11" s="89">
        <f>IF(OR($R$4=Bron!$B$8,$R$4=Bron!$B$9,$R$4=Bron!$B$15),'Bouwkost NB'!$Y23,IF($R$4=Bron!$B$10,'Bouwkost UITB'!$Y22,IF($R$4=Bron!$B$11,'Bouwkost VERB'!$Y22,IF($R$4=Bron!$B$12,'Bouwkost IER'!$Y21,IF(OR($R$4=Bron!$B$13,$R$4=Bron!$B$14),'Bouwkost VOLT'!$Y22,IF($R$4=Bron!$C$16,'Bouwkost AK+VERB'!$Y22,0))))))</f>
        <v>0</v>
      </c>
      <c r="T11" s="89">
        <f>IF(OR($T$4=Bron!$B$8,$T$4=Bron!$B$9,$T$4=Bron!$B$15),'Bouwkost NB'!$Y23,IF($T$4=Bron!$B$10,'Bouwkost UITB'!$Y22,IF($T$4=Bron!$B$11,'Bouwkost VERB'!$Y22,IF($T$4=Bron!$B$12,'Bouwkost IER'!$Y21,IF(OR($T$4=Bron!$B$13,$T$4=Bron!$B$14),'Bouwkost VOLT'!$Y22,IF($T$4=Bron!$C$16,'Bouwkost AK+VERB'!$Y22,0))))))</f>
        <v>0</v>
      </c>
      <c r="V11" s="89">
        <f>IF(OR($N$4=Bron!$B$8,$N$4=Bron!$B$9,$N$4=Bron!$B$15),'Bouwkost NB'!$Y23,IF($N$4=Bron!$B$10,'Bouwkost UITB'!$Y22,IF($N$4=Bron!$B$11,'Bouwkost VERB'!$Y22,IF($N$4=Bron!$B$12,'Bouwkost IER'!$Y21,IF(OR($N$4=Bron!$B$13,$N$4=Bron!$B$14),'Bouwkost VOLT'!$Y22,IF($N$4=Bron!$C$16,'Bouwkost AK+VERB'!$Y22,0))))))</f>
        <v>0</v>
      </c>
      <c r="X11" s="89">
        <f>IF(OR($X$4=Bron!$B$8,$X$4=Bron!$B$9,$X$4=Bron!$B$15),'Bouwkost NB'!$Y23,IF($X$4=Bron!$B$10,'Bouwkost UITB'!$Y22,IF($X$4=Bron!$B$11,'Bouwkost VERB'!$Y22,IF($X$4=Bron!$B$12,'Bouwkost IER'!$Y21,IF(OR($X$4=Bron!$B$13,$X$4=Bron!$B$14),'Bouwkost VOLT'!$Y22,IF($X$4=Bron!$C$16,'Bouwkost AK+VERB'!$Y22,0))))))</f>
        <v>0</v>
      </c>
    </row>
    <row r="12" spans="1:121" x14ac:dyDescent="0.3">
      <c r="A12" s="640" t="s">
        <v>423</v>
      </c>
      <c r="B12" s="89">
        <f>IF(OR($B$4=Bron!$B$8,$B$4=Bron!$B$9,$B$4=Bron!$B$15),'Bouwkost NB'!$C24,IF($B$4=Bron!$B$10,'Bouwkost UITB'!$C23,IF($B$4=Bron!$B$11,'Bouwkost VERB'!$C23,IF($B$4=Bron!$B$12,'Bouwkost IER'!$C22,IF(OR($B$4=Bron!$B$13,$B$4=Bron!$B$14),'Bouwkost VOLT'!$C23,IF($B$4=Bron!$C$16,'Bouwkost AK+VERB'!$C23,0))))))</f>
        <v>0</v>
      </c>
      <c r="D12" s="89">
        <f>IF(OR($D$4=Bron!$B$8,$D$4=Bron!$B$9,$D$4=Bron!$B$15),'Bouwkost NB'!$C24,IF($D$4=Bron!$B$10,'Bouwkost UITB'!$C23,IF($D$4=Bron!$B$11,'Bouwkost VERB'!$C23,IF($D$4=Bron!$B$12,'Bouwkost IER'!$C22,IF(OR($D$4=Bron!$B$13,$D$4=Bron!$B$14),'Bouwkost VOLT'!$C23,IF($D$4=Bron!$C$16,'Bouwkost AK+VERB'!$C23,0))))))</f>
        <v>0</v>
      </c>
      <c r="F12" s="89">
        <f>IF(OR($F$4=Bron!$B$8,$F$4=Bron!$B$9,$F$4=Bron!$B$15),'Bouwkost NB'!$C24,IF($F$4=Bron!$B$10,'Bouwkost UITB'!$C23,IF($F$4=Bron!$B$11,'Bouwkost VERB'!$C23,IF($F$4=Bron!$B$12,'Bouwkost IER'!$C22,IF(OR($F$4=Bron!$B$13,$F$4=Bron!$B$14),'Bouwkost VOLT'!$C23,IF($F$4=Bron!$C$16,'Bouwkost AK+VERB'!$C23,0))))))</f>
        <v>0</v>
      </c>
      <c r="H12" s="89">
        <f>IF(OR($H$4=Bron!$B$8,$H$4=Bron!$B$9,$H$4=Bron!$B$15),'Bouwkost NB'!$C24,IF($H$4=Bron!$B$10,'Bouwkost UITB'!$C23,IF($H$4=Bron!$B$11,'Bouwkost VERB'!$C23,IF($H$4=Bron!$B$12,'Bouwkost IER'!$C22,IF(OR($H$4=Bron!$B$13,$H$4=Bron!$B$14),'Bouwkost VOLT'!$C23,IF($H$4=Bron!$C$16,'Bouwkost AK+VERB'!$C23,0))))))</f>
        <v>0</v>
      </c>
      <c r="J12" s="89">
        <f>IF(OR($J$4=Bron!$B$8,$J$4=Bron!$B$9,$J$4=Bron!$B$15),'Bouwkost NB'!$N24,IF($J$4=Bron!$B$10,'Bouwkost UITB'!$N23,IF($J$4=Bron!$B$11,'Bouwkost VERB'!$N23,IF($J$4=Bron!$B$12,'Bouwkost IER'!$N22,IF(OR($J$4=Bron!$B$13,$J$4=Bron!$B$14),'Bouwkost VOLT'!$N23,IF($J$4=Bron!$C$16,'Bouwkost AK+VERB'!$N23,0))))))</f>
        <v>0</v>
      </c>
      <c r="L12" s="89">
        <f>IF(OR($L$4=Bron!$B$8,$L$4=Bron!$B$9,$L$4=Bron!$B$15),'Bouwkost NB'!$N24,IF($L$4=Bron!$B$10,'Bouwkost UITB'!$N23,IF($L$4=Bron!$B$11,'Bouwkost VERB'!$N23,IF($L$4=Bron!$B$12,'Bouwkost IER'!$N22,IF(OR($L$4=Bron!$B$13,$L$4=Bron!$B$14),'Bouwkost VOLT'!$N23,IF($L$4=Bron!$C$16,'Bouwkost AK+VERB'!$N23,0))))))</f>
        <v>0</v>
      </c>
      <c r="N12" s="89">
        <f>IF(OR($N$4=Bron!$B$8,$N$4=Bron!$B$9,,$N$4=Bron!$B$15),'Bouwkost NB'!$N24,IF($N$4=Bron!$B$10,'Bouwkost UITB'!$N23,IF($N$4=Bron!$B$11,'Bouwkost VERB'!$N23,IF($N$4=Bron!$B$12,'Bouwkost IER'!$N22,IF(OR($N$4=Bron!$B$13,$N$4=Bron!$B$14),'Bouwkost VOLT'!$N23,IF($N$4=Bron!$C$16,'Bouwkost AK+VERB'!$N23,0))))))</f>
        <v>0</v>
      </c>
      <c r="P12" s="89">
        <f>IF(OR($P$4=Bron!$B$8,$P$4=Bron!$B$9,$P$4=Bron!$B$15),'Bouwkost NB'!$N24,IF($P$4=Bron!$B$10,'Bouwkost UITB'!$N23,IF($P$4=Bron!$B$11,'Bouwkost VERB'!$N23,IF($P$4=Bron!$B$12,'Bouwkost IER'!$N22,IF(OR($P$4=Bron!$B$13,$P$4=Bron!$B$14),'Bouwkost VOLT'!$N23,IF($P$4=Bron!$C$16,'Bouwkost AK+VERB'!$N23,0))))))</f>
        <v>0</v>
      </c>
      <c r="R12" s="89">
        <f>IF(OR($R$4=Bron!$B$8,$R$4=Bron!$B$9,$R$4=Bron!$B$15),'Bouwkost NB'!$Y24,IF($R$4=Bron!$B$10,'Bouwkost UITB'!$Y23,IF($R$4=Bron!$B$11,'Bouwkost VERB'!$Y23,IF($R$4=Bron!$B$12,'Bouwkost IER'!$Y22,IF(OR($R$4=Bron!$B$13,$R$4=Bron!$B$14),'Bouwkost VOLT'!$Y23,IF($R$4=Bron!$C$16,'Bouwkost AK+VERB'!$Y23,0))))))</f>
        <v>0</v>
      </c>
      <c r="T12" s="89">
        <f>IF(OR($T$4=Bron!$B$8,$T$4=Bron!$B$9,$T$4=Bron!$B$15),'Bouwkost NB'!$Y24,IF($T$4=Bron!$B$10,'Bouwkost UITB'!$Y23,IF($T$4=Bron!$B$11,'Bouwkost VERB'!$Y23,IF($T$4=Bron!$B$12,'Bouwkost IER'!$Y22,IF(OR($T$4=Bron!$B$13,$T$4=Bron!$B$14),'Bouwkost VOLT'!$Y23,IF($T$4=Bron!$C$16,'Bouwkost AK+VERB'!$Y23,0))))))</f>
        <v>0</v>
      </c>
      <c r="V12" s="89">
        <f>IF(OR($N$4=Bron!$B$8,$N$4=Bron!$B$9,$N$4=Bron!$B$15),'Bouwkost NB'!$Y24,IF($N$4=Bron!$B$10,'Bouwkost UITB'!$Y23,IF($N$4=Bron!$B$11,'Bouwkost VERB'!$Y23,IF($N$4=Bron!$B$12,'Bouwkost IER'!$Y22,IF(OR($N$4=Bron!$B$13,$N$4=Bron!$B$14),'Bouwkost VOLT'!$Y23,IF($N$4=Bron!$C$16,'Bouwkost AK+VERB'!$Y23,0))))))</f>
        <v>0</v>
      </c>
      <c r="X12" s="89">
        <f>IF(OR($X$4=Bron!$B$8,$X$4=Bron!$B$9,$X$4=Bron!$B$15),'Bouwkost NB'!$Y24,IF($X$4=Bron!$B$10,'Bouwkost UITB'!$Y23,IF($X$4=Bron!$B$11,'Bouwkost VERB'!$Y23,IF($X$4=Bron!$B$12,'Bouwkost IER'!$Y22,IF(OR($X$4=Bron!$B$13,$X$4=Bron!$B$14),'Bouwkost VOLT'!$Y23,IF($X$4=Bron!$C$16,'Bouwkost AK+VERB'!$Y23,0))))))</f>
        <v>0</v>
      </c>
    </row>
    <row r="13" spans="1:121" x14ac:dyDescent="0.3">
      <c r="A13" s="336" t="s">
        <v>123</v>
      </c>
      <c r="B13" s="810">
        <f>IF(OR($B$4=Bron!$B$8,$B$4=Bron!$B$9,$B$4=Bron!$B$15),'Bouwkost NB'!$C25,IF($B$4=Bron!$B$10,'Bouwkost UITB'!$C24,IF($B$4=Bron!$B$11,'Bouwkost VERB'!$C24,IF($B$4=Bron!$B$12,'Bouwkost IER'!$C23,IF(OR($B$4=Bron!$B$13,$B$4=Bron!$B$14),'Bouwkost VOLT'!$C24,IF($B$4=Bron!$C$16,'Bouwkost AK+VERB'!$C24,0))))))</f>
        <v>0</v>
      </c>
      <c r="C13" s="810"/>
      <c r="D13" s="810">
        <f>IF(OR($D$4=Bron!$B$8,$D$4=Bron!$B$9,$D$4=Bron!$B$15),'Bouwkost NB'!$C25,IF($D$4=Bron!$B$10,'Bouwkost UITB'!$C24,IF($D$4=Bron!$B$11,'Bouwkost VERB'!$C24,IF($D$4=Bron!$B$12,'Bouwkost IER'!$C23,IF(OR($D$4=Bron!$B$13,$D$4=Bron!$B$14),'Bouwkost VOLT'!$C24,IF($D$4=Bron!$C$16,'Bouwkost AK+VERB'!$C24,0))))))</f>
        <v>0</v>
      </c>
      <c r="E13" s="810"/>
      <c r="F13" s="810">
        <f>IF(OR($F$4=Bron!$B$8,$F$4=Bron!$B$9,$F$4=Bron!$B$15),'Bouwkost NB'!$C25,IF($F$4=Bron!$B$10,'Bouwkost UITB'!$C24,IF($F$4=Bron!$B$11,'Bouwkost VERB'!$C24,IF($F$4=Bron!$B$12,'Bouwkost IER'!$C23,IF(OR($F$4=Bron!$B$13,$F$4=Bron!$B$14),'Bouwkost VOLT'!$C24,IF($F$4=Bron!$C$16,'Bouwkost AK+VERB'!$C24,0))))))</f>
        <v>0</v>
      </c>
      <c r="G13" s="810"/>
      <c r="H13" s="810">
        <f>IF(OR($H$4=Bron!$B$8,$H$4=Bron!$B$9,$H$4=Bron!$B$15),'Bouwkost NB'!$C25,IF($H$4=Bron!$B$10,'Bouwkost UITB'!$C24,IF($H$4=Bron!$B$11,'Bouwkost VERB'!$C24,IF($H$4=Bron!$B$12,'Bouwkost IER'!$C23,IF(OR($H$4=Bron!$B$13,$H$4=Bron!$B$14),'Bouwkost VOLT'!$C24,IF($H$4=Bron!$C$16,'Bouwkost AK+VERB'!$C24,0))))))</f>
        <v>0</v>
      </c>
      <c r="I13" s="810"/>
      <c r="J13" s="810">
        <f>IF(OR($J$4=Bron!$B$8,$J$4=Bron!$B$9,$J$4=Bron!$B$15),'Bouwkost NB'!$N25,IF($J$4=Bron!$B$10,'Bouwkost UITB'!$N24,IF($J$4=Bron!$B$11,'Bouwkost VERB'!$N24,IF($J$4=Bron!$B$12,'Bouwkost IER'!$N23,IF(OR($J$4=Bron!$B$13,$J$4=Bron!$B$14),'Bouwkost VOLT'!$N24,IF($J$4=Bron!$C$16,'Bouwkost AK+VERB'!$N24,0))))))</f>
        <v>0</v>
      </c>
      <c r="K13" s="810"/>
      <c r="L13" s="810">
        <f>IF(OR($L$4=Bron!$B$8,$L$4=Bron!$B$9,$L$4=Bron!$B$15),'Bouwkost NB'!$N25,IF($L$4=Bron!$B$10,'Bouwkost UITB'!$N24,IF($L$4=Bron!$B$11,'Bouwkost VERB'!$N24,IF($L$4=Bron!$B$12,'Bouwkost IER'!$N23,IF(OR($L$4=Bron!$B$13,$L$4=Bron!$B$14),'Bouwkost VOLT'!$N24,IF($L$4=Bron!$C$16,'Bouwkost AK+VERB'!$N24,0))))))</f>
        <v>0</v>
      </c>
      <c r="M13" s="810"/>
      <c r="N13" s="810">
        <f>IF(OR($N$4=Bron!$B$8,$N$4=Bron!$B$9,,$N$4=Bron!$B$15),'Bouwkost NB'!$N25,IF($N$4=Bron!$B$10,'Bouwkost UITB'!$N24,IF($N$4=Bron!$B$11,'Bouwkost VERB'!$N24,IF($N$4=Bron!$B$12,'Bouwkost IER'!$N23,IF(OR($N$4=Bron!$B$13,$N$4=Bron!$B$14),'Bouwkost VOLT'!$N24,IF($N$4=Bron!$C$16,'Bouwkost AK+VERB'!$N24,0))))))</f>
        <v>0</v>
      </c>
      <c r="O13" s="810"/>
      <c r="P13" s="810">
        <f>IF(OR($P$4=Bron!$B$8,$P$4=Bron!$B$9,$P$4=Bron!$B$15),'Bouwkost NB'!$N25,IF($P$4=Bron!$B$10,'Bouwkost UITB'!$N24,IF($P$4=Bron!$B$11,'Bouwkost VERB'!$N24,IF($P$4=Bron!$B$12,'Bouwkost IER'!$N23,IF(OR($P$4=Bron!$B$13,$P$4=Bron!$B$14),'Bouwkost VOLT'!$N24,IF($P$4=Bron!$C$16,'Bouwkost AK+VERB'!$N24,0))))))</f>
        <v>0</v>
      </c>
      <c r="Q13" s="810"/>
      <c r="R13" s="810">
        <f>IF(OR($R$4=Bron!$B$8,$R$4=Bron!$B$9,$R$4=Bron!$B$15),'Bouwkost NB'!$Y25,IF($R$4=Bron!$B$10,'Bouwkost UITB'!$Y24,IF($R$4=Bron!$B$11,'Bouwkost VERB'!$Y24,IF($R$4=Bron!$B$12,'Bouwkost IER'!$Y23,IF(OR($R$4=Bron!$B$13,$R$4=Bron!$B$14),'Bouwkost VOLT'!$Y24,IF($R$4=Bron!$C$16,'Bouwkost AK+VERB'!$Y24,0))))))</f>
        <v>0</v>
      </c>
      <c r="S13" s="810"/>
      <c r="T13" s="810">
        <f>IF(OR($T$4=Bron!$B$8,$T$4=Bron!$B$9,$T$4=Bron!$B$15),'Bouwkost NB'!$Y25,IF($T$4=Bron!$B$10,'Bouwkost UITB'!$Y24,IF($T$4=Bron!$B$11,'Bouwkost VERB'!$Y24,IF($T$4=Bron!$B$12,'Bouwkost IER'!$Y23,IF(OR($T$4=Bron!$B$13,$T$4=Bron!$B$14),'Bouwkost VOLT'!$Y24,IF($T$4=Bron!$C$16,'Bouwkost AK+VERB'!$Y24,0))))))</f>
        <v>0</v>
      </c>
      <c r="U13" s="810"/>
      <c r="V13" s="810">
        <f>IF(OR($N$4=Bron!$B$8,$N$4=Bron!$B$9,$N$4=Bron!$B$15),'Bouwkost NB'!$Y25,IF($N$4=Bron!$B$10,'Bouwkost UITB'!$Y24,IF($N$4=Bron!$B$11,'Bouwkost VERB'!$Y24,IF($N$4=Bron!$B$12,'Bouwkost IER'!$Y23,IF(OR($N$4=Bron!$B$13,$N$4=Bron!$B$14),'Bouwkost VOLT'!$Y24,IF($N$4=Bron!$C$16,'Bouwkost AK+VERB'!$Y24,0))))))</f>
        <v>0</v>
      </c>
      <c r="W13" s="810"/>
      <c r="X13" s="810">
        <f>IF(OR($X$4=Bron!$B$8,$X$4=Bron!$B$9,$X$4=Bron!$B$15),'Bouwkost NB'!$Y25,IF($X$4=Bron!$B$10,'Bouwkost UITB'!$Y24,IF($X$4=Bron!$B$11,'Bouwkost VERB'!$Y24,IF($X$4=Bron!$B$12,'Bouwkost IER'!$Y23,IF(OR($X$4=Bron!$B$13,$X$4=Bron!$B$14),'Bouwkost VOLT'!$Y24,IF($X$4=Bron!$C$16,'Bouwkost AK+VERB'!$Y24,0))))))</f>
        <v>0</v>
      </c>
    </row>
    <row r="14" spans="1:121" x14ac:dyDescent="0.3">
      <c r="A14" s="640" t="s">
        <v>425</v>
      </c>
      <c r="B14" s="89">
        <f>IF(OR($B$4=Bron!$B$8,$B$4=Bron!$B$9,$B$4=Bron!$B$15),'Bouwkost NB'!$C26,IF($B$4=Bron!$B$10,'Bouwkost UITB'!$C25,IF($B$4=Bron!$B$11,'Bouwkost VERB'!$C25,IF($B$4=Bron!$B$12,'Bouwkost IER'!$C24,IF(OR($B$4=Bron!$B$13,$B$4=Bron!$B$14),'Bouwkost VOLT'!$C25,IF($B$4=Bron!$C$16,'Bouwkost AK+VERB'!$C25,0))))))</f>
        <v>0</v>
      </c>
      <c r="D14" s="89">
        <f>IF(OR($D$4=Bron!$B$8,$D$4=Bron!$B$9,$D$4=Bron!$B$15),'Bouwkost NB'!$C26,IF($D$4=Bron!$B$10,'Bouwkost UITB'!$C25,IF($D$4=Bron!$B$11,'Bouwkost VERB'!$C25,IF($D$4=Bron!$B$12,'Bouwkost IER'!$C24,IF(OR($D$4=Bron!$B$13,$D$4=Bron!$B$14),'Bouwkost VOLT'!$C25,IF($D$4=Bron!$C$16,'Bouwkost AK+VERB'!$C25,0))))))</f>
        <v>0</v>
      </c>
      <c r="F14" s="89">
        <f>IF(OR($F$4=Bron!$B$8,$F$4=Bron!$B$9,$F$4=Bron!$B$15),'Bouwkost NB'!$C26,IF($F$4=Bron!$B$10,'Bouwkost UITB'!$C25,IF($F$4=Bron!$B$11,'Bouwkost VERB'!$C25,IF($F$4=Bron!$B$12,'Bouwkost IER'!$C24,IF(OR($F$4=Bron!$B$13,$F$4=Bron!$B$14),'Bouwkost VOLT'!$C25,IF($F$4=Bron!$C$16,'Bouwkost AK+VERB'!$C25,0))))))</f>
        <v>0</v>
      </c>
      <c r="H14" s="89">
        <f>IF(OR($H$4=Bron!$B$8,$H$4=Bron!$B$9,$H$4=Bron!$B$15),'Bouwkost NB'!$C26,IF($H$4=Bron!$B$10,'Bouwkost UITB'!$C25,IF($H$4=Bron!$B$11,'Bouwkost VERB'!$C25,IF($H$4=Bron!$B$12,'Bouwkost IER'!$C24,IF(OR($H$4=Bron!$B$13,$H$4=Bron!$B$14),'Bouwkost VOLT'!$C25,IF($H$4=Bron!$C$16,'Bouwkost AK+VERB'!$C25,0))))))</f>
        <v>0</v>
      </c>
      <c r="J14" s="89">
        <f>IF(OR($J$4=Bron!$B$8,$J$4=Bron!$B$9,$J$4=Bron!$B$15),'Bouwkost NB'!$N26,IF($J$4=Bron!$B$10,'Bouwkost UITB'!$N25,IF($J$4=Bron!$B$11,'Bouwkost VERB'!$N25,IF($J$4=Bron!$B$12,'Bouwkost IER'!$N24,IF(OR($J$4=Bron!$B$13,$J$4=Bron!$B$14),'Bouwkost VOLT'!$N25,IF($J$4=Bron!$C$16,'Bouwkost AK+VERB'!$N25,0))))))</f>
        <v>0</v>
      </c>
      <c r="L14" s="89">
        <f>IF(OR($L$4=Bron!$B$8,$L$4=Bron!$B$9,$L$4=Bron!$B$15),'Bouwkost NB'!$N26,IF($L$4=Bron!$B$10,'Bouwkost UITB'!$N25,IF($L$4=Bron!$B$11,'Bouwkost VERB'!$N25,IF($L$4=Bron!$B$12,'Bouwkost IER'!$N24,IF(OR($L$4=Bron!$B$13,$L$4=Bron!$B$14),'Bouwkost VOLT'!$N25,IF($L$4=Bron!$C$16,'Bouwkost AK+VERB'!$N25,0))))))</f>
        <v>0</v>
      </c>
      <c r="N14" s="89">
        <f>IF(OR($N$4=Bron!$B$8,$N$4=Bron!$B$9,,$N$4=Bron!$B$15),'Bouwkost NB'!$N26,IF($N$4=Bron!$B$10,'Bouwkost UITB'!$N25,IF($N$4=Bron!$B$11,'Bouwkost VERB'!$N25,IF($N$4=Bron!$B$12,'Bouwkost IER'!$N24,IF(OR($N$4=Bron!$B$13,$N$4=Bron!$B$14),'Bouwkost VOLT'!$N25,IF($N$4=Bron!$C$16,'Bouwkost AK+VERB'!$N25,0))))))</f>
        <v>0</v>
      </c>
      <c r="P14" s="89">
        <f>IF(OR($P$4=Bron!$B$8,$P$4=Bron!$B$9,$P$4=Bron!$B$15),'Bouwkost NB'!$N26,IF($P$4=Bron!$B$10,'Bouwkost UITB'!$N25,IF($P$4=Bron!$B$11,'Bouwkost VERB'!$N25,IF($P$4=Bron!$B$12,'Bouwkost IER'!$N24,IF(OR($P$4=Bron!$B$13,$P$4=Bron!$B$14),'Bouwkost VOLT'!$N25,IF($P$4=Bron!$C$16,'Bouwkost AK+VERB'!$N25,0))))))</f>
        <v>0</v>
      </c>
      <c r="R14" s="89">
        <f>IF(OR($R$4=Bron!$B$8,$R$4=Bron!$B$9,$R$4=Bron!$B$15),'Bouwkost NB'!$Y26,IF($R$4=Bron!$B$10,'Bouwkost UITB'!$Y25,IF($R$4=Bron!$B$11,'Bouwkost VERB'!$Y25,IF($R$4=Bron!$B$12,'Bouwkost IER'!$Y24,IF(OR($R$4=Bron!$B$13,$R$4=Bron!$B$14),'Bouwkost VOLT'!$Y25,IF($R$4=Bron!$C$16,'Bouwkost AK+VERB'!$Y25,0))))))</f>
        <v>0</v>
      </c>
      <c r="T14" s="89">
        <f>IF(OR($T$4=Bron!$B$8,$T$4=Bron!$B$9,$T$4=Bron!$B$15),'Bouwkost NB'!$Y26,IF($T$4=Bron!$B$10,'Bouwkost UITB'!$Y25,IF($T$4=Bron!$B$11,'Bouwkost VERB'!$Y25,IF($T$4=Bron!$B$12,'Bouwkost IER'!$Y24,IF(OR($T$4=Bron!$B$13,$T$4=Bron!$B$14),'Bouwkost VOLT'!$Y25,IF($T$4=Bron!$C$16,'Bouwkost AK+VERB'!$Y25,0))))))</f>
        <v>0</v>
      </c>
      <c r="V14" s="89">
        <f>IF(OR($N$4=Bron!$B$8,$N$4=Bron!$B$9,$N$4=Bron!$B$15),'Bouwkost NB'!$Y26,IF($N$4=Bron!$B$10,'Bouwkost UITB'!$Y25,IF($N$4=Bron!$B$11,'Bouwkost VERB'!$Y25,IF($N$4=Bron!$B$12,'Bouwkost IER'!$Y24,IF(OR($N$4=Bron!$B$13,$N$4=Bron!$B$14),'Bouwkost VOLT'!$Y25,IF($N$4=Bron!$C$16,'Bouwkost AK+VERB'!$Y25,0))))))</f>
        <v>0</v>
      </c>
      <c r="X14" s="89">
        <f>IF(OR($X$4=Bron!$B$8,$X$4=Bron!$B$9,$X$4=Bron!$B$15),'Bouwkost NB'!$Y26,IF($X$4=Bron!$B$10,'Bouwkost UITB'!$Y25,IF($X$4=Bron!$B$11,'Bouwkost VERB'!$Y25,IF($X$4=Bron!$B$12,'Bouwkost IER'!$Y24,IF(OR($X$4=Bron!$B$13,$X$4=Bron!$B$14),'Bouwkost VOLT'!$Y25,IF($X$4=Bron!$C$16,'Bouwkost AK+VERB'!$Y25,0))))))</f>
        <v>0</v>
      </c>
    </row>
    <row r="15" spans="1:121" x14ac:dyDescent="0.3">
      <c r="A15" s="640" t="s">
        <v>427</v>
      </c>
      <c r="B15" s="89">
        <f>IF(OR($B$4=Bron!$B$8,$B$4=Bron!$B$9,$B$4=Bron!$B$15),'Bouwkost NB'!$C27,IF($B$4=Bron!$B$10,'Bouwkost UITB'!$C26,IF($B$4=Bron!$B$11,'Bouwkost VERB'!$C26,IF($B$4=Bron!$B$12,'Bouwkost IER'!$C25,IF(OR($B$4=Bron!$B$13,$B$4=Bron!$B$14),'Bouwkost VOLT'!$C26,IF($B$4=Bron!$C$16,'Bouwkost AK+VERB'!$C26,0))))))</f>
        <v>0</v>
      </c>
      <c r="D15" s="89">
        <f>IF(OR($D$4=Bron!$B$8,$D$4=Bron!$B$9,$D$4=Bron!$B$15),'Bouwkost NB'!$C27,IF($D$4=Bron!$B$10,'Bouwkost UITB'!$C26,IF($D$4=Bron!$B$11,'Bouwkost VERB'!$C26,IF($D$4=Bron!$B$12,'Bouwkost IER'!$C25,IF(OR($D$4=Bron!$B$13,$D$4=Bron!$B$14),'Bouwkost VOLT'!$C26,IF($D$4=Bron!$C$16,'Bouwkost AK+VERB'!$C26,0))))))</f>
        <v>0</v>
      </c>
      <c r="F15" s="89">
        <f>IF(OR($F$4=Bron!$B$8,$F$4=Bron!$B$9,$F$4=Bron!$B$15),'Bouwkost NB'!$C27,IF($F$4=Bron!$B$10,'Bouwkost UITB'!$C26,IF($F$4=Bron!$B$11,'Bouwkost VERB'!$C26,IF($F$4=Bron!$B$12,'Bouwkost IER'!$C25,IF(OR($F$4=Bron!$B$13,$F$4=Bron!$B$14),'Bouwkost VOLT'!$C26,IF($F$4=Bron!$C$16,'Bouwkost AK+VERB'!$C26,0))))))</f>
        <v>0</v>
      </c>
      <c r="H15" s="89">
        <f>IF(OR($H$4=Bron!$B$8,$H$4=Bron!$B$9,$H$4=Bron!$B$15),'Bouwkost NB'!$C27,IF($H$4=Bron!$B$10,'Bouwkost UITB'!$C26,IF($H$4=Bron!$B$11,'Bouwkost VERB'!$C26,IF($H$4=Bron!$B$12,'Bouwkost IER'!$C25,IF(OR($H$4=Bron!$B$13,$H$4=Bron!$B$14),'Bouwkost VOLT'!$C26,IF($H$4=Bron!$C$16,'Bouwkost AK+VERB'!$C26,0))))))</f>
        <v>0</v>
      </c>
      <c r="J15" s="89">
        <f>IF(OR($J$4=Bron!$B$8,$J$4=Bron!$B$9,$J$4=Bron!$B$15),'Bouwkost NB'!$N27,IF($J$4=Bron!$B$10,'Bouwkost UITB'!$N26,IF($J$4=Bron!$B$11,'Bouwkost VERB'!$N26,IF($J$4=Bron!$B$12,'Bouwkost IER'!$N25,IF(OR($J$4=Bron!$B$13,$J$4=Bron!$B$14),'Bouwkost VOLT'!$N26,IF($J$4=Bron!$C$16,'Bouwkost AK+VERB'!$N26,0))))))</f>
        <v>0</v>
      </c>
      <c r="L15" s="89">
        <f>IF(OR($L$4=Bron!$B$8,$L$4=Bron!$B$9,$L$4=Bron!$B$15),'Bouwkost NB'!$N27,IF($L$4=Bron!$B$10,'Bouwkost UITB'!$N26,IF($L$4=Bron!$B$11,'Bouwkost VERB'!$N26,IF($L$4=Bron!$B$12,'Bouwkost IER'!$N25,IF(OR($L$4=Bron!$B$13,$L$4=Bron!$B$14),'Bouwkost VOLT'!$N26,IF($L$4=Bron!$C$16,'Bouwkost AK+VERB'!$N26,0))))))</f>
        <v>0</v>
      </c>
      <c r="N15" s="89">
        <f>IF(OR($N$4=Bron!$B$8,$N$4=Bron!$B$9,,$N$4=Bron!$B$15),'Bouwkost NB'!$N27,IF($N$4=Bron!$B$10,'Bouwkost UITB'!$N26,IF($N$4=Bron!$B$11,'Bouwkost VERB'!$N26,IF($N$4=Bron!$B$12,'Bouwkost IER'!$N25,IF(OR($N$4=Bron!$B$13,$N$4=Bron!$B$14),'Bouwkost VOLT'!$N26,IF($N$4=Bron!$C$16,'Bouwkost AK+VERB'!$N26,0))))))</f>
        <v>0</v>
      </c>
      <c r="P15" s="89">
        <f>IF(OR($P$4=Bron!$B$8,$P$4=Bron!$B$9,$P$4=Bron!$B$15),'Bouwkost NB'!$N27,IF($P$4=Bron!$B$10,'Bouwkost UITB'!$N26,IF($P$4=Bron!$B$11,'Bouwkost VERB'!$N26,IF($P$4=Bron!$B$12,'Bouwkost IER'!$N25,IF(OR($P$4=Bron!$B$13,$P$4=Bron!$B$14),'Bouwkost VOLT'!$N26,IF($P$4=Bron!$C$16,'Bouwkost AK+VERB'!$N26,0))))))</f>
        <v>0</v>
      </c>
      <c r="R15" s="89">
        <f>IF(OR($R$4=Bron!$B$8,$R$4=Bron!$B$9,$R$4=Bron!$B$15),'Bouwkost NB'!$Y27,IF($R$4=Bron!$B$10,'Bouwkost UITB'!$Y26,IF($R$4=Bron!$B$11,'Bouwkost VERB'!$Y26,IF($R$4=Bron!$B$12,'Bouwkost IER'!$Y25,IF(OR($R$4=Bron!$B$13,$R$4=Bron!$B$14),'Bouwkost VOLT'!$Y26,IF($R$4=Bron!$C$16,'Bouwkost AK+VERB'!$Y26,0))))))</f>
        <v>0</v>
      </c>
      <c r="T15" s="89">
        <f>IF(OR($T$4=Bron!$B$8,$T$4=Bron!$B$9,$T$4=Bron!$B$15),'Bouwkost NB'!$Y27,IF($T$4=Bron!$B$10,'Bouwkost UITB'!$Y26,IF($T$4=Bron!$B$11,'Bouwkost VERB'!$Y26,IF($T$4=Bron!$B$12,'Bouwkost IER'!$Y25,IF(OR($T$4=Bron!$B$13,$T$4=Bron!$B$14),'Bouwkost VOLT'!$Y26,IF($T$4=Bron!$C$16,'Bouwkost AK+VERB'!$Y26,0))))))</f>
        <v>0</v>
      </c>
      <c r="V15" s="89">
        <f>IF(OR($N$4=Bron!$B$8,$N$4=Bron!$B$9,$N$4=Bron!$B$15),'Bouwkost NB'!$Y27,IF($N$4=Bron!$B$10,'Bouwkost UITB'!$Y26,IF($N$4=Bron!$B$11,'Bouwkost VERB'!$Y26,IF($N$4=Bron!$B$12,'Bouwkost IER'!$Y25,IF(OR($N$4=Bron!$B$13,$N$4=Bron!$B$14),'Bouwkost VOLT'!$Y26,IF($N$4=Bron!$C$16,'Bouwkost AK+VERB'!$Y26,0))))))</f>
        <v>0</v>
      </c>
      <c r="X15" s="89">
        <f>IF(OR($X$4=Bron!$B$8,$X$4=Bron!$B$9,$X$4=Bron!$B$15),'Bouwkost NB'!$Y27,IF($X$4=Bron!$B$10,'Bouwkost UITB'!$Y26,IF($X$4=Bron!$B$11,'Bouwkost VERB'!$Y26,IF($X$4=Bron!$B$12,'Bouwkost IER'!$Y25,IF(OR($X$4=Bron!$B$13,$X$4=Bron!$B$14),'Bouwkost VOLT'!$Y26,IF($X$4=Bron!$C$16,'Bouwkost AK+VERB'!$Y26,0))))))</f>
        <v>0</v>
      </c>
    </row>
    <row r="16" spans="1:121" x14ac:dyDescent="0.3">
      <c r="A16" s="640" t="s">
        <v>428</v>
      </c>
      <c r="B16" s="89">
        <f>IF(OR($B$4=Bron!$B$8,$B$4=Bron!$B$9,$B$4=Bron!$B$15),'Bouwkost NB'!$C28,IF($B$4=Bron!$B$10,'Bouwkost UITB'!$C27,IF($B$4=Bron!$B$11,'Bouwkost VERB'!$C27,IF($B$4=Bron!$B$12,'Bouwkost IER'!$C26,IF(OR($B$4=Bron!$B$13,$B$4=Bron!$B$14),'Bouwkost VOLT'!$C27,IF($B$4=Bron!$C$16,'Bouwkost AK+VERB'!$C27,0))))))</f>
        <v>0</v>
      </c>
      <c r="D16" s="89">
        <f>IF(OR($D$4=Bron!$B$8,$D$4=Bron!$B$9,$D$4=Bron!$B$15),'Bouwkost NB'!$C28,IF($D$4=Bron!$B$10,'Bouwkost UITB'!$C27,IF($D$4=Bron!$B$11,'Bouwkost VERB'!$C27,IF($D$4=Bron!$B$12,'Bouwkost IER'!$C26,IF(OR($D$4=Bron!$B$13,$D$4=Bron!$B$14),'Bouwkost VOLT'!$C27,IF($D$4=Bron!$C$16,'Bouwkost AK+VERB'!$C27,0))))))</f>
        <v>0</v>
      </c>
      <c r="F16" s="89">
        <f>IF(OR($F$4=Bron!$B$8,$F$4=Bron!$B$9,$F$4=Bron!$B$15),'Bouwkost NB'!$C28,IF($F$4=Bron!$B$10,'Bouwkost UITB'!$C27,IF($F$4=Bron!$B$11,'Bouwkost VERB'!$C27,IF($F$4=Bron!$B$12,'Bouwkost IER'!$C26,IF(OR($F$4=Bron!$B$13,$F$4=Bron!$B$14),'Bouwkost VOLT'!$C27,IF($F$4=Bron!$C$16,'Bouwkost AK+VERB'!$C27,0))))))</f>
        <v>0</v>
      </c>
      <c r="H16" s="89">
        <f>IF(OR($H$4=Bron!$B$8,$H$4=Bron!$B$9,$H$4=Bron!$B$15),'Bouwkost NB'!$C28,IF($H$4=Bron!$B$10,'Bouwkost UITB'!$C27,IF($H$4=Bron!$B$11,'Bouwkost VERB'!$C27,IF($H$4=Bron!$B$12,'Bouwkost IER'!$C26,IF(OR($H$4=Bron!$B$13,$H$4=Bron!$B$14),'Bouwkost VOLT'!$C27,IF($H$4=Bron!$C$16,'Bouwkost AK+VERB'!$C27,0))))))</f>
        <v>0</v>
      </c>
      <c r="J16" s="89">
        <f>IF(OR($J$4=Bron!$B$8,$J$4=Bron!$B$9,$J$4=Bron!$B$15),'Bouwkost NB'!$N28,IF($J$4=Bron!$B$10,'Bouwkost UITB'!$N27,IF($J$4=Bron!$B$11,'Bouwkost VERB'!$N27,IF($J$4=Bron!$B$12,'Bouwkost IER'!$N26,IF(OR($J$4=Bron!$B$13,$J$4=Bron!$B$14),'Bouwkost VOLT'!$N27,IF($J$4=Bron!$C$16,'Bouwkost AK+VERB'!$N27,0))))))</f>
        <v>0</v>
      </c>
      <c r="L16" s="89">
        <f>IF(OR($L$4=Bron!$B$8,$L$4=Bron!$B$9,$L$4=Bron!$B$15),'Bouwkost NB'!$N28,IF($L$4=Bron!$B$10,'Bouwkost UITB'!$N27,IF($L$4=Bron!$B$11,'Bouwkost VERB'!$N27,IF($L$4=Bron!$B$12,'Bouwkost IER'!$N26,IF(OR($L$4=Bron!$B$13,$L$4=Bron!$B$14),'Bouwkost VOLT'!$N27,IF($L$4=Bron!$C$16,'Bouwkost AK+VERB'!$N27,0))))))</f>
        <v>0</v>
      </c>
      <c r="N16" s="89">
        <f>IF(OR($N$4=Bron!$B$8,$N$4=Bron!$B$9,,$N$4=Bron!$B$15),'Bouwkost NB'!$N28,IF($N$4=Bron!$B$10,'Bouwkost UITB'!$N27,IF($N$4=Bron!$B$11,'Bouwkost VERB'!$N27,IF($N$4=Bron!$B$12,'Bouwkost IER'!$N26,IF(OR($N$4=Bron!$B$13,$N$4=Bron!$B$14),'Bouwkost VOLT'!$N27,IF($N$4=Bron!$C$16,'Bouwkost AK+VERB'!$N27,0))))))</f>
        <v>0</v>
      </c>
      <c r="P16" s="89">
        <f>IF(OR($P$4=Bron!$B$8,$P$4=Bron!$B$9,$P$4=Bron!$B$15),'Bouwkost NB'!$N28,IF($P$4=Bron!$B$10,'Bouwkost UITB'!$N27,IF($P$4=Bron!$B$11,'Bouwkost VERB'!$N27,IF($P$4=Bron!$B$12,'Bouwkost IER'!$N26,IF(OR($P$4=Bron!$B$13,$P$4=Bron!$B$14),'Bouwkost VOLT'!$N27,IF($P$4=Bron!$C$16,'Bouwkost AK+VERB'!$N27,0))))))</f>
        <v>0</v>
      </c>
      <c r="R16" s="89">
        <f>IF(OR($R$4=Bron!$B$8,$R$4=Bron!$B$9,$R$4=Bron!$B$15),'Bouwkost NB'!$Y28,IF($R$4=Bron!$B$10,'Bouwkost UITB'!$Y27,IF($R$4=Bron!$B$11,'Bouwkost VERB'!$Y27,IF($R$4=Bron!$B$12,'Bouwkost IER'!$Y26,IF(OR($R$4=Bron!$B$13,$R$4=Bron!$B$14),'Bouwkost VOLT'!$Y27,IF($R$4=Bron!$C$16,'Bouwkost AK+VERB'!$Y27,0))))))</f>
        <v>0</v>
      </c>
      <c r="T16" s="89">
        <f>IF(OR($T$4=Bron!$B$8,$T$4=Bron!$B$9,$T$4=Bron!$B$15),'Bouwkost NB'!$Y28,IF($T$4=Bron!$B$10,'Bouwkost UITB'!$Y27,IF($T$4=Bron!$B$11,'Bouwkost VERB'!$Y27,IF($T$4=Bron!$B$12,'Bouwkost IER'!$Y26,IF(OR($T$4=Bron!$B$13,$T$4=Bron!$B$14),'Bouwkost VOLT'!$Y27,IF($T$4=Bron!$C$16,'Bouwkost AK+VERB'!$Y27,0))))))</f>
        <v>0</v>
      </c>
      <c r="V16" s="89">
        <f>IF(OR($N$4=Bron!$B$8,$N$4=Bron!$B$9,$N$4=Bron!$B$15),'Bouwkost NB'!$Y28,IF($N$4=Bron!$B$10,'Bouwkost UITB'!$Y27,IF($N$4=Bron!$B$11,'Bouwkost VERB'!$Y27,IF($N$4=Bron!$B$12,'Bouwkost IER'!$Y26,IF(OR($N$4=Bron!$B$13,$N$4=Bron!$B$14),'Bouwkost VOLT'!$Y27,IF($N$4=Bron!$C$16,'Bouwkost AK+VERB'!$Y27,0))))))</f>
        <v>0</v>
      </c>
      <c r="X16" s="89">
        <f>IF(OR($X$4=Bron!$B$8,$X$4=Bron!$B$9,$X$4=Bron!$B$15),'Bouwkost NB'!$Y28,IF($X$4=Bron!$B$10,'Bouwkost UITB'!$Y27,IF($X$4=Bron!$B$11,'Bouwkost VERB'!$Y27,IF($X$4=Bron!$B$12,'Bouwkost IER'!$Y26,IF(OR($X$4=Bron!$B$13,$X$4=Bron!$B$14),'Bouwkost VOLT'!$Y27,IF($X$4=Bron!$C$16,'Bouwkost AK+VERB'!$Y27,0))))))</f>
        <v>0</v>
      </c>
    </row>
    <row r="17" spans="1:24" x14ac:dyDescent="0.3">
      <c r="A17" s="641" t="s">
        <v>429</v>
      </c>
      <c r="B17" s="89">
        <f>IF(OR($B$4=Bron!$B$8,$B$4=Bron!$B$9,$B$4=Bron!$B$15),'Bouwkost NB'!$C29,IF($B$4=Bron!$B$10,'Bouwkost UITB'!$C28,IF($B$4=Bron!$B$11,'Bouwkost VERB'!$C28,IF($B$4=Bron!$B$12,'Bouwkost IER'!$C27,IF(OR($B$4=Bron!$B$13,$B$4=Bron!$B$14),'Bouwkost VOLT'!$C28,IF($B$4=Bron!$C$16,'Bouwkost AK+VERB'!$C28,0))))))</f>
        <v>0</v>
      </c>
      <c r="D17" s="89">
        <f>IF(OR($D$4=Bron!$B$8,$D$4=Bron!$B$9,$D$4=Bron!$B$15),'Bouwkost NB'!$C29,IF($D$4=Bron!$B$10,'Bouwkost UITB'!$C28,IF($D$4=Bron!$B$11,'Bouwkost VERB'!$C28,IF($D$4=Bron!$B$12,'Bouwkost IER'!$C27,IF(OR($D$4=Bron!$B$13,$D$4=Bron!$B$14),'Bouwkost VOLT'!$C28,IF($D$4=Bron!$C$16,'Bouwkost AK+VERB'!$C28,0))))))</f>
        <v>0</v>
      </c>
      <c r="F17" s="89">
        <f>IF(OR($F$4=Bron!$B$8,$F$4=Bron!$B$9,$F$4=Bron!$B$15),'Bouwkost NB'!$C29,IF($F$4=Bron!$B$10,'Bouwkost UITB'!$C28,IF($F$4=Bron!$B$11,'Bouwkost VERB'!$C28,IF($F$4=Bron!$B$12,'Bouwkost IER'!$C27,IF(OR($F$4=Bron!$B$13,$F$4=Bron!$B$14),'Bouwkost VOLT'!$C28,IF($F$4=Bron!$C$16,'Bouwkost AK+VERB'!$C28,0))))))</f>
        <v>0</v>
      </c>
      <c r="H17" s="89">
        <f>IF(OR($H$4=Bron!$B$8,$H$4=Bron!$B$9,$H$4=Bron!$B$15),'Bouwkost NB'!$C29,IF($H$4=Bron!$B$10,'Bouwkost UITB'!$C28,IF($H$4=Bron!$B$11,'Bouwkost VERB'!$C28,IF($H$4=Bron!$B$12,'Bouwkost IER'!$C27,IF(OR($H$4=Bron!$B$13,$H$4=Bron!$B$14),'Bouwkost VOLT'!$C28,IF($H$4=Bron!$C$16,'Bouwkost AK+VERB'!$C28,0))))))</f>
        <v>0</v>
      </c>
      <c r="J17" s="89">
        <f>IF(OR($J$4=Bron!$B$8,$J$4=Bron!$B$9,$J$4=Bron!$B$15),'Bouwkost NB'!$N29,IF($J$4=Bron!$B$10,'Bouwkost UITB'!$N28,IF($J$4=Bron!$B$11,'Bouwkost VERB'!$N28,IF($J$4=Bron!$B$12,'Bouwkost IER'!$N27,IF(OR($J$4=Bron!$B$13,$J$4=Bron!$B$14),'Bouwkost VOLT'!$N28,IF($J$4=Bron!$C$16,'Bouwkost AK+VERB'!$N28,0))))))</f>
        <v>0</v>
      </c>
      <c r="L17" s="89">
        <f>IF(OR($L$4=Bron!$B$8,$L$4=Bron!$B$9,$L$4=Bron!$B$15),'Bouwkost NB'!$N29,IF($L$4=Bron!$B$10,'Bouwkost UITB'!$N28,IF($L$4=Bron!$B$11,'Bouwkost VERB'!$N28,IF($L$4=Bron!$B$12,'Bouwkost IER'!$N27,IF(OR($L$4=Bron!$B$13,$L$4=Bron!$B$14),'Bouwkost VOLT'!$N28,IF($L$4=Bron!$C$16,'Bouwkost AK+VERB'!$N28,0))))))</f>
        <v>0</v>
      </c>
      <c r="N17" s="89">
        <f>IF(OR($N$4=Bron!$B$8,$N$4=Bron!$B$9,,$N$4=Bron!$B$15),'Bouwkost NB'!$N29,IF($N$4=Bron!$B$10,'Bouwkost UITB'!$N28,IF($N$4=Bron!$B$11,'Bouwkost VERB'!$N28,IF($N$4=Bron!$B$12,'Bouwkost IER'!$N27,IF(OR($N$4=Bron!$B$13,$N$4=Bron!$B$14),'Bouwkost VOLT'!$N28,IF($N$4=Bron!$C$16,'Bouwkost AK+VERB'!$N28,0))))))</f>
        <v>0</v>
      </c>
      <c r="P17" s="89">
        <f>IF(OR($P$4=Bron!$B$8,$P$4=Bron!$B$9,$P$4=Bron!$B$15),'Bouwkost NB'!$N29,IF($P$4=Bron!$B$10,'Bouwkost UITB'!$N28,IF($P$4=Bron!$B$11,'Bouwkost VERB'!$N28,IF($P$4=Bron!$B$12,'Bouwkost IER'!$N27,IF(OR($P$4=Bron!$B$13,$P$4=Bron!$B$14),'Bouwkost VOLT'!$N28,IF($P$4=Bron!$C$16,'Bouwkost AK+VERB'!$N28,0))))))</f>
        <v>0</v>
      </c>
      <c r="R17" s="89">
        <f>IF(OR($R$4=Bron!$B$8,$R$4=Bron!$B$9,$R$4=Bron!$B$15),'Bouwkost NB'!$Y29,IF($R$4=Bron!$B$10,'Bouwkost UITB'!$Y28,IF($R$4=Bron!$B$11,'Bouwkost VERB'!$Y28,IF($R$4=Bron!$B$12,'Bouwkost IER'!$Y27,IF(OR($R$4=Bron!$B$13,$R$4=Bron!$B$14),'Bouwkost VOLT'!$Y28,IF($R$4=Bron!$C$16,'Bouwkost AK+VERB'!$Y28,0))))))</f>
        <v>0</v>
      </c>
      <c r="T17" s="89">
        <f>IF(OR($T$4=Bron!$B$8,$T$4=Bron!$B$9,$T$4=Bron!$B$15),'Bouwkost NB'!$Y29,IF($T$4=Bron!$B$10,'Bouwkost UITB'!$Y28,IF($T$4=Bron!$B$11,'Bouwkost VERB'!$Y28,IF($T$4=Bron!$B$12,'Bouwkost IER'!$Y27,IF(OR($T$4=Bron!$B$13,$T$4=Bron!$B$14),'Bouwkost VOLT'!$Y28,IF($T$4=Bron!$C$16,'Bouwkost AK+VERB'!$Y28,0))))))</f>
        <v>0</v>
      </c>
      <c r="V17" s="89">
        <f>IF(OR($N$4=Bron!$B$8,$N$4=Bron!$B$9,$N$4=Bron!$B$15),'Bouwkost NB'!$Y29,IF($N$4=Bron!$B$10,'Bouwkost UITB'!$Y28,IF($N$4=Bron!$B$11,'Bouwkost VERB'!$Y28,IF($N$4=Bron!$B$12,'Bouwkost IER'!$Y27,IF(OR($N$4=Bron!$B$13,$N$4=Bron!$B$14),'Bouwkost VOLT'!$Y28,IF($N$4=Bron!$C$16,'Bouwkost AK+VERB'!$Y28,0))))))</f>
        <v>0</v>
      </c>
      <c r="X17" s="89">
        <f>IF(OR($X$4=Bron!$B$8,$X$4=Bron!$B$9,$X$4=Bron!$B$15),'Bouwkost NB'!$Y29,IF($X$4=Bron!$B$10,'Bouwkost UITB'!$Y28,IF($X$4=Bron!$B$11,'Bouwkost VERB'!$Y28,IF($X$4=Bron!$B$12,'Bouwkost IER'!$Y27,IF(OR($X$4=Bron!$B$13,$X$4=Bron!$B$14),'Bouwkost VOLT'!$Y28,IF($X$4=Bron!$C$16,'Bouwkost AK+VERB'!$Y28,0))))))</f>
        <v>0</v>
      </c>
    </row>
    <row r="18" spans="1:24" x14ac:dyDescent="0.3">
      <c r="A18" s="640" t="s">
        <v>430</v>
      </c>
      <c r="B18" s="89">
        <f>IF(OR($B$4=Bron!$B$8,$B$4=Bron!$B$9,$B$4=Bron!$B$15),'Bouwkost NB'!$C30,IF($B$4=Bron!$B$10,'Bouwkost UITB'!$C29,IF($B$4=Bron!$B$11,'Bouwkost VERB'!$C29,IF($B$4=Bron!$B$12,'Bouwkost IER'!$C28,IF(OR($B$4=Bron!$B$13,$B$4=Bron!$B$14),'Bouwkost VOLT'!$C29,IF($B$4=Bron!$C$16,'Bouwkost AK+VERB'!$C29,0))))))</f>
        <v>0</v>
      </c>
      <c r="D18" s="89">
        <f>IF(OR($D$4=Bron!$B$8,$D$4=Bron!$B$9,$D$4=Bron!$B$15),'Bouwkost NB'!$C30,IF($D$4=Bron!$B$10,'Bouwkost UITB'!$C29,IF($D$4=Bron!$B$11,'Bouwkost VERB'!$C29,IF($D$4=Bron!$B$12,'Bouwkost IER'!$C28,IF(OR($D$4=Bron!$B$13,$D$4=Bron!$B$14),'Bouwkost VOLT'!$C29,IF($D$4=Bron!$C$16,'Bouwkost AK+VERB'!$C29,0))))))</f>
        <v>0</v>
      </c>
      <c r="F18" s="89">
        <f>IF(OR($F$4=Bron!$B$8,$F$4=Bron!$B$9,$F$4=Bron!$B$15),'Bouwkost NB'!$C30,IF($F$4=Bron!$B$10,'Bouwkost UITB'!$C29,IF($F$4=Bron!$B$11,'Bouwkost VERB'!$C29,IF($F$4=Bron!$B$12,'Bouwkost IER'!$C28,IF(OR($F$4=Bron!$B$13,$F$4=Bron!$B$14),'Bouwkost VOLT'!$C29,IF($F$4=Bron!$C$16,'Bouwkost AK+VERB'!$C29,0))))))</f>
        <v>0</v>
      </c>
      <c r="H18" s="89">
        <f>IF(OR($H$4=Bron!$B$8,$H$4=Bron!$B$9,$H$4=Bron!$B$15),'Bouwkost NB'!$C30,IF($H$4=Bron!$B$10,'Bouwkost UITB'!$C29,IF($H$4=Bron!$B$11,'Bouwkost VERB'!$C29,IF($H$4=Bron!$B$12,'Bouwkost IER'!$C28,IF(OR($H$4=Bron!$B$13,$H$4=Bron!$B$14),'Bouwkost VOLT'!$C29,IF($H$4=Bron!$C$16,'Bouwkost AK+VERB'!$C29,0))))))</f>
        <v>0</v>
      </c>
      <c r="J18" s="89">
        <f>IF(OR($J$4=Bron!$B$8,$J$4=Bron!$B$9,$J$4=Bron!$B$15),'Bouwkost NB'!$N30,IF($J$4=Bron!$B$10,'Bouwkost UITB'!$N29,IF($J$4=Bron!$B$11,'Bouwkost VERB'!$N29,IF($J$4=Bron!$B$12,'Bouwkost IER'!$N28,IF(OR($J$4=Bron!$B$13,$J$4=Bron!$B$14),'Bouwkost VOLT'!$N29,IF($J$4=Bron!$C$16,'Bouwkost AK+VERB'!$N29,0))))))</f>
        <v>0</v>
      </c>
      <c r="L18" s="89">
        <f>IF(OR($L$4=Bron!$B$8,$L$4=Bron!$B$9,$L$4=Bron!$B$15),'Bouwkost NB'!$N30,IF($L$4=Bron!$B$10,'Bouwkost UITB'!$N29,IF($L$4=Bron!$B$11,'Bouwkost VERB'!$N29,IF($L$4=Bron!$B$12,'Bouwkost IER'!$N28,IF(OR($L$4=Bron!$B$13,$L$4=Bron!$B$14),'Bouwkost VOLT'!$N29,IF($L$4=Bron!$C$16,'Bouwkost AK+VERB'!$N29,0))))))</f>
        <v>0</v>
      </c>
      <c r="N18" s="89">
        <f>IF(OR($N$4=Bron!$B$8,$N$4=Bron!$B$9,,$N$4=Bron!$B$15),'Bouwkost NB'!$N30,IF($N$4=Bron!$B$10,'Bouwkost UITB'!$N29,IF($N$4=Bron!$B$11,'Bouwkost VERB'!$N29,IF($N$4=Bron!$B$12,'Bouwkost IER'!$N28,IF(OR($N$4=Bron!$B$13,$N$4=Bron!$B$14),'Bouwkost VOLT'!$N29,IF($N$4=Bron!$C$16,'Bouwkost AK+VERB'!$N29,0))))))</f>
        <v>0</v>
      </c>
      <c r="P18" s="89">
        <f>IF(OR($P$4=Bron!$B$8,$P$4=Bron!$B$9,$P$4=Bron!$B$15),'Bouwkost NB'!$N30,IF($P$4=Bron!$B$10,'Bouwkost UITB'!$N29,IF($P$4=Bron!$B$11,'Bouwkost VERB'!$N29,IF($P$4=Bron!$B$12,'Bouwkost IER'!$N28,IF(OR($P$4=Bron!$B$13,$P$4=Bron!$B$14),'Bouwkost VOLT'!$N29,IF($P$4=Bron!$C$16,'Bouwkost AK+VERB'!$N29,0))))))</f>
        <v>0</v>
      </c>
      <c r="R18" s="89">
        <f>IF(OR($R$4=Bron!$B$8,$R$4=Bron!$B$9,$R$4=Bron!$B$15),'Bouwkost NB'!$Y30,IF($R$4=Bron!$B$10,'Bouwkost UITB'!$Y29,IF($R$4=Bron!$B$11,'Bouwkost VERB'!$Y29,IF($R$4=Bron!$B$12,'Bouwkost IER'!$Y28,IF(OR($R$4=Bron!$B$13,$R$4=Bron!$B$14),'Bouwkost VOLT'!$Y29,IF($R$4=Bron!$C$16,'Bouwkost AK+VERB'!$Y29,0))))))</f>
        <v>0</v>
      </c>
      <c r="T18" s="89">
        <f>IF(OR($T$4=Bron!$B$8,$T$4=Bron!$B$9,$T$4=Bron!$B$15),'Bouwkost NB'!$Y30,IF($T$4=Bron!$B$10,'Bouwkost UITB'!$Y29,IF($T$4=Bron!$B$11,'Bouwkost VERB'!$Y29,IF($T$4=Bron!$B$12,'Bouwkost IER'!$Y28,IF(OR($T$4=Bron!$B$13,$T$4=Bron!$B$14),'Bouwkost VOLT'!$Y29,IF($T$4=Bron!$C$16,'Bouwkost AK+VERB'!$Y29,0))))))</f>
        <v>0</v>
      </c>
      <c r="V18" s="89">
        <f>IF(OR($N$4=Bron!$B$8,$N$4=Bron!$B$9,$N$4=Bron!$B$15),'Bouwkost NB'!$Y30,IF($N$4=Bron!$B$10,'Bouwkost UITB'!$Y29,IF($N$4=Bron!$B$11,'Bouwkost VERB'!$Y29,IF($N$4=Bron!$B$12,'Bouwkost IER'!$Y28,IF(OR($N$4=Bron!$B$13,$N$4=Bron!$B$14),'Bouwkost VOLT'!$Y29,IF($N$4=Bron!$C$16,'Bouwkost AK+VERB'!$Y29,0))))))</f>
        <v>0</v>
      </c>
      <c r="X18" s="89">
        <f>IF(OR($X$4=Bron!$B$8,$X$4=Bron!$B$9,$X$4=Bron!$B$15),'Bouwkost NB'!$Y30,IF($X$4=Bron!$B$10,'Bouwkost UITB'!$Y29,IF($X$4=Bron!$B$11,'Bouwkost VERB'!$Y29,IF($X$4=Bron!$B$12,'Bouwkost IER'!$Y28,IF(OR($X$4=Bron!$B$13,$X$4=Bron!$B$14),'Bouwkost VOLT'!$Y29,IF($X$4=Bron!$C$16,'Bouwkost AK+VERB'!$Y29,0))))))</f>
        <v>0</v>
      </c>
    </row>
    <row r="19" spans="1:24" x14ac:dyDescent="0.3">
      <c r="A19" s="640" t="s">
        <v>431</v>
      </c>
      <c r="B19" s="89">
        <f>IF(OR($B$4=Bron!$B$8,$B$4=Bron!$B$9,$B$4=Bron!$B$15),'Bouwkost NB'!$C31,IF($B$4=Bron!$B$10,'Bouwkost UITB'!$C30,IF($B$4=Bron!$B$11,'Bouwkost VERB'!$C30,IF($B$4=Bron!$B$12,'Bouwkost IER'!$C29,IF(OR($B$4=Bron!$B$13,$B$4=Bron!$B$14),'Bouwkost VOLT'!$C30,IF($B$4=Bron!$C$16,'Bouwkost AK+VERB'!$C30,0))))))</f>
        <v>0</v>
      </c>
      <c r="D19" s="89">
        <f>IF(OR($D$4=Bron!$B$8,$D$4=Bron!$B$9,$D$4=Bron!$B$15),'Bouwkost NB'!$C31,IF($D$4=Bron!$B$10,'Bouwkost UITB'!$C30,IF($D$4=Bron!$B$11,'Bouwkost VERB'!$C30,IF($D$4=Bron!$B$12,'Bouwkost IER'!$C29,IF(OR($D$4=Bron!$B$13,$D$4=Bron!$B$14),'Bouwkost VOLT'!$C30,IF($D$4=Bron!$C$16,'Bouwkost AK+VERB'!$C30,0))))))</f>
        <v>0</v>
      </c>
      <c r="F19" s="89">
        <f>IF(OR($F$4=Bron!$B$8,$F$4=Bron!$B$9,$F$4=Bron!$B$15),'Bouwkost NB'!$C31,IF($F$4=Bron!$B$10,'Bouwkost UITB'!$C30,IF($F$4=Bron!$B$11,'Bouwkost VERB'!$C30,IF($F$4=Bron!$B$12,'Bouwkost IER'!$C29,IF(OR($F$4=Bron!$B$13,$F$4=Bron!$B$14),'Bouwkost VOLT'!$C30,IF($F$4=Bron!$C$16,'Bouwkost AK+VERB'!$C30,0))))))</f>
        <v>0</v>
      </c>
      <c r="H19" s="89">
        <f>IF(OR($H$4=Bron!$B$8,$H$4=Bron!$B$9,$H$4=Bron!$B$15),'Bouwkost NB'!$C31,IF($H$4=Bron!$B$10,'Bouwkost UITB'!$C30,IF($H$4=Bron!$B$11,'Bouwkost VERB'!$C30,IF($H$4=Bron!$B$12,'Bouwkost IER'!$C29,IF(OR($H$4=Bron!$B$13,$H$4=Bron!$B$14),'Bouwkost VOLT'!$C30,IF($H$4=Bron!$C$16,'Bouwkost AK+VERB'!$C30,0))))))</f>
        <v>0</v>
      </c>
      <c r="J19" s="89">
        <f>IF(OR($J$4=Bron!$B$8,$J$4=Bron!$B$9,$J$4=Bron!$B$15),'Bouwkost NB'!$N31,IF($J$4=Bron!$B$10,'Bouwkost UITB'!$N30,IF($J$4=Bron!$B$11,'Bouwkost VERB'!$N30,IF($J$4=Bron!$B$12,'Bouwkost IER'!$N29,IF(OR($J$4=Bron!$B$13,$J$4=Bron!$B$14),'Bouwkost VOLT'!$N30,IF($J$4=Bron!$C$16,'Bouwkost AK+VERB'!$N30,0))))))</f>
        <v>0</v>
      </c>
      <c r="L19" s="89">
        <f>IF(OR($L$4=Bron!$B$8,$L$4=Bron!$B$9,$L$4=Bron!$B$15),'Bouwkost NB'!$N31,IF($L$4=Bron!$B$10,'Bouwkost UITB'!$N30,IF($L$4=Bron!$B$11,'Bouwkost VERB'!$N30,IF($L$4=Bron!$B$12,'Bouwkost IER'!$N29,IF(OR($L$4=Bron!$B$13,$L$4=Bron!$B$14),'Bouwkost VOLT'!$N30,IF($L$4=Bron!$C$16,'Bouwkost AK+VERB'!$N30,0))))))</f>
        <v>0</v>
      </c>
      <c r="N19" s="89">
        <f>IF(OR($N$4=Bron!$B$8,$N$4=Bron!$B$9,,$N$4=Bron!$B$15),'Bouwkost NB'!$N31,IF($N$4=Bron!$B$10,'Bouwkost UITB'!$N30,IF($N$4=Bron!$B$11,'Bouwkost VERB'!$N30,IF($N$4=Bron!$B$12,'Bouwkost IER'!$N29,IF(OR($N$4=Bron!$B$13,$N$4=Bron!$B$14),'Bouwkost VOLT'!$N30,IF($N$4=Bron!$C$16,'Bouwkost AK+VERB'!$N30,0))))))</f>
        <v>0</v>
      </c>
      <c r="P19" s="89">
        <f>IF(OR($P$4=Bron!$B$8,$P$4=Bron!$B$9,$P$4=Bron!$B$15),'Bouwkost NB'!$N31,IF($P$4=Bron!$B$10,'Bouwkost UITB'!$N30,IF($P$4=Bron!$B$11,'Bouwkost VERB'!$N30,IF($P$4=Bron!$B$12,'Bouwkost IER'!$N29,IF(OR($P$4=Bron!$B$13,$P$4=Bron!$B$14),'Bouwkost VOLT'!$N30,IF($P$4=Bron!$C$16,'Bouwkost AK+VERB'!$N30,0))))))</f>
        <v>0</v>
      </c>
      <c r="R19" s="89">
        <f>IF(OR($R$4=Bron!$B$8,$R$4=Bron!$B$9,$R$4=Bron!$B$15),'Bouwkost NB'!$Y31,IF($R$4=Bron!$B$10,'Bouwkost UITB'!$Y30,IF($R$4=Bron!$B$11,'Bouwkost VERB'!$Y30,IF($R$4=Bron!$B$12,'Bouwkost IER'!$Y29,IF(OR($R$4=Bron!$B$13,$R$4=Bron!$B$14),'Bouwkost VOLT'!$Y30,IF($R$4=Bron!$C$16,'Bouwkost AK+VERB'!$Y30,0))))))</f>
        <v>0</v>
      </c>
      <c r="T19" s="89">
        <f>IF(OR($T$4=Bron!$B$8,$T$4=Bron!$B$9,$T$4=Bron!$B$15),'Bouwkost NB'!$Y31,IF($T$4=Bron!$B$10,'Bouwkost UITB'!$Y30,IF($T$4=Bron!$B$11,'Bouwkost VERB'!$Y30,IF($T$4=Bron!$B$12,'Bouwkost IER'!$Y29,IF(OR($T$4=Bron!$B$13,$T$4=Bron!$B$14),'Bouwkost VOLT'!$Y30,IF($T$4=Bron!$C$16,'Bouwkost AK+VERB'!$Y30,0))))))</f>
        <v>0</v>
      </c>
      <c r="V19" s="89">
        <f>IF(OR($N$4=Bron!$B$8,$N$4=Bron!$B$9,$N$4=Bron!$B$15),'Bouwkost NB'!$Y31,IF($N$4=Bron!$B$10,'Bouwkost UITB'!$Y30,IF($N$4=Bron!$B$11,'Bouwkost VERB'!$Y30,IF($N$4=Bron!$B$12,'Bouwkost IER'!$Y29,IF(OR($N$4=Bron!$B$13,$N$4=Bron!$B$14),'Bouwkost VOLT'!$Y30,IF($N$4=Bron!$C$16,'Bouwkost AK+VERB'!$Y30,0))))))</f>
        <v>0</v>
      </c>
      <c r="X19" s="89">
        <f>IF(OR($X$4=Bron!$B$8,$X$4=Bron!$B$9,$X$4=Bron!$B$15),'Bouwkost NB'!$Y31,IF($X$4=Bron!$B$10,'Bouwkost UITB'!$Y30,IF($X$4=Bron!$B$11,'Bouwkost VERB'!$Y30,IF($X$4=Bron!$B$12,'Bouwkost IER'!$Y29,IF(OR($X$4=Bron!$B$13,$X$4=Bron!$B$14),'Bouwkost VOLT'!$Y30,IF($X$4=Bron!$C$16,'Bouwkost AK+VERB'!$Y30,0))))))</f>
        <v>0</v>
      </c>
    </row>
    <row r="20" spans="1:24" x14ac:dyDescent="0.3">
      <c r="A20" s="336" t="s">
        <v>124</v>
      </c>
      <c r="B20" s="810">
        <f>IF(OR($B$4=Bron!$B$8,$B$4=Bron!$B$9,$B$4=Bron!$B$15),'Bouwkost NB'!$C32,IF($B$4=Bron!$B$10,'Bouwkost UITB'!$C31,IF($B$4=Bron!$B$11,'Bouwkost VERB'!$C31,IF($B$4=Bron!$B$12,'Bouwkost IER'!$C30,IF(OR($B$4=Bron!$B$13,$B$4=Bron!$B$14),'Bouwkost VOLT'!$C31,IF($B$4=Bron!$C$16,'Bouwkost AK+VERB'!$C31,0))))))</f>
        <v>0</v>
      </c>
      <c r="C20" s="810"/>
      <c r="D20" s="810">
        <f>IF(OR($D$4=Bron!$B$8,$D$4=Bron!$B$9,$D$4=Bron!$B$15),'Bouwkost NB'!$C32,IF($D$4=Bron!$B$10,'Bouwkost UITB'!$C31,IF($D$4=Bron!$B$11,'Bouwkost VERB'!$C31,IF($D$4=Bron!$B$12,'Bouwkost IER'!$C30,IF(OR($D$4=Bron!$B$13,$D$4=Bron!$B$14),'Bouwkost VOLT'!$C31,IF($D$4=Bron!$C$16,'Bouwkost AK+VERB'!$C31,0))))))</f>
        <v>0</v>
      </c>
      <c r="E20" s="810"/>
      <c r="F20" s="810">
        <f>IF(OR($F$4=Bron!$B$8,$F$4=Bron!$B$9,$F$4=Bron!$B$15),'Bouwkost NB'!$C32,IF($F$4=Bron!$B$10,'Bouwkost UITB'!$C31,IF($F$4=Bron!$B$11,'Bouwkost VERB'!$C31,IF($F$4=Bron!$B$12,'Bouwkost IER'!$C30,IF(OR($F$4=Bron!$B$13,$F$4=Bron!$B$14),'Bouwkost VOLT'!$C31,IF($F$4=Bron!$C$16,'Bouwkost AK+VERB'!$C31,0))))))</f>
        <v>0</v>
      </c>
      <c r="G20" s="810"/>
      <c r="H20" s="810">
        <f>IF(OR($H$4=Bron!$B$8,$H$4=Bron!$B$9,$H$4=Bron!$B$15),'Bouwkost NB'!$C32,IF($H$4=Bron!$B$10,'Bouwkost UITB'!$C31,IF($H$4=Bron!$B$11,'Bouwkost VERB'!$C31,IF($H$4=Bron!$B$12,'Bouwkost IER'!$C30,IF(OR($H$4=Bron!$B$13,$H$4=Bron!$B$14),'Bouwkost VOLT'!$C31,IF($H$4=Bron!$C$16,'Bouwkost AK+VERB'!$C31,0))))))</f>
        <v>0</v>
      </c>
      <c r="I20" s="810"/>
      <c r="J20" s="810">
        <f>IF(OR($J$4=Bron!$B$8,$J$4=Bron!$B$9,$J$4=Bron!$B$15),'Bouwkost NB'!$N32,IF($J$4=Bron!$B$10,'Bouwkost UITB'!$N31,IF($J$4=Bron!$B$11,'Bouwkost VERB'!$N31,IF($J$4=Bron!$B$12,'Bouwkost IER'!$N30,IF(OR($J$4=Bron!$B$13,$J$4=Bron!$B$14),'Bouwkost VOLT'!$N31,IF($J$4=Bron!$C$16,'Bouwkost AK+VERB'!$N31,0))))))</f>
        <v>0</v>
      </c>
      <c r="K20" s="810"/>
      <c r="L20" s="810">
        <f>IF(OR($L$4=Bron!$B$8,$L$4=Bron!$B$9,$L$4=Bron!$B$15),'Bouwkost NB'!$N32,IF($L$4=Bron!$B$10,'Bouwkost UITB'!$N31,IF($L$4=Bron!$B$11,'Bouwkost VERB'!$N31,IF($L$4=Bron!$B$12,'Bouwkost IER'!$N30,IF(OR($L$4=Bron!$B$13,$L$4=Bron!$B$14),'Bouwkost VOLT'!$N31,IF($L$4=Bron!$C$16,'Bouwkost AK+VERB'!$N31,0))))))</f>
        <v>0</v>
      </c>
      <c r="M20" s="810"/>
      <c r="N20" s="810">
        <f>IF(OR($N$4=Bron!$B$8,$N$4=Bron!$B$9,,$N$4=Bron!$B$15),'Bouwkost NB'!$N32,IF($N$4=Bron!$B$10,'Bouwkost UITB'!$N31,IF($N$4=Bron!$B$11,'Bouwkost VERB'!$N31,IF($N$4=Bron!$B$12,'Bouwkost IER'!$N30,IF(OR($N$4=Bron!$B$13,$N$4=Bron!$B$14),'Bouwkost VOLT'!$N31,IF($N$4=Bron!$C$16,'Bouwkost AK+VERB'!$N31,0))))))</f>
        <v>0</v>
      </c>
      <c r="O20" s="810"/>
      <c r="P20" s="810">
        <f>IF(OR($P$4=Bron!$B$8,$P$4=Bron!$B$9,$P$4=Bron!$B$15),'Bouwkost NB'!$N32,IF($P$4=Bron!$B$10,'Bouwkost UITB'!$N31,IF($P$4=Bron!$B$11,'Bouwkost VERB'!$N31,IF($P$4=Bron!$B$12,'Bouwkost IER'!$N30,IF(OR($P$4=Bron!$B$13,$P$4=Bron!$B$14),'Bouwkost VOLT'!$N31,IF($P$4=Bron!$C$16,'Bouwkost AK+VERB'!$N31,0))))))</f>
        <v>0</v>
      </c>
      <c r="Q20" s="810"/>
      <c r="R20" s="810">
        <f>IF(OR($R$4=Bron!$B$8,$R$4=Bron!$B$9,$R$4=Bron!$B$15),'Bouwkost NB'!$Y32,IF($R$4=Bron!$B$10,'Bouwkost UITB'!$Y31,IF($R$4=Bron!$B$11,'Bouwkost VERB'!$Y31,IF($R$4=Bron!$B$12,'Bouwkost IER'!$Y30,IF(OR($R$4=Bron!$B$13,$R$4=Bron!$B$14),'Bouwkost VOLT'!$Y31,IF($R$4=Bron!$C$16,'Bouwkost AK+VERB'!$Y31,0))))))</f>
        <v>0</v>
      </c>
      <c r="S20" s="810"/>
      <c r="T20" s="810">
        <f>IF(OR($T$4=Bron!$B$8,$T$4=Bron!$B$9,$T$4=Bron!$B$15),'Bouwkost NB'!$Y32,IF($T$4=Bron!$B$10,'Bouwkost UITB'!$Y31,IF($T$4=Bron!$B$11,'Bouwkost VERB'!$Y31,IF($T$4=Bron!$B$12,'Bouwkost IER'!$Y30,IF(OR($T$4=Bron!$B$13,$T$4=Bron!$B$14),'Bouwkost VOLT'!$Y31,IF($T$4=Bron!$C$16,'Bouwkost AK+VERB'!$Y31,0))))))</f>
        <v>0</v>
      </c>
      <c r="U20" s="810"/>
      <c r="V20" s="810">
        <f>IF(OR($N$4=Bron!$B$8,$N$4=Bron!$B$9,$N$4=Bron!$B$15),'Bouwkost NB'!$Y32,IF($N$4=Bron!$B$10,'Bouwkost UITB'!$Y31,IF($N$4=Bron!$B$11,'Bouwkost VERB'!$Y31,IF($N$4=Bron!$B$12,'Bouwkost IER'!$Y30,IF(OR($N$4=Bron!$B$13,$N$4=Bron!$B$14),'Bouwkost VOLT'!$Y31,IF($N$4=Bron!$C$16,'Bouwkost AK+VERB'!$Y31,0))))))</f>
        <v>0</v>
      </c>
      <c r="W20" s="810"/>
      <c r="X20" s="810">
        <f>IF(OR($X$4=Bron!$B$8,$X$4=Bron!$B$9,$X$4=Bron!$B$15),'Bouwkost NB'!$Y32,IF($X$4=Bron!$B$10,'Bouwkost UITB'!$Y31,IF($X$4=Bron!$B$11,'Bouwkost VERB'!$Y31,IF($X$4=Bron!$B$12,'Bouwkost IER'!$Y30,IF(OR($X$4=Bron!$B$13,$X$4=Bron!$B$14),'Bouwkost VOLT'!$Y31,IF($X$4=Bron!$C$16,'Bouwkost AK+VERB'!$Y31,0))))))</f>
        <v>0</v>
      </c>
    </row>
    <row r="21" spans="1:24" x14ac:dyDescent="0.3">
      <c r="A21" s="640" t="s">
        <v>433</v>
      </c>
      <c r="B21" s="89">
        <f>IF(OR($B$4=Bron!$B$8,$B$4=Bron!$B$9,$B$4=Bron!$B$15),'Bouwkost NB'!$C33,IF($B$4=Bron!$B$10,'Bouwkost UITB'!$C32,IF($B$4=Bron!$B$11,'Bouwkost VERB'!$C32,IF($B$4=Bron!$B$12,'Bouwkost IER'!$C31,IF(OR($B$4=Bron!$B$13,$B$4=Bron!$B$14),'Bouwkost VOLT'!$C32,IF($B$4=Bron!$C$16,'Bouwkost AK+VERB'!$C32,0))))))</f>
        <v>0</v>
      </c>
      <c r="D21" s="89">
        <f>IF(OR($D$4=Bron!$B$8,$D$4=Bron!$B$9,$D$4=Bron!$B$15),'Bouwkost NB'!$C33,IF($D$4=Bron!$B$10,'Bouwkost UITB'!$C32,IF($D$4=Bron!$B$11,'Bouwkost VERB'!$C32,IF($D$4=Bron!$B$12,'Bouwkost IER'!$C31,IF(OR($D$4=Bron!$B$13,$D$4=Bron!$B$14),'Bouwkost VOLT'!$C32,IF($D$4=Bron!$C$16,'Bouwkost AK+VERB'!$C32,0))))))</f>
        <v>0</v>
      </c>
      <c r="F21" s="89">
        <f>IF(OR($F$4=Bron!$B$8,$F$4=Bron!$B$9,$F$4=Bron!$B$15),'Bouwkost NB'!$C33,IF($F$4=Bron!$B$10,'Bouwkost UITB'!$C32,IF($F$4=Bron!$B$11,'Bouwkost VERB'!$C32,IF($F$4=Bron!$B$12,'Bouwkost IER'!$C31,IF(OR($F$4=Bron!$B$13,$F$4=Bron!$B$14),'Bouwkost VOLT'!$C32,IF($F$4=Bron!$C$16,'Bouwkost AK+VERB'!$C32,0))))))</f>
        <v>0</v>
      </c>
      <c r="H21" s="89">
        <f>IF(OR($H$4=Bron!$B$8,$H$4=Bron!$B$9,$H$4=Bron!$B$15),'Bouwkost NB'!$C33,IF($H$4=Bron!$B$10,'Bouwkost UITB'!$C32,IF($H$4=Bron!$B$11,'Bouwkost VERB'!$C32,IF($H$4=Bron!$B$12,'Bouwkost IER'!$C31,IF(OR($H$4=Bron!$B$13,$H$4=Bron!$B$14),'Bouwkost VOLT'!$C32,IF($H$4=Bron!$C$16,'Bouwkost AK+VERB'!$C32,0))))))</f>
        <v>0</v>
      </c>
      <c r="J21" s="89">
        <f>IF(OR($J$4=Bron!$B$8,$J$4=Bron!$B$9,$J$4=Bron!$B$15),'Bouwkost NB'!$N33,IF($J$4=Bron!$B$10,'Bouwkost UITB'!$N32,IF($J$4=Bron!$B$11,'Bouwkost VERB'!$N32,IF($J$4=Bron!$B$12,'Bouwkost IER'!$N31,IF(OR($J$4=Bron!$B$13,$J$4=Bron!$B$14),'Bouwkost VOLT'!$N32,IF($J$4=Bron!$C$16,'Bouwkost AK+VERB'!$N32,0))))))</f>
        <v>0</v>
      </c>
      <c r="L21" s="89">
        <f>IF(OR($L$4=Bron!$B$8,$L$4=Bron!$B$9,$L$4=Bron!$B$15),'Bouwkost NB'!$N33,IF($L$4=Bron!$B$10,'Bouwkost UITB'!$N32,IF($L$4=Bron!$B$11,'Bouwkost VERB'!$N32,IF($L$4=Bron!$B$12,'Bouwkost IER'!$N31,IF(OR($L$4=Bron!$B$13,$L$4=Bron!$B$14),'Bouwkost VOLT'!$N32,IF($L$4=Bron!$C$16,'Bouwkost AK+VERB'!$N32,0))))))</f>
        <v>0</v>
      </c>
      <c r="N21" s="89">
        <f>IF(OR($N$4=Bron!$B$8,$N$4=Bron!$B$9,,$N$4=Bron!$B$15),'Bouwkost NB'!$N33,IF($N$4=Bron!$B$10,'Bouwkost UITB'!$N32,IF($N$4=Bron!$B$11,'Bouwkost VERB'!$N32,IF($N$4=Bron!$B$12,'Bouwkost IER'!$N31,IF(OR($N$4=Bron!$B$13,$N$4=Bron!$B$14),'Bouwkost VOLT'!$N32,IF($N$4=Bron!$C$16,'Bouwkost AK+VERB'!$N32,0))))))</f>
        <v>0</v>
      </c>
      <c r="P21" s="89">
        <f>IF(OR($P$4=Bron!$B$8,$P$4=Bron!$B$9,$P$4=Bron!$B$15),'Bouwkost NB'!$N33,IF($P$4=Bron!$B$10,'Bouwkost UITB'!$N32,IF($P$4=Bron!$B$11,'Bouwkost VERB'!$N32,IF($P$4=Bron!$B$12,'Bouwkost IER'!$N31,IF(OR($P$4=Bron!$B$13,$P$4=Bron!$B$14),'Bouwkost VOLT'!$N32,IF($P$4=Bron!$C$16,'Bouwkost AK+VERB'!$N32,0))))))</f>
        <v>0</v>
      </c>
      <c r="R21" s="89">
        <f>IF(OR($R$4=Bron!$B$8,$R$4=Bron!$B$9,$R$4=Bron!$B$15),'Bouwkost NB'!$Y33,IF($R$4=Bron!$B$10,'Bouwkost UITB'!$Y32,IF($R$4=Bron!$B$11,'Bouwkost VERB'!$Y32,IF($R$4=Bron!$B$12,'Bouwkost IER'!$Y31,IF(OR($R$4=Bron!$B$13,$R$4=Bron!$B$14),'Bouwkost VOLT'!$Y32,IF($R$4=Bron!$C$16,'Bouwkost AK+VERB'!$Y32,0))))))</f>
        <v>0</v>
      </c>
      <c r="T21" s="89">
        <f>IF(OR($T$4=Bron!$B$8,$T$4=Bron!$B$9,$T$4=Bron!$B$15),'Bouwkost NB'!$Y33,IF($T$4=Bron!$B$10,'Bouwkost UITB'!$Y32,IF($T$4=Bron!$B$11,'Bouwkost VERB'!$Y32,IF($T$4=Bron!$B$12,'Bouwkost IER'!$Y31,IF(OR($T$4=Bron!$B$13,$T$4=Bron!$B$14),'Bouwkost VOLT'!$Y32,IF($T$4=Bron!$C$16,'Bouwkost AK+VERB'!$Y32,0))))))</f>
        <v>0</v>
      </c>
      <c r="V21" s="89">
        <f>IF(OR($N$4=Bron!$B$8,$N$4=Bron!$B$9,$N$4=Bron!$B$15),'Bouwkost NB'!$Y33,IF($N$4=Bron!$B$10,'Bouwkost UITB'!$Y32,IF($N$4=Bron!$B$11,'Bouwkost VERB'!$Y32,IF($N$4=Bron!$B$12,'Bouwkost IER'!$Y31,IF(OR($N$4=Bron!$B$13,$N$4=Bron!$B$14),'Bouwkost VOLT'!$Y32,IF($N$4=Bron!$C$16,'Bouwkost AK+VERB'!$Y32,0))))))</f>
        <v>0</v>
      </c>
      <c r="X21" s="89">
        <f>IF(OR($X$4=Bron!$B$8,$X$4=Bron!$B$9,$X$4=Bron!$B$15),'Bouwkost NB'!$Y33,IF($X$4=Bron!$B$10,'Bouwkost UITB'!$Y32,IF($X$4=Bron!$B$11,'Bouwkost VERB'!$Y32,IF($X$4=Bron!$B$12,'Bouwkost IER'!$Y31,IF(OR($X$4=Bron!$B$13,$X$4=Bron!$B$14),'Bouwkost VOLT'!$Y32,IF($X$4=Bron!$C$16,'Bouwkost AK+VERB'!$Y32,0))))))</f>
        <v>0</v>
      </c>
    </row>
    <row r="22" spans="1:24" x14ac:dyDescent="0.3">
      <c r="A22" s="640" t="s">
        <v>434</v>
      </c>
      <c r="B22" s="89">
        <f>IF(OR($B$4=Bron!$B$8,$B$4=Bron!$B$9,$B$4=Bron!$B$15),'Bouwkost NB'!$C34,IF($B$4=Bron!$B$10,'Bouwkost UITB'!$C33,IF($B$4=Bron!$B$11,'Bouwkost VERB'!$C33,IF($B$4=Bron!$B$12,'Bouwkost IER'!$C32,IF(OR($B$4=Bron!$B$13,$B$4=Bron!$B$14),'Bouwkost VOLT'!$C33,IF($B$4=Bron!$C$16,'Bouwkost AK+VERB'!$C33,0))))))</f>
        <v>0</v>
      </c>
      <c r="D22" s="89">
        <f>IF(OR($D$4=Bron!$B$8,$D$4=Bron!$B$9,$D$4=Bron!$B$15),'Bouwkost NB'!$C34,IF($D$4=Bron!$B$10,'Bouwkost UITB'!$C33,IF($D$4=Bron!$B$11,'Bouwkost VERB'!$C33,IF($D$4=Bron!$B$12,'Bouwkost IER'!$C32,IF(OR($D$4=Bron!$B$13,$D$4=Bron!$B$14),'Bouwkost VOLT'!$C33,IF($D$4=Bron!$C$16,'Bouwkost AK+VERB'!$C33,0))))))</f>
        <v>0</v>
      </c>
      <c r="F22" s="89">
        <f>IF(OR($F$4=Bron!$B$8,$F$4=Bron!$B$9,$F$4=Bron!$B$15),'Bouwkost NB'!$C34,IF($F$4=Bron!$B$10,'Bouwkost UITB'!$C33,IF($F$4=Bron!$B$11,'Bouwkost VERB'!$C33,IF($F$4=Bron!$B$12,'Bouwkost IER'!$C32,IF(OR($F$4=Bron!$B$13,$F$4=Bron!$B$14),'Bouwkost VOLT'!$C33,IF($F$4=Bron!$C$16,'Bouwkost AK+VERB'!$C33,0))))))</f>
        <v>0</v>
      </c>
      <c r="H22" s="89">
        <f>IF(OR($H$4=Bron!$B$8,$H$4=Bron!$B$9,$H$4=Bron!$B$15),'Bouwkost NB'!$C34,IF($H$4=Bron!$B$10,'Bouwkost UITB'!$C33,IF($H$4=Bron!$B$11,'Bouwkost VERB'!$C33,IF($H$4=Bron!$B$12,'Bouwkost IER'!$C32,IF(OR($H$4=Bron!$B$13,$H$4=Bron!$B$14),'Bouwkost VOLT'!$C33,IF($H$4=Bron!$C$16,'Bouwkost AK+VERB'!$C33,0))))))</f>
        <v>0</v>
      </c>
      <c r="J22" s="89">
        <f>IF(OR($J$4=Bron!$B$8,$J$4=Bron!$B$9,$J$4=Bron!$B$15),'Bouwkost NB'!$N34,IF($J$4=Bron!$B$10,'Bouwkost UITB'!$N33,IF($J$4=Bron!$B$11,'Bouwkost VERB'!$N33,IF($J$4=Bron!$B$12,'Bouwkost IER'!$N32,IF(OR($J$4=Bron!$B$13,$J$4=Bron!$B$14),'Bouwkost VOLT'!$N33,IF($J$4=Bron!$C$16,'Bouwkost AK+VERB'!$N33,0))))))</f>
        <v>0</v>
      </c>
      <c r="L22" s="89">
        <f>IF(OR($L$4=Bron!$B$8,$L$4=Bron!$B$9,$L$4=Bron!$B$15),'Bouwkost NB'!$N34,IF($L$4=Bron!$B$10,'Bouwkost UITB'!$N33,IF($L$4=Bron!$B$11,'Bouwkost VERB'!$N33,IF($L$4=Bron!$B$12,'Bouwkost IER'!$N32,IF(OR($L$4=Bron!$B$13,$L$4=Bron!$B$14),'Bouwkost VOLT'!$N33,IF($L$4=Bron!$C$16,'Bouwkost AK+VERB'!$N33,0))))))</f>
        <v>0</v>
      </c>
      <c r="N22" s="89">
        <f>IF(OR($N$4=Bron!$B$8,$N$4=Bron!$B$9,,$N$4=Bron!$B$15),'Bouwkost NB'!$N34,IF($N$4=Bron!$B$10,'Bouwkost UITB'!$N33,IF($N$4=Bron!$B$11,'Bouwkost VERB'!$N33,IF($N$4=Bron!$B$12,'Bouwkost IER'!$N32,IF(OR($N$4=Bron!$B$13,$N$4=Bron!$B$14),'Bouwkost VOLT'!$N33,IF($N$4=Bron!$C$16,'Bouwkost AK+VERB'!$N33,0))))))</f>
        <v>0</v>
      </c>
      <c r="P22" s="89">
        <f>IF(OR($P$4=Bron!$B$8,$P$4=Bron!$B$9,$P$4=Bron!$B$15),'Bouwkost NB'!$N34,IF($P$4=Bron!$B$10,'Bouwkost UITB'!$N33,IF($P$4=Bron!$B$11,'Bouwkost VERB'!$N33,IF($P$4=Bron!$B$12,'Bouwkost IER'!$N32,IF(OR($P$4=Bron!$B$13,$P$4=Bron!$B$14),'Bouwkost VOLT'!$N33,IF($P$4=Bron!$C$16,'Bouwkost AK+VERB'!$N33,0))))))</f>
        <v>0</v>
      </c>
      <c r="R22" s="89">
        <f>IF(OR($R$4=Bron!$B$8,$R$4=Bron!$B$9,$R$4=Bron!$B$15),'Bouwkost NB'!$Y34,IF($R$4=Bron!$B$10,'Bouwkost UITB'!$Y33,IF($R$4=Bron!$B$11,'Bouwkost VERB'!$Y33,IF($R$4=Bron!$B$12,'Bouwkost IER'!$Y32,IF(OR($R$4=Bron!$B$13,$R$4=Bron!$B$14),'Bouwkost VOLT'!$Y33,IF($R$4=Bron!$C$16,'Bouwkost AK+VERB'!$Y33,0))))))</f>
        <v>0</v>
      </c>
      <c r="T22" s="89">
        <f>IF(OR($T$4=Bron!$B$8,$T$4=Bron!$B$9,$T$4=Bron!$B$15),'Bouwkost NB'!$Y34,IF($T$4=Bron!$B$10,'Bouwkost UITB'!$Y33,IF($T$4=Bron!$B$11,'Bouwkost VERB'!$Y33,IF($T$4=Bron!$B$12,'Bouwkost IER'!$Y32,IF(OR($T$4=Bron!$B$13,$T$4=Bron!$B$14),'Bouwkost VOLT'!$Y33,IF($T$4=Bron!$C$16,'Bouwkost AK+VERB'!$Y33,0))))))</f>
        <v>0</v>
      </c>
      <c r="V22" s="89">
        <f>IF(OR($N$4=Bron!$B$8,$N$4=Bron!$B$9,$N$4=Bron!$B$15),'Bouwkost NB'!$Y34,IF($N$4=Bron!$B$10,'Bouwkost UITB'!$Y33,IF($N$4=Bron!$B$11,'Bouwkost VERB'!$Y33,IF($N$4=Bron!$B$12,'Bouwkost IER'!$Y32,IF(OR($N$4=Bron!$B$13,$N$4=Bron!$B$14),'Bouwkost VOLT'!$Y33,IF($N$4=Bron!$C$16,'Bouwkost AK+VERB'!$Y33,0))))))</f>
        <v>0</v>
      </c>
      <c r="X22" s="89">
        <f>IF(OR($X$4=Bron!$B$8,$X$4=Bron!$B$9,$X$4=Bron!$B$15),'Bouwkost NB'!$Y34,IF($X$4=Bron!$B$10,'Bouwkost UITB'!$Y33,IF($X$4=Bron!$B$11,'Bouwkost VERB'!$Y33,IF($X$4=Bron!$B$12,'Bouwkost IER'!$Y32,IF(OR($X$4=Bron!$B$13,$X$4=Bron!$B$14),'Bouwkost VOLT'!$Y33,IF($X$4=Bron!$C$16,'Bouwkost AK+VERB'!$Y33,0))))))</f>
        <v>0</v>
      </c>
    </row>
    <row r="23" spans="1:24" x14ac:dyDescent="0.3">
      <c r="A23" s="640" t="s">
        <v>435</v>
      </c>
      <c r="B23" s="89">
        <f>IF(OR($B$4=Bron!$B$8,$B$4=Bron!$B$9,$B$4=Bron!$B$15),'Bouwkost NB'!$C35,IF($B$4=Bron!$B$10,'Bouwkost UITB'!$C34,IF($B$4=Bron!$B$11,'Bouwkost VERB'!$C34,IF($B$4=Bron!$B$12,'Bouwkost IER'!$C33,IF(OR($B$4=Bron!$B$13,$B$4=Bron!$B$14),'Bouwkost VOLT'!$C34,IF($B$4=Bron!$C$16,'Bouwkost AK+VERB'!$C34,0))))))</f>
        <v>0</v>
      </c>
      <c r="D23" s="89">
        <f>IF(OR($D$4=Bron!$B$8,$D$4=Bron!$B$9,$D$4=Bron!$B$15),'Bouwkost NB'!$C35,IF($D$4=Bron!$B$10,'Bouwkost UITB'!$C34,IF($D$4=Bron!$B$11,'Bouwkost VERB'!$C34,IF($D$4=Bron!$B$12,'Bouwkost IER'!$C33,IF(OR($D$4=Bron!$B$13,$D$4=Bron!$B$14),'Bouwkost VOLT'!$C34,IF($D$4=Bron!$C$16,'Bouwkost AK+VERB'!$C34,0))))))</f>
        <v>0</v>
      </c>
      <c r="F23" s="89">
        <f>IF(OR($F$4=Bron!$B$8,$F$4=Bron!$B$9,$F$4=Bron!$B$15),'Bouwkost NB'!$C35,IF($F$4=Bron!$B$10,'Bouwkost UITB'!$C34,IF($F$4=Bron!$B$11,'Bouwkost VERB'!$C34,IF($F$4=Bron!$B$12,'Bouwkost IER'!$C33,IF(OR($F$4=Bron!$B$13,$F$4=Bron!$B$14),'Bouwkost VOLT'!$C34,IF($F$4=Bron!$C$16,'Bouwkost AK+VERB'!$C34,0))))))</f>
        <v>0</v>
      </c>
      <c r="H23" s="89">
        <f>IF(OR($H$4=Bron!$B$8,$H$4=Bron!$B$9,$H$4=Bron!$B$15),'Bouwkost NB'!$C35,IF($H$4=Bron!$B$10,'Bouwkost UITB'!$C34,IF($H$4=Bron!$B$11,'Bouwkost VERB'!$C34,IF($H$4=Bron!$B$12,'Bouwkost IER'!$C33,IF(OR($H$4=Bron!$B$13,$H$4=Bron!$B$14),'Bouwkost VOLT'!$C34,IF($H$4=Bron!$C$16,'Bouwkost AK+VERB'!$C34,0))))))</f>
        <v>0</v>
      </c>
      <c r="J23" s="89">
        <f>IF(OR($J$4=Bron!$B$8,$J$4=Bron!$B$9,$J$4=Bron!$B$15),'Bouwkost NB'!$N35,IF($J$4=Bron!$B$10,'Bouwkost UITB'!$N34,IF($J$4=Bron!$B$11,'Bouwkost VERB'!$N34,IF($J$4=Bron!$B$12,'Bouwkost IER'!$N33,IF(OR($J$4=Bron!$B$13,$J$4=Bron!$B$14),'Bouwkost VOLT'!$N34,IF($J$4=Bron!$C$16,'Bouwkost AK+VERB'!$N34,0))))))</f>
        <v>0</v>
      </c>
      <c r="L23" s="89">
        <f>IF(OR($L$4=Bron!$B$8,$L$4=Bron!$B$9,$L$4=Bron!$B$15),'Bouwkost NB'!$N35,IF($L$4=Bron!$B$10,'Bouwkost UITB'!$N34,IF($L$4=Bron!$B$11,'Bouwkost VERB'!$N34,IF($L$4=Bron!$B$12,'Bouwkost IER'!$N33,IF(OR($L$4=Bron!$B$13,$L$4=Bron!$B$14),'Bouwkost VOLT'!$N34,IF($L$4=Bron!$C$16,'Bouwkost AK+VERB'!$N34,0))))))</f>
        <v>0</v>
      </c>
      <c r="N23" s="89">
        <f>IF(OR($N$4=Bron!$B$8,$N$4=Bron!$B$9,,$N$4=Bron!$B$15),'Bouwkost NB'!$N35,IF($N$4=Bron!$B$10,'Bouwkost UITB'!$N34,IF($N$4=Bron!$B$11,'Bouwkost VERB'!$N34,IF($N$4=Bron!$B$12,'Bouwkost IER'!$N33,IF(OR($N$4=Bron!$B$13,$N$4=Bron!$B$14),'Bouwkost VOLT'!$N34,IF($N$4=Bron!$C$16,'Bouwkost AK+VERB'!$N34,0))))))</f>
        <v>0</v>
      </c>
      <c r="P23" s="89">
        <f>IF(OR($P$4=Bron!$B$8,$P$4=Bron!$B$9,$P$4=Bron!$B$15),'Bouwkost NB'!$N35,IF($P$4=Bron!$B$10,'Bouwkost UITB'!$N34,IF($P$4=Bron!$B$11,'Bouwkost VERB'!$N34,IF($P$4=Bron!$B$12,'Bouwkost IER'!$N33,IF(OR($P$4=Bron!$B$13,$P$4=Bron!$B$14),'Bouwkost VOLT'!$N34,IF($P$4=Bron!$C$16,'Bouwkost AK+VERB'!$N34,0))))))</f>
        <v>0</v>
      </c>
      <c r="R23" s="89">
        <f>IF(OR($R$4=Bron!$B$8,$R$4=Bron!$B$9,$R$4=Bron!$B$15),'Bouwkost NB'!$Y35,IF($R$4=Bron!$B$10,'Bouwkost UITB'!$Y34,IF($R$4=Bron!$B$11,'Bouwkost VERB'!$Y34,IF($R$4=Bron!$B$12,'Bouwkost IER'!$Y33,IF(OR($R$4=Bron!$B$13,$R$4=Bron!$B$14),'Bouwkost VOLT'!$Y34,IF($R$4=Bron!$C$16,'Bouwkost AK+VERB'!$Y34,0))))))</f>
        <v>0</v>
      </c>
      <c r="T23" s="89">
        <f>IF(OR($T$4=Bron!$B$8,$T$4=Bron!$B$9,$T$4=Bron!$B$15),'Bouwkost NB'!$Y35,IF($T$4=Bron!$B$10,'Bouwkost UITB'!$Y34,IF($T$4=Bron!$B$11,'Bouwkost VERB'!$Y34,IF($T$4=Bron!$B$12,'Bouwkost IER'!$Y33,IF(OR($T$4=Bron!$B$13,$T$4=Bron!$B$14),'Bouwkost VOLT'!$Y34,IF($T$4=Bron!$C$16,'Bouwkost AK+VERB'!$Y34,0))))))</f>
        <v>0</v>
      </c>
      <c r="V23" s="89">
        <f>IF(OR($N$4=Bron!$B$8,$N$4=Bron!$B$9,$N$4=Bron!$B$15),'Bouwkost NB'!$Y35,IF($N$4=Bron!$B$10,'Bouwkost UITB'!$Y34,IF($N$4=Bron!$B$11,'Bouwkost VERB'!$Y34,IF($N$4=Bron!$B$12,'Bouwkost IER'!$Y33,IF(OR($N$4=Bron!$B$13,$N$4=Bron!$B$14),'Bouwkost VOLT'!$Y34,IF($N$4=Bron!$C$16,'Bouwkost AK+VERB'!$Y34,0))))))</f>
        <v>0</v>
      </c>
      <c r="X23" s="89">
        <f>IF(OR($X$4=Bron!$B$8,$X$4=Bron!$B$9,$X$4=Bron!$B$15),'Bouwkost NB'!$Y35,IF($X$4=Bron!$B$10,'Bouwkost UITB'!$Y34,IF($X$4=Bron!$B$11,'Bouwkost VERB'!$Y34,IF($X$4=Bron!$B$12,'Bouwkost IER'!$Y33,IF(OR($X$4=Bron!$B$13,$X$4=Bron!$B$14),'Bouwkost VOLT'!$Y34,IF($X$4=Bron!$C$16,'Bouwkost AK+VERB'!$Y34,0))))))</f>
        <v>0</v>
      </c>
    </row>
    <row r="24" spans="1:24" x14ac:dyDescent="0.3">
      <c r="A24" s="641" t="s">
        <v>436</v>
      </c>
      <c r="B24" s="89">
        <f>IF(OR($B$4=Bron!$B$8,$B$4=Bron!$B$9,$B$4=Bron!$B$15),'Bouwkost NB'!$C36,IF($B$4=Bron!$B$10,'Bouwkost UITB'!$C35,IF($B$4=Bron!$B$11,'Bouwkost VERB'!$C35,IF($B$4=Bron!$B$12,'Bouwkost IER'!$C34,IF(OR($B$4=Bron!$B$13,$B$4=Bron!$B$14),'Bouwkost VOLT'!$C35,IF($B$4=Bron!$C$16,'Bouwkost AK+VERB'!$C35,0))))))</f>
        <v>0</v>
      </c>
      <c r="D24" s="89">
        <f>IF(OR($D$4=Bron!$B$8,$D$4=Bron!$B$9,$D$4=Bron!$B$15),'Bouwkost NB'!$C36,IF($D$4=Bron!$B$10,'Bouwkost UITB'!$C35,IF($D$4=Bron!$B$11,'Bouwkost VERB'!$C35,IF($D$4=Bron!$B$12,'Bouwkost IER'!$C34,IF(OR($D$4=Bron!$B$13,$D$4=Bron!$B$14),'Bouwkost VOLT'!$C35,IF($D$4=Bron!$C$16,'Bouwkost AK+VERB'!$C35,0))))))</f>
        <v>0</v>
      </c>
      <c r="F24" s="89">
        <f>IF(OR($F$4=Bron!$B$8,$F$4=Bron!$B$9,$F$4=Bron!$B$15),'Bouwkost NB'!$C36,IF($F$4=Bron!$B$10,'Bouwkost UITB'!$C35,IF($F$4=Bron!$B$11,'Bouwkost VERB'!$C35,IF($F$4=Bron!$B$12,'Bouwkost IER'!$C34,IF(OR($F$4=Bron!$B$13,$F$4=Bron!$B$14),'Bouwkost VOLT'!$C35,IF($F$4=Bron!$C$16,'Bouwkost AK+VERB'!$C35,0))))))</f>
        <v>0</v>
      </c>
      <c r="H24" s="89">
        <f>IF(OR($H$4=Bron!$B$8,$H$4=Bron!$B$9,$H$4=Bron!$B$15),'Bouwkost NB'!$C36,IF($H$4=Bron!$B$10,'Bouwkost UITB'!$C35,IF($H$4=Bron!$B$11,'Bouwkost VERB'!$C35,IF($H$4=Bron!$B$12,'Bouwkost IER'!$C34,IF(OR($H$4=Bron!$B$13,$H$4=Bron!$B$14),'Bouwkost VOLT'!$C35,IF($H$4=Bron!$C$16,'Bouwkost AK+VERB'!$C35,0))))))</f>
        <v>0</v>
      </c>
      <c r="J24" s="89">
        <f>IF(OR($J$4=Bron!$B$8,$J$4=Bron!$B$9,$J$4=Bron!$B$15),'Bouwkost NB'!$N36,IF($J$4=Bron!$B$10,'Bouwkost UITB'!$N35,IF($J$4=Bron!$B$11,'Bouwkost VERB'!$N35,IF($J$4=Bron!$B$12,'Bouwkost IER'!$N34,IF(OR($J$4=Bron!$B$13,$J$4=Bron!$B$14),'Bouwkost VOLT'!$N35,IF($J$4=Bron!$C$16,'Bouwkost AK+VERB'!$N35,0))))))</f>
        <v>0</v>
      </c>
      <c r="L24" s="89">
        <f>IF(OR($L$4=Bron!$B$8,$L$4=Bron!$B$9,$L$4=Bron!$B$15),'Bouwkost NB'!$N36,IF($L$4=Bron!$B$10,'Bouwkost UITB'!$N35,IF($L$4=Bron!$B$11,'Bouwkost VERB'!$N35,IF($L$4=Bron!$B$12,'Bouwkost IER'!$N34,IF(OR($L$4=Bron!$B$13,$L$4=Bron!$B$14),'Bouwkost VOLT'!$N35,IF($L$4=Bron!$C$16,'Bouwkost AK+VERB'!$N35,0))))))</f>
        <v>0</v>
      </c>
      <c r="N24" s="89">
        <f>IF(OR($N$4=Bron!$B$8,$N$4=Bron!$B$9,,$N$4=Bron!$B$15),'Bouwkost NB'!$N36,IF($N$4=Bron!$B$10,'Bouwkost UITB'!$N35,IF($N$4=Bron!$B$11,'Bouwkost VERB'!$N35,IF($N$4=Bron!$B$12,'Bouwkost IER'!$N34,IF(OR($N$4=Bron!$B$13,$N$4=Bron!$B$14),'Bouwkost VOLT'!$N35,IF($N$4=Bron!$C$16,'Bouwkost AK+VERB'!$N35,0))))))</f>
        <v>0</v>
      </c>
      <c r="P24" s="89">
        <f>IF(OR($P$4=Bron!$B$8,$P$4=Bron!$B$9,$P$4=Bron!$B$15),'Bouwkost NB'!$N36,IF($P$4=Bron!$B$10,'Bouwkost UITB'!$N35,IF($P$4=Bron!$B$11,'Bouwkost VERB'!$N35,IF($P$4=Bron!$B$12,'Bouwkost IER'!$N34,IF(OR($P$4=Bron!$B$13,$P$4=Bron!$B$14),'Bouwkost VOLT'!$N35,IF($P$4=Bron!$C$16,'Bouwkost AK+VERB'!$N35,0))))))</f>
        <v>0</v>
      </c>
      <c r="R24" s="89">
        <f>IF(OR($R$4=Bron!$B$8,$R$4=Bron!$B$9,$R$4=Bron!$B$15),'Bouwkost NB'!$Y36,IF($R$4=Bron!$B$10,'Bouwkost UITB'!$Y35,IF($R$4=Bron!$B$11,'Bouwkost VERB'!$Y35,IF($R$4=Bron!$B$12,'Bouwkost IER'!$Y34,IF(OR($R$4=Bron!$B$13,$R$4=Bron!$B$14),'Bouwkost VOLT'!$Y35,IF($R$4=Bron!$C$16,'Bouwkost AK+VERB'!$Y35,0))))))</f>
        <v>0</v>
      </c>
      <c r="T24" s="89">
        <f>IF(OR($T$4=Bron!$B$8,$T$4=Bron!$B$9,$T$4=Bron!$B$15),'Bouwkost NB'!$Y36,IF($T$4=Bron!$B$10,'Bouwkost UITB'!$Y35,IF($T$4=Bron!$B$11,'Bouwkost VERB'!$Y35,IF($T$4=Bron!$B$12,'Bouwkost IER'!$Y34,IF(OR($T$4=Bron!$B$13,$T$4=Bron!$B$14),'Bouwkost VOLT'!$Y35,IF($T$4=Bron!$C$16,'Bouwkost AK+VERB'!$Y35,0))))))</f>
        <v>0</v>
      </c>
      <c r="V24" s="89">
        <f>IF(OR($N$4=Bron!$B$8,$N$4=Bron!$B$9,$N$4=Bron!$B$15),'Bouwkost NB'!$Y36,IF($N$4=Bron!$B$10,'Bouwkost UITB'!$Y35,IF($N$4=Bron!$B$11,'Bouwkost VERB'!$Y35,IF($N$4=Bron!$B$12,'Bouwkost IER'!$Y34,IF(OR($N$4=Bron!$B$13,$N$4=Bron!$B$14),'Bouwkost VOLT'!$Y35,IF($N$4=Bron!$C$16,'Bouwkost AK+VERB'!$Y35,0))))))</f>
        <v>0</v>
      </c>
      <c r="X24" s="89">
        <f>IF(OR($X$4=Bron!$B$8,$X$4=Bron!$B$9,$X$4=Bron!$B$15),'Bouwkost NB'!$Y36,IF($X$4=Bron!$B$10,'Bouwkost UITB'!$Y35,IF($X$4=Bron!$B$11,'Bouwkost VERB'!$Y35,IF($X$4=Bron!$B$12,'Bouwkost IER'!$Y34,IF(OR($X$4=Bron!$B$13,$X$4=Bron!$B$14),'Bouwkost VOLT'!$Y35,IF($X$4=Bron!$C$16,'Bouwkost AK+VERB'!$Y35,0))))))</f>
        <v>0</v>
      </c>
    </row>
    <row r="25" spans="1:24" x14ac:dyDescent="0.3">
      <c r="A25" s="641" t="s">
        <v>429</v>
      </c>
      <c r="B25" s="89">
        <f>IF(OR($B$4=Bron!$B$8,$B$4=Bron!$B$9,$B$4=Bron!$B$15),'Bouwkost NB'!$C37,IF($B$4=Bron!$B$10,'Bouwkost UITB'!$C36,IF($B$4=Bron!$B$11,'Bouwkost VERB'!$C36,IF($B$4=Bron!$B$12,'Bouwkost IER'!$C35,IF(OR($B$4=Bron!$B$13,$B$4=Bron!$B$14),'Bouwkost VOLT'!$C36,IF($B$4=Bron!$C$16,'Bouwkost AK+VERB'!$C36,0))))))</f>
        <v>0</v>
      </c>
      <c r="D25" s="89">
        <f>IF(OR($D$4=Bron!$B$8,$D$4=Bron!$B$9,$D$4=Bron!$B$15),'Bouwkost NB'!$C37,IF($D$4=Bron!$B$10,'Bouwkost UITB'!$C36,IF($D$4=Bron!$B$11,'Bouwkost VERB'!$C36,IF($D$4=Bron!$B$12,'Bouwkost IER'!$C35,IF(OR($D$4=Bron!$B$13,$D$4=Bron!$B$14),'Bouwkost VOLT'!$C36,IF($D$4=Bron!$C$16,'Bouwkost AK+VERB'!$C36,0))))))</f>
        <v>0</v>
      </c>
      <c r="F25" s="89">
        <f>IF(OR($F$4=Bron!$B$8,$F$4=Bron!$B$9,$F$4=Bron!$B$15),'Bouwkost NB'!$C37,IF($F$4=Bron!$B$10,'Bouwkost UITB'!$C36,IF($F$4=Bron!$B$11,'Bouwkost VERB'!$C36,IF($F$4=Bron!$B$12,'Bouwkost IER'!$C35,IF(OR($F$4=Bron!$B$13,$F$4=Bron!$B$14),'Bouwkost VOLT'!$C36,IF($F$4=Bron!$C$16,'Bouwkost AK+VERB'!$C36,0))))))</f>
        <v>0</v>
      </c>
      <c r="H25" s="89">
        <f>IF(OR($H$4=Bron!$B$8,$H$4=Bron!$B$9,$H$4=Bron!$B$15),'Bouwkost NB'!$C37,IF($H$4=Bron!$B$10,'Bouwkost UITB'!$C36,IF($H$4=Bron!$B$11,'Bouwkost VERB'!$C36,IF($H$4=Bron!$B$12,'Bouwkost IER'!$C35,IF(OR($H$4=Bron!$B$13,$H$4=Bron!$B$14),'Bouwkost VOLT'!$C36,IF($H$4=Bron!$C$16,'Bouwkost AK+VERB'!$C36,0))))))</f>
        <v>0</v>
      </c>
      <c r="J25" s="89">
        <f>IF(OR($J$4=Bron!$B$8,$J$4=Bron!$B$9,$J$4=Bron!$B$15),'Bouwkost NB'!$N37,IF($J$4=Bron!$B$10,'Bouwkost UITB'!$N36,IF($J$4=Bron!$B$11,'Bouwkost VERB'!$N36,IF($J$4=Bron!$B$12,'Bouwkost IER'!$N35,IF(OR($J$4=Bron!$B$13,$J$4=Bron!$B$14),'Bouwkost VOLT'!$N36,IF($J$4=Bron!$C$16,'Bouwkost AK+VERB'!$N36,0))))))</f>
        <v>0</v>
      </c>
      <c r="L25" s="89">
        <f>IF(OR($L$4=Bron!$B$8,$L$4=Bron!$B$9,$L$4=Bron!$B$15),'Bouwkost NB'!$N37,IF($L$4=Bron!$B$10,'Bouwkost UITB'!$N36,IF($L$4=Bron!$B$11,'Bouwkost VERB'!$N36,IF($L$4=Bron!$B$12,'Bouwkost IER'!$N35,IF(OR($L$4=Bron!$B$13,$L$4=Bron!$B$14),'Bouwkost VOLT'!$N36,IF($L$4=Bron!$C$16,'Bouwkost AK+VERB'!$N36,0))))))</f>
        <v>0</v>
      </c>
      <c r="N25" s="89">
        <f>IF(OR($N$4=Bron!$B$8,$N$4=Bron!$B$9,,$N$4=Bron!$B$15),'Bouwkost NB'!$N37,IF($N$4=Bron!$B$10,'Bouwkost UITB'!$N36,IF($N$4=Bron!$B$11,'Bouwkost VERB'!$N36,IF($N$4=Bron!$B$12,'Bouwkost IER'!$N35,IF(OR($N$4=Bron!$B$13,$N$4=Bron!$B$14),'Bouwkost VOLT'!$N36,IF($N$4=Bron!$C$16,'Bouwkost AK+VERB'!$N36,0))))))</f>
        <v>0</v>
      </c>
      <c r="P25" s="89">
        <f>IF(OR($P$4=Bron!$B$8,$P$4=Bron!$B$9,$P$4=Bron!$B$15),'Bouwkost NB'!$N37,IF($P$4=Bron!$B$10,'Bouwkost UITB'!$N36,IF($P$4=Bron!$B$11,'Bouwkost VERB'!$N36,IF($P$4=Bron!$B$12,'Bouwkost IER'!$N35,IF(OR($P$4=Bron!$B$13,$P$4=Bron!$B$14),'Bouwkost VOLT'!$N36,IF($P$4=Bron!$C$16,'Bouwkost AK+VERB'!$N36,0))))))</f>
        <v>0</v>
      </c>
      <c r="R25" s="89">
        <f>IF(OR($R$4=Bron!$B$8,$R$4=Bron!$B$9,$R$4=Bron!$B$15),'Bouwkost NB'!$Y37,IF($R$4=Bron!$B$10,'Bouwkost UITB'!$Y36,IF($R$4=Bron!$B$11,'Bouwkost VERB'!$Y36,IF($R$4=Bron!$B$12,'Bouwkost IER'!$Y35,IF(OR($R$4=Bron!$B$13,$R$4=Bron!$B$14),'Bouwkost VOLT'!$Y36,IF($R$4=Bron!$C$16,'Bouwkost AK+VERB'!$Y36,0))))))</f>
        <v>0</v>
      </c>
      <c r="T25" s="89">
        <f>IF(OR($T$4=Bron!$B$8,$T$4=Bron!$B$9,$T$4=Bron!$B$15),'Bouwkost NB'!$Y37,IF($T$4=Bron!$B$10,'Bouwkost UITB'!$Y36,IF($T$4=Bron!$B$11,'Bouwkost VERB'!$Y36,IF($T$4=Bron!$B$12,'Bouwkost IER'!$Y35,IF(OR($T$4=Bron!$B$13,$T$4=Bron!$B$14),'Bouwkost VOLT'!$Y36,IF($T$4=Bron!$C$16,'Bouwkost AK+VERB'!$Y36,0))))))</f>
        <v>0</v>
      </c>
      <c r="V25" s="89">
        <f>IF(OR($N$4=Bron!$B$8,$N$4=Bron!$B$9,$N$4=Bron!$B$15),'Bouwkost NB'!$Y37,IF($N$4=Bron!$B$10,'Bouwkost UITB'!$Y36,IF($N$4=Bron!$B$11,'Bouwkost VERB'!$Y36,IF($N$4=Bron!$B$12,'Bouwkost IER'!$Y35,IF(OR($N$4=Bron!$B$13,$N$4=Bron!$B$14),'Bouwkost VOLT'!$Y36,IF($N$4=Bron!$C$16,'Bouwkost AK+VERB'!$Y36,0))))))</f>
        <v>0</v>
      </c>
      <c r="X25" s="89">
        <f>IF(OR($X$4=Bron!$B$8,$X$4=Bron!$B$9,$X$4=Bron!$B$15),'Bouwkost NB'!$Y37,IF($X$4=Bron!$B$10,'Bouwkost UITB'!$Y36,IF($X$4=Bron!$B$11,'Bouwkost VERB'!$Y36,IF($X$4=Bron!$B$12,'Bouwkost IER'!$Y35,IF(OR($X$4=Bron!$B$13,$X$4=Bron!$B$14),'Bouwkost VOLT'!$Y36,IF($X$4=Bron!$C$16,'Bouwkost AK+VERB'!$Y36,0))))))</f>
        <v>0</v>
      </c>
    </row>
    <row r="26" spans="1:24" x14ac:dyDescent="0.3">
      <c r="A26" s="640" t="s">
        <v>430</v>
      </c>
      <c r="B26" s="89">
        <f>IF(OR($B$4=Bron!$B$8,$B$4=Bron!$B$9,$B$4=Bron!$B$15),'Bouwkost NB'!$C38,IF($B$4=Bron!$B$10,'Bouwkost UITB'!$C37,IF($B$4=Bron!$B$11,'Bouwkost VERB'!$C37,IF($B$4=Bron!$B$12,'Bouwkost IER'!$C36,IF(OR($B$4=Bron!$B$13,$B$4=Bron!$B$14),'Bouwkost VOLT'!$C37,IF($B$4=Bron!$C$16,'Bouwkost AK+VERB'!$C37,0))))))</f>
        <v>0</v>
      </c>
      <c r="D26" s="89">
        <f>IF(OR($D$4=Bron!$B$8,$D$4=Bron!$B$9,$D$4=Bron!$B$15),'Bouwkost NB'!$C38,IF($D$4=Bron!$B$10,'Bouwkost UITB'!$C37,IF($D$4=Bron!$B$11,'Bouwkost VERB'!$C37,IF($D$4=Bron!$B$12,'Bouwkost IER'!$C36,IF(OR($D$4=Bron!$B$13,$D$4=Bron!$B$14),'Bouwkost VOLT'!$C37,IF($D$4=Bron!$C$16,'Bouwkost AK+VERB'!$C37,0))))))</f>
        <v>0</v>
      </c>
      <c r="F26" s="89">
        <f>IF(OR($F$4=Bron!$B$8,$F$4=Bron!$B$9,$F$4=Bron!$B$15),'Bouwkost NB'!$C38,IF($F$4=Bron!$B$10,'Bouwkost UITB'!$C37,IF($F$4=Bron!$B$11,'Bouwkost VERB'!$C37,IF($F$4=Bron!$B$12,'Bouwkost IER'!$C36,IF(OR($F$4=Bron!$B$13,$F$4=Bron!$B$14),'Bouwkost VOLT'!$C37,IF($F$4=Bron!$C$16,'Bouwkost AK+VERB'!$C37,0))))))</f>
        <v>0</v>
      </c>
      <c r="H26" s="89">
        <f>IF(OR($H$4=Bron!$B$8,$H$4=Bron!$B$9,$H$4=Bron!$B$15),'Bouwkost NB'!$C38,IF($H$4=Bron!$B$10,'Bouwkost UITB'!$C37,IF($H$4=Bron!$B$11,'Bouwkost VERB'!$C37,IF($H$4=Bron!$B$12,'Bouwkost IER'!$C36,IF(OR($H$4=Bron!$B$13,$H$4=Bron!$B$14),'Bouwkost VOLT'!$C37,IF($H$4=Bron!$C$16,'Bouwkost AK+VERB'!$C37,0))))))</f>
        <v>0</v>
      </c>
      <c r="J26" s="89">
        <f>IF(OR($J$4=Bron!$B$8,$J$4=Bron!$B$9,$J$4=Bron!$B$15),'Bouwkost NB'!$N38,IF($J$4=Bron!$B$10,'Bouwkost UITB'!$N37,IF($J$4=Bron!$B$11,'Bouwkost VERB'!$N37,IF($J$4=Bron!$B$12,'Bouwkost IER'!$N36,IF(OR($J$4=Bron!$B$13,$J$4=Bron!$B$14),'Bouwkost VOLT'!$N37,IF($J$4=Bron!$C$16,'Bouwkost AK+VERB'!$N37,0))))))</f>
        <v>0</v>
      </c>
      <c r="L26" s="89">
        <f>IF(OR($L$4=Bron!$B$8,$L$4=Bron!$B$9,$L$4=Bron!$B$15),'Bouwkost NB'!$N38,IF($L$4=Bron!$B$10,'Bouwkost UITB'!$N37,IF($L$4=Bron!$B$11,'Bouwkost VERB'!$N37,IF($L$4=Bron!$B$12,'Bouwkost IER'!$N36,IF(OR($L$4=Bron!$B$13,$L$4=Bron!$B$14),'Bouwkost VOLT'!$N37,IF($L$4=Bron!$C$16,'Bouwkost AK+VERB'!$N37,0))))))</f>
        <v>0</v>
      </c>
      <c r="N26" s="89">
        <f>IF(OR($N$4=Bron!$B$8,$N$4=Bron!$B$9,,$N$4=Bron!$B$15),'Bouwkost NB'!$N38,IF($N$4=Bron!$B$10,'Bouwkost UITB'!$N37,IF($N$4=Bron!$B$11,'Bouwkost VERB'!$N37,IF($N$4=Bron!$B$12,'Bouwkost IER'!$N36,IF(OR($N$4=Bron!$B$13,$N$4=Bron!$B$14),'Bouwkost VOLT'!$N37,IF($N$4=Bron!$C$16,'Bouwkost AK+VERB'!$N37,0))))))</f>
        <v>0</v>
      </c>
      <c r="P26" s="89">
        <f>IF(OR($P$4=Bron!$B$8,$P$4=Bron!$B$9,$P$4=Bron!$B$15),'Bouwkost NB'!$N38,IF($P$4=Bron!$B$10,'Bouwkost UITB'!$N37,IF($P$4=Bron!$B$11,'Bouwkost VERB'!$N37,IF($P$4=Bron!$B$12,'Bouwkost IER'!$N36,IF(OR($P$4=Bron!$B$13,$P$4=Bron!$B$14),'Bouwkost VOLT'!$N37,IF($P$4=Bron!$C$16,'Bouwkost AK+VERB'!$N37,0))))))</f>
        <v>0</v>
      </c>
      <c r="R26" s="89">
        <f>IF(OR($R$4=Bron!$B$8,$R$4=Bron!$B$9,$R$4=Bron!$B$15),'Bouwkost NB'!$Y38,IF($R$4=Bron!$B$10,'Bouwkost UITB'!$Y37,IF($R$4=Bron!$B$11,'Bouwkost VERB'!$Y37,IF($R$4=Bron!$B$12,'Bouwkost IER'!$Y36,IF(OR($R$4=Bron!$B$13,$R$4=Bron!$B$14),'Bouwkost VOLT'!$Y37,IF($R$4=Bron!$C$16,'Bouwkost AK+VERB'!$Y37,0))))))</f>
        <v>0</v>
      </c>
      <c r="T26" s="89">
        <f>IF(OR($T$4=Bron!$B$8,$T$4=Bron!$B$9,$T$4=Bron!$B$15),'Bouwkost NB'!$Y38,IF($T$4=Bron!$B$10,'Bouwkost UITB'!$Y37,IF($T$4=Bron!$B$11,'Bouwkost VERB'!$Y37,IF($T$4=Bron!$B$12,'Bouwkost IER'!$Y36,IF(OR($T$4=Bron!$B$13,$T$4=Bron!$B$14),'Bouwkost VOLT'!$Y37,IF($T$4=Bron!$C$16,'Bouwkost AK+VERB'!$Y37,0))))))</f>
        <v>0</v>
      </c>
      <c r="V26" s="89">
        <f>IF(OR($N$4=Bron!$B$8,$N$4=Bron!$B$9,$N$4=Bron!$B$15),'Bouwkost NB'!$Y38,IF($N$4=Bron!$B$10,'Bouwkost UITB'!$Y37,IF($N$4=Bron!$B$11,'Bouwkost VERB'!$Y37,IF($N$4=Bron!$B$12,'Bouwkost IER'!$Y36,IF(OR($N$4=Bron!$B$13,$N$4=Bron!$B$14),'Bouwkost VOLT'!$Y37,IF($N$4=Bron!$C$16,'Bouwkost AK+VERB'!$Y37,0))))))</f>
        <v>0</v>
      </c>
      <c r="X26" s="89">
        <f>IF(OR($X$4=Bron!$B$8,$X$4=Bron!$B$9,$X$4=Bron!$B$15),'Bouwkost NB'!$Y38,IF($X$4=Bron!$B$10,'Bouwkost UITB'!$Y37,IF($X$4=Bron!$B$11,'Bouwkost VERB'!$Y37,IF($X$4=Bron!$B$12,'Bouwkost IER'!$Y36,IF(OR($X$4=Bron!$B$13,$X$4=Bron!$B$14),'Bouwkost VOLT'!$Y37,IF($X$4=Bron!$C$16,'Bouwkost AK+VERB'!$Y37,0))))))</f>
        <v>0</v>
      </c>
    </row>
    <row r="27" spans="1:24" x14ac:dyDescent="0.3">
      <c r="A27" s="642" t="s">
        <v>431</v>
      </c>
      <c r="B27" s="89">
        <f>IF(OR($B$4=Bron!$B$8,$B$4=Bron!$B$9,$B$4=Bron!$B$15),'Bouwkost NB'!$C39,IF($B$4=Bron!$B$10,'Bouwkost UITB'!$C38,IF($B$4=Bron!$B$11,'Bouwkost VERB'!$C38,IF($B$4=Bron!$B$12,'Bouwkost IER'!$C37,IF(OR($B$4=Bron!$B$13,$B$4=Bron!$B$14),'Bouwkost VOLT'!$C38,IF($B$4=Bron!$C$16,'Bouwkost AK+VERB'!$C38,0))))))</f>
        <v>0</v>
      </c>
      <c r="D27" s="89">
        <f>IF(OR($D$4=Bron!$B$8,$D$4=Bron!$B$9,$D$4=Bron!$B$15),'Bouwkost NB'!$C39,IF($D$4=Bron!$B$10,'Bouwkost UITB'!$C38,IF($D$4=Bron!$B$11,'Bouwkost VERB'!$C38,IF($D$4=Bron!$B$12,'Bouwkost IER'!$C37,IF(OR($D$4=Bron!$B$13,$D$4=Bron!$B$14),'Bouwkost VOLT'!$C38,IF($D$4=Bron!$C$16,'Bouwkost AK+VERB'!$C38,0))))))</f>
        <v>0</v>
      </c>
      <c r="F27" s="89">
        <f>IF(OR($F$4=Bron!$B$8,$F$4=Bron!$B$9,$F$4=Bron!$B$15),'Bouwkost NB'!$C39,IF($F$4=Bron!$B$10,'Bouwkost UITB'!$C38,IF($F$4=Bron!$B$11,'Bouwkost VERB'!$C38,IF($F$4=Bron!$B$12,'Bouwkost IER'!$C37,IF(OR($F$4=Bron!$B$13,$F$4=Bron!$B$14),'Bouwkost VOLT'!$C38,IF($F$4=Bron!$C$16,'Bouwkost AK+VERB'!$C38,0))))))</f>
        <v>0</v>
      </c>
      <c r="H27" s="89">
        <f>IF(OR($H$4=Bron!$B$8,$H$4=Bron!$B$9,$H$4=Bron!$B$15),'Bouwkost NB'!$C39,IF($H$4=Bron!$B$10,'Bouwkost UITB'!$C38,IF($H$4=Bron!$B$11,'Bouwkost VERB'!$C38,IF($H$4=Bron!$B$12,'Bouwkost IER'!$C37,IF(OR($H$4=Bron!$B$13,$H$4=Bron!$B$14),'Bouwkost VOLT'!$C38,IF($H$4=Bron!$C$16,'Bouwkost AK+VERB'!$C38,0))))))</f>
        <v>0</v>
      </c>
      <c r="J27" s="89">
        <f>IF(OR($J$4=Bron!$B$8,$J$4=Bron!$B$9,$J$4=Bron!$B$15),'Bouwkost NB'!$N39,IF($J$4=Bron!$B$10,'Bouwkost UITB'!$N38,IF($J$4=Bron!$B$11,'Bouwkost VERB'!$N38,IF($J$4=Bron!$B$12,'Bouwkost IER'!$N37,IF(OR($J$4=Bron!$B$13,$J$4=Bron!$B$14),'Bouwkost VOLT'!$N38,IF($J$4=Bron!$C$16,'Bouwkost AK+VERB'!$N38,0))))))</f>
        <v>0</v>
      </c>
      <c r="L27" s="89">
        <f>IF(OR($L$4=Bron!$B$8,$L$4=Bron!$B$9,$L$4=Bron!$B$15),'Bouwkost NB'!$N39,IF($L$4=Bron!$B$10,'Bouwkost UITB'!$N38,IF($L$4=Bron!$B$11,'Bouwkost VERB'!$N38,IF($L$4=Bron!$B$12,'Bouwkost IER'!$N37,IF(OR($L$4=Bron!$B$13,$L$4=Bron!$B$14),'Bouwkost VOLT'!$N38,IF($L$4=Bron!$C$16,'Bouwkost AK+VERB'!$N38,0))))))</f>
        <v>0</v>
      </c>
      <c r="N27" s="89">
        <f>IF(OR($N$4=Bron!$B$8,$N$4=Bron!$B$9,,$N$4=Bron!$B$15),'Bouwkost NB'!$N39,IF($N$4=Bron!$B$10,'Bouwkost UITB'!$N38,IF($N$4=Bron!$B$11,'Bouwkost VERB'!$N38,IF($N$4=Bron!$B$12,'Bouwkost IER'!$N37,IF(OR($N$4=Bron!$B$13,$N$4=Bron!$B$14),'Bouwkost VOLT'!$N38,IF($N$4=Bron!$C$16,'Bouwkost AK+VERB'!$N38,0))))))</f>
        <v>0</v>
      </c>
      <c r="P27" s="89">
        <f>IF(OR($P$4=Bron!$B$8,$P$4=Bron!$B$9,$P$4=Bron!$B$15),'Bouwkost NB'!$N39,IF($P$4=Bron!$B$10,'Bouwkost UITB'!$N38,IF($P$4=Bron!$B$11,'Bouwkost VERB'!$N38,IF($P$4=Bron!$B$12,'Bouwkost IER'!$N37,IF(OR($P$4=Bron!$B$13,$P$4=Bron!$B$14),'Bouwkost VOLT'!$N38,IF($P$4=Bron!$C$16,'Bouwkost AK+VERB'!$N38,0))))))</f>
        <v>0</v>
      </c>
      <c r="R27" s="89">
        <f>IF(OR($R$4=Bron!$B$8,$R$4=Bron!$B$9,$R$4=Bron!$B$15),'Bouwkost NB'!$Y39,IF($R$4=Bron!$B$10,'Bouwkost UITB'!$Y38,IF($R$4=Bron!$B$11,'Bouwkost VERB'!$Y38,IF($R$4=Bron!$B$12,'Bouwkost IER'!$Y37,IF(OR($R$4=Bron!$B$13,$R$4=Bron!$B$14),'Bouwkost VOLT'!$Y38,IF($R$4=Bron!$C$16,'Bouwkost AK+VERB'!$Y38,0))))))</f>
        <v>0</v>
      </c>
      <c r="T27" s="89">
        <f>IF(OR($T$4=Bron!$B$8,$T$4=Bron!$B$9,$T$4=Bron!$B$15),'Bouwkost NB'!$Y39,IF($T$4=Bron!$B$10,'Bouwkost UITB'!$Y38,IF($T$4=Bron!$B$11,'Bouwkost VERB'!$Y38,IF($T$4=Bron!$B$12,'Bouwkost IER'!$Y37,IF(OR($T$4=Bron!$B$13,$T$4=Bron!$B$14),'Bouwkost VOLT'!$Y38,IF($T$4=Bron!$C$16,'Bouwkost AK+VERB'!$Y38,0))))))</f>
        <v>0</v>
      </c>
      <c r="V27" s="89">
        <f>IF(OR($N$4=Bron!$B$8,$N$4=Bron!$B$9,$N$4=Bron!$B$15),'Bouwkost NB'!$Y39,IF($N$4=Bron!$B$10,'Bouwkost UITB'!$Y38,IF($N$4=Bron!$B$11,'Bouwkost VERB'!$Y38,IF($N$4=Bron!$B$12,'Bouwkost IER'!$Y37,IF(OR($N$4=Bron!$B$13,$N$4=Bron!$B$14),'Bouwkost VOLT'!$Y38,IF($N$4=Bron!$C$16,'Bouwkost AK+VERB'!$Y38,0))))))</f>
        <v>0</v>
      </c>
      <c r="X27" s="89">
        <f>IF(OR($X$4=Bron!$B$8,$X$4=Bron!$B$9,$X$4=Bron!$B$15),'Bouwkost NB'!$Y39,IF($X$4=Bron!$B$10,'Bouwkost UITB'!$Y38,IF($X$4=Bron!$B$11,'Bouwkost VERB'!$Y38,IF($X$4=Bron!$B$12,'Bouwkost IER'!$Y37,IF(OR($X$4=Bron!$B$13,$X$4=Bron!$B$14),'Bouwkost VOLT'!$Y38,IF($X$4=Bron!$C$16,'Bouwkost AK+VERB'!$Y38,0))))))</f>
        <v>0</v>
      </c>
    </row>
    <row r="28" spans="1:24" x14ac:dyDescent="0.3">
      <c r="A28" s="336" t="s">
        <v>125</v>
      </c>
      <c r="B28" s="810">
        <f>IF(OR($B$4=Bron!$B$8,$B$4=Bron!$B$9,$B$4=Bron!$B$15),'Bouwkost NB'!$C40,IF($B$4=Bron!$B$10,'Bouwkost UITB'!$C39,IF($B$4=Bron!$B$11,'Bouwkost VERB'!$C39,IF($B$4=Bron!$B$12,'Bouwkost IER'!$C38,IF(OR($B$4=Bron!$B$13,$B$4=Bron!$B$14),'Bouwkost VOLT'!$C39,IF($B$4=Bron!$C$16,'Bouwkost AK+VERB'!$C39,0))))))</f>
        <v>0</v>
      </c>
      <c r="C28" s="810"/>
      <c r="D28" s="810">
        <f>IF(OR($D$4=Bron!$B$8,$D$4=Bron!$B$9,$D$4=Bron!$B$15),'Bouwkost NB'!$C40,IF($D$4=Bron!$B$10,'Bouwkost UITB'!$C39,IF($D$4=Bron!$B$11,'Bouwkost VERB'!$C39,IF($D$4=Bron!$B$12,'Bouwkost IER'!$C38,IF(OR($D$4=Bron!$B$13,$D$4=Bron!$B$14),'Bouwkost VOLT'!$C39,IF($D$4=Bron!$C$16,'Bouwkost AK+VERB'!$C39,0))))))</f>
        <v>0</v>
      </c>
      <c r="E28" s="810"/>
      <c r="F28" s="810">
        <f>IF(OR($F$4=Bron!$B$8,$F$4=Bron!$B$9,$F$4=Bron!$B$15),'Bouwkost NB'!$C40,IF($F$4=Bron!$B$10,'Bouwkost UITB'!$C39,IF($F$4=Bron!$B$11,'Bouwkost VERB'!$C39,IF($F$4=Bron!$B$12,'Bouwkost IER'!$C38,IF(OR($F$4=Bron!$B$13,$F$4=Bron!$B$14),'Bouwkost VOLT'!$C39,IF($F$4=Bron!$C$16,'Bouwkost AK+VERB'!$C39,0))))))</f>
        <v>0</v>
      </c>
      <c r="G28" s="810"/>
      <c r="H28" s="810">
        <f>IF(OR($H$4=Bron!$B$8,$H$4=Bron!$B$9,$H$4=Bron!$B$15),'Bouwkost NB'!$C40,IF($H$4=Bron!$B$10,'Bouwkost UITB'!$C39,IF($H$4=Bron!$B$11,'Bouwkost VERB'!$C39,IF($H$4=Bron!$B$12,'Bouwkost IER'!$C38,IF(OR($H$4=Bron!$B$13,$H$4=Bron!$B$14),'Bouwkost VOLT'!$C39,IF($H$4=Bron!$C$16,'Bouwkost AK+VERB'!$C39,0))))))</f>
        <v>0</v>
      </c>
      <c r="I28" s="810"/>
      <c r="J28" s="810">
        <f>IF(OR($J$4=Bron!$B$8,$J$4=Bron!$B$9,$J$4=Bron!$B$15),'Bouwkost NB'!$N40,IF($J$4=Bron!$B$10,'Bouwkost UITB'!$N39,IF($J$4=Bron!$B$11,'Bouwkost VERB'!$N39,IF($J$4=Bron!$B$12,'Bouwkost IER'!$N38,IF(OR($J$4=Bron!$B$13,$J$4=Bron!$B$14),'Bouwkost VOLT'!$N39,IF($J$4=Bron!$C$16,'Bouwkost AK+VERB'!$N39,0))))))</f>
        <v>0</v>
      </c>
      <c r="K28" s="810"/>
      <c r="L28" s="810">
        <f>IF(OR($L$4=Bron!$B$8,$L$4=Bron!$B$9,$L$4=Bron!$B$15),'Bouwkost NB'!$N40,IF($L$4=Bron!$B$10,'Bouwkost UITB'!$N39,IF($L$4=Bron!$B$11,'Bouwkost VERB'!$N39,IF($L$4=Bron!$B$12,'Bouwkost IER'!$N38,IF(OR($L$4=Bron!$B$13,$L$4=Bron!$B$14),'Bouwkost VOLT'!$N39,IF($L$4=Bron!$C$16,'Bouwkost AK+VERB'!$N39,0))))))</f>
        <v>0</v>
      </c>
      <c r="M28" s="810"/>
      <c r="N28" s="810">
        <f>IF(OR($N$4=Bron!$B$8,$N$4=Bron!$B$9,,$N$4=Bron!$B$15),'Bouwkost NB'!$N40,IF($N$4=Bron!$B$10,'Bouwkost UITB'!$N39,IF($N$4=Bron!$B$11,'Bouwkost VERB'!$N39,IF($N$4=Bron!$B$12,'Bouwkost IER'!$N38,IF(OR($N$4=Bron!$B$13,$N$4=Bron!$B$14),'Bouwkost VOLT'!$N39,IF($N$4=Bron!$C$16,'Bouwkost AK+VERB'!$N39,0))))))</f>
        <v>0</v>
      </c>
      <c r="O28" s="810"/>
      <c r="P28" s="810">
        <f>IF(OR($P$4=Bron!$B$8,$P$4=Bron!$B$9,$P$4=Bron!$B$15),'Bouwkost NB'!$N40,IF($P$4=Bron!$B$10,'Bouwkost UITB'!$N39,IF($P$4=Bron!$B$11,'Bouwkost VERB'!$N39,IF($P$4=Bron!$B$12,'Bouwkost IER'!$N38,IF(OR($P$4=Bron!$B$13,$P$4=Bron!$B$14),'Bouwkost VOLT'!$N39,IF($P$4=Bron!$C$16,'Bouwkost AK+VERB'!$N39,0))))))</f>
        <v>0</v>
      </c>
      <c r="Q28" s="810"/>
      <c r="R28" s="810">
        <f>IF(OR($R$4=Bron!$B$8,$R$4=Bron!$B$9,$R$4=Bron!$B$15),'Bouwkost NB'!$Y40,IF($R$4=Bron!$B$10,'Bouwkost UITB'!$Y39,IF($R$4=Bron!$B$11,'Bouwkost VERB'!$Y39,IF($R$4=Bron!$B$12,'Bouwkost IER'!$Y38,IF(OR($R$4=Bron!$B$13,$R$4=Bron!$B$14),'Bouwkost VOLT'!$Y39,IF($R$4=Bron!$C$16,'Bouwkost AK+VERB'!$Y39,0))))))</f>
        <v>0</v>
      </c>
      <c r="S28" s="810"/>
      <c r="T28" s="810">
        <f>IF(OR($T$4=Bron!$B$8,$T$4=Bron!$B$9,$T$4=Bron!$B$15),'Bouwkost NB'!$Y40,IF($T$4=Bron!$B$10,'Bouwkost UITB'!$Y39,IF($T$4=Bron!$B$11,'Bouwkost VERB'!$Y39,IF($T$4=Bron!$B$12,'Bouwkost IER'!$Y38,IF(OR($T$4=Bron!$B$13,$T$4=Bron!$B$14),'Bouwkost VOLT'!$Y39,IF($T$4=Bron!$C$16,'Bouwkost AK+VERB'!$Y39,0))))))</f>
        <v>0</v>
      </c>
      <c r="U28" s="810"/>
      <c r="V28" s="810">
        <f>IF(OR($N$4=Bron!$B$8,$N$4=Bron!$B$9,$N$4=Bron!$B$15),'Bouwkost NB'!$Y40,IF($N$4=Bron!$B$10,'Bouwkost UITB'!$Y39,IF($N$4=Bron!$B$11,'Bouwkost VERB'!$Y39,IF($N$4=Bron!$B$12,'Bouwkost IER'!$Y38,IF(OR($N$4=Bron!$B$13,$N$4=Bron!$B$14),'Bouwkost VOLT'!$Y39,IF($N$4=Bron!$C$16,'Bouwkost AK+VERB'!$Y39,0))))))</f>
        <v>0</v>
      </c>
      <c r="W28" s="810"/>
      <c r="X28" s="810">
        <f>IF(OR($X$4=Bron!$B$8,$X$4=Bron!$B$9,$X$4=Bron!$B$15),'Bouwkost NB'!$Y40,IF($X$4=Bron!$B$10,'Bouwkost UITB'!$Y39,IF($X$4=Bron!$B$11,'Bouwkost VERB'!$Y39,IF($X$4=Bron!$B$12,'Bouwkost IER'!$Y38,IF(OR($X$4=Bron!$B$13,$X$4=Bron!$B$14),'Bouwkost VOLT'!$Y39,IF($X$4=Bron!$C$16,'Bouwkost AK+VERB'!$Y39,0))))))</f>
        <v>0</v>
      </c>
    </row>
    <row r="29" spans="1:24" x14ac:dyDescent="0.3">
      <c r="A29" s="640" t="s">
        <v>437</v>
      </c>
      <c r="B29" s="89">
        <f>IF(OR($B$4=Bron!$B$8,$B$4=Bron!$B$9,$B$4=Bron!$B$15),'Bouwkost NB'!$C41,IF($B$4=Bron!$B$10,'Bouwkost UITB'!$C40,IF($B$4=Bron!$B$11,'Bouwkost VERB'!$C40,IF($B$4=Bron!$B$12,'Bouwkost IER'!$C39,IF(OR($B$4=Bron!$B$13,$B$4=Bron!$B$14),'Bouwkost VOLT'!$C40,IF($B$4=Bron!$C$16,'Bouwkost AK+VERB'!$C40,0))))))</f>
        <v>0</v>
      </c>
      <c r="D29" s="89">
        <f>IF(OR($D$4=Bron!$B$8,$D$4=Bron!$B$9,$D$4=Bron!$B$15),'Bouwkost NB'!$C41,IF($D$4=Bron!$B$10,'Bouwkost UITB'!$C40,IF($D$4=Bron!$B$11,'Bouwkost VERB'!$C40,IF($D$4=Bron!$B$12,'Bouwkost IER'!$C39,IF(OR($D$4=Bron!$B$13,$D$4=Bron!$B$14),'Bouwkost VOLT'!$C40,IF($D$4=Bron!$C$16,'Bouwkost AK+VERB'!$C40,0))))))</f>
        <v>0</v>
      </c>
      <c r="F29" s="89">
        <f>IF(OR($F$4=Bron!$B$8,$F$4=Bron!$B$9,$F$4=Bron!$B$15),'Bouwkost NB'!$C41,IF($F$4=Bron!$B$10,'Bouwkost UITB'!$C40,IF($F$4=Bron!$B$11,'Bouwkost VERB'!$C40,IF($F$4=Bron!$B$12,'Bouwkost IER'!$C39,IF(OR($F$4=Bron!$B$13,$F$4=Bron!$B$14),'Bouwkost VOLT'!$C40,IF($F$4=Bron!$C$16,'Bouwkost AK+VERB'!$C40,0))))))</f>
        <v>0</v>
      </c>
      <c r="H29" s="89">
        <f>IF(OR($H$4=Bron!$B$8,$H$4=Bron!$B$9,$H$4=Bron!$B$15),'Bouwkost NB'!$C41,IF($H$4=Bron!$B$10,'Bouwkost UITB'!$C40,IF($H$4=Bron!$B$11,'Bouwkost VERB'!$C40,IF($H$4=Bron!$B$12,'Bouwkost IER'!$C39,IF(OR($H$4=Bron!$B$13,$H$4=Bron!$B$14),'Bouwkost VOLT'!$C40,IF($H$4=Bron!$C$16,'Bouwkost AK+VERB'!$C40,0))))))</f>
        <v>0</v>
      </c>
      <c r="J29" s="89">
        <f>IF(OR($J$4=Bron!$B$8,$J$4=Bron!$B$9,$J$4=Bron!$B$15),'Bouwkost NB'!$N41,IF($J$4=Bron!$B$10,'Bouwkost UITB'!$N40,IF($J$4=Bron!$B$11,'Bouwkost VERB'!$N40,IF($J$4=Bron!$B$12,'Bouwkost IER'!$N39,IF(OR($J$4=Bron!$B$13,$J$4=Bron!$B$14),'Bouwkost VOLT'!$N40,IF($J$4=Bron!$C$16,'Bouwkost AK+VERB'!$N40,0))))))</f>
        <v>0</v>
      </c>
      <c r="L29" s="89">
        <f>IF(OR($L$4=Bron!$B$8,$L$4=Bron!$B$9,$L$4=Bron!$B$15),'Bouwkost NB'!$N41,IF($L$4=Bron!$B$10,'Bouwkost UITB'!$N40,IF($L$4=Bron!$B$11,'Bouwkost VERB'!$N40,IF($L$4=Bron!$B$12,'Bouwkost IER'!$N39,IF(OR($L$4=Bron!$B$13,$L$4=Bron!$B$14),'Bouwkost VOLT'!$N40,IF($L$4=Bron!$C$16,'Bouwkost AK+VERB'!$N40,0))))))</f>
        <v>0</v>
      </c>
      <c r="N29" s="89">
        <f>IF(OR($N$4=Bron!$B$8,$N$4=Bron!$B$9,,$N$4=Bron!$B$15),'Bouwkost NB'!$N41,IF($N$4=Bron!$B$10,'Bouwkost UITB'!$N40,IF($N$4=Bron!$B$11,'Bouwkost VERB'!$N40,IF($N$4=Bron!$B$12,'Bouwkost IER'!$N39,IF(OR($N$4=Bron!$B$13,$N$4=Bron!$B$14),'Bouwkost VOLT'!$N40,IF($N$4=Bron!$C$16,'Bouwkost AK+VERB'!$N40,0))))))</f>
        <v>0</v>
      </c>
      <c r="P29" s="89">
        <f>IF(OR($P$4=Bron!$B$8,$P$4=Bron!$B$9,$P$4=Bron!$B$15),'Bouwkost NB'!$N41,IF($P$4=Bron!$B$10,'Bouwkost UITB'!$N40,IF($P$4=Bron!$B$11,'Bouwkost VERB'!$N40,IF($P$4=Bron!$B$12,'Bouwkost IER'!$N39,IF(OR($P$4=Bron!$B$13,$P$4=Bron!$B$14),'Bouwkost VOLT'!$N40,IF($P$4=Bron!$C$16,'Bouwkost AK+VERB'!$N40,0))))))</f>
        <v>0</v>
      </c>
      <c r="R29" s="89">
        <f>IF(OR($R$4=Bron!$B$8,$R$4=Bron!$B$9,$R$4=Bron!$B$15),'Bouwkost NB'!$Y41,IF($R$4=Bron!$B$10,'Bouwkost UITB'!$Y40,IF($R$4=Bron!$B$11,'Bouwkost VERB'!$Y40,IF($R$4=Bron!$B$12,'Bouwkost IER'!$Y39,IF(OR($R$4=Bron!$B$13,$R$4=Bron!$B$14),'Bouwkost VOLT'!$Y40,IF($R$4=Bron!$C$16,'Bouwkost AK+VERB'!$Y40,0))))))</f>
        <v>0</v>
      </c>
      <c r="T29" s="89">
        <f>IF(OR($T$4=Bron!$B$8,$T$4=Bron!$B$9,$T$4=Bron!$B$15),'Bouwkost NB'!$Y41,IF($T$4=Bron!$B$10,'Bouwkost UITB'!$Y40,IF($T$4=Bron!$B$11,'Bouwkost VERB'!$Y40,IF($T$4=Bron!$B$12,'Bouwkost IER'!$Y39,IF(OR($T$4=Bron!$B$13,$T$4=Bron!$B$14),'Bouwkost VOLT'!$Y40,IF($T$4=Bron!$C$16,'Bouwkost AK+VERB'!$Y40,0))))))</f>
        <v>0</v>
      </c>
      <c r="V29" s="89">
        <f>IF(OR($N$4=Bron!$B$8,$N$4=Bron!$B$9,$N$4=Bron!$B$15),'Bouwkost NB'!$Y41,IF($N$4=Bron!$B$10,'Bouwkost UITB'!$Y40,IF($N$4=Bron!$B$11,'Bouwkost VERB'!$Y40,IF($N$4=Bron!$B$12,'Bouwkost IER'!$Y39,IF(OR($N$4=Bron!$B$13,$N$4=Bron!$B$14),'Bouwkost VOLT'!$Y40,IF($N$4=Bron!$C$16,'Bouwkost AK+VERB'!$Y40,0))))))</f>
        <v>0</v>
      </c>
      <c r="X29" s="89">
        <f>IF(OR($X$4=Bron!$B$8,$X$4=Bron!$B$9,$X$4=Bron!$B$15),'Bouwkost NB'!$Y41,IF($X$4=Bron!$B$10,'Bouwkost UITB'!$Y40,IF($X$4=Bron!$B$11,'Bouwkost VERB'!$Y40,IF($X$4=Bron!$B$12,'Bouwkost IER'!$Y39,IF(OR($X$4=Bron!$B$13,$X$4=Bron!$B$14),'Bouwkost VOLT'!$Y40,IF($X$4=Bron!$C$16,'Bouwkost AK+VERB'!$Y40,0))))))</f>
        <v>0</v>
      </c>
    </row>
    <row r="30" spans="1:24" x14ac:dyDescent="0.3">
      <c r="A30" s="640" t="s">
        <v>438</v>
      </c>
      <c r="B30" s="89">
        <f>IF(OR($B$4=Bron!$B$8,$B$4=Bron!$B$9,$B$4=Bron!$B$15),'Bouwkost NB'!$C42,IF($B$4=Bron!$B$10,'Bouwkost UITB'!$C41,IF($B$4=Bron!$B$11,'Bouwkost VERB'!$C41,IF($B$4=Bron!$B$12,'Bouwkost IER'!$C40,IF(OR($B$4=Bron!$B$13,$B$4=Bron!$B$14),'Bouwkost VOLT'!$C41,IF($B$4=Bron!$C$16,'Bouwkost AK+VERB'!$C41,0))))))</f>
        <v>0</v>
      </c>
      <c r="D30" s="89">
        <f>IF(OR($D$4=Bron!$B$8,$D$4=Bron!$B$9,$D$4=Bron!$B$15),'Bouwkost NB'!$C42,IF($D$4=Bron!$B$10,'Bouwkost UITB'!$C41,IF($D$4=Bron!$B$11,'Bouwkost VERB'!$C41,IF($D$4=Bron!$B$12,'Bouwkost IER'!$C40,IF(OR($D$4=Bron!$B$13,$D$4=Bron!$B$14),'Bouwkost VOLT'!$C41,IF($D$4=Bron!$C$16,'Bouwkost AK+VERB'!$C41,0))))))</f>
        <v>0</v>
      </c>
      <c r="F30" s="89">
        <f>IF(OR($F$4=Bron!$B$8,$F$4=Bron!$B$9,$F$4=Bron!$B$15),'Bouwkost NB'!$C42,IF($F$4=Bron!$B$10,'Bouwkost UITB'!$C41,IF($F$4=Bron!$B$11,'Bouwkost VERB'!$C41,IF($F$4=Bron!$B$12,'Bouwkost IER'!$C40,IF(OR($F$4=Bron!$B$13,$F$4=Bron!$B$14),'Bouwkost VOLT'!$C41,IF($F$4=Bron!$C$16,'Bouwkost AK+VERB'!$C41,0))))))</f>
        <v>0</v>
      </c>
      <c r="H30" s="89">
        <f>IF(OR($H$4=Bron!$B$8,$H$4=Bron!$B$9,$H$4=Bron!$B$15),'Bouwkost NB'!$C42,IF($H$4=Bron!$B$10,'Bouwkost UITB'!$C41,IF($H$4=Bron!$B$11,'Bouwkost VERB'!$C41,IF($H$4=Bron!$B$12,'Bouwkost IER'!$C40,IF(OR($H$4=Bron!$B$13,$H$4=Bron!$B$14),'Bouwkost VOLT'!$C41,IF($H$4=Bron!$C$16,'Bouwkost AK+VERB'!$C41,0))))))</f>
        <v>0</v>
      </c>
      <c r="J30" s="89">
        <f>IF(OR($J$4=Bron!$B$8,$J$4=Bron!$B$9,$J$4=Bron!$B$15),'Bouwkost NB'!$N42,IF($J$4=Bron!$B$10,'Bouwkost UITB'!$N41,IF($J$4=Bron!$B$11,'Bouwkost VERB'!$N41,IF($J$4=Bron!$B$12,'Bouwkost IER'!$N40,IF(OR($J$4=Bron!$B$13,$J$4=Bron!$B$14),'Bouwkost VOLT'!$N41,IF($J$4=Bron!$C$16,'Bouwkost AK+VERB'!$N41,0))))))</f>
        <v>0</v>
      </c>
      <c r="L30" s="89">
        <f>IF(OR($L$4=Bron!$B$8,$L$4=Bron!$B$9,$L$4=Bron!$B$15),'Bouwkost NB'!$N42,IF($L$4=Bron!$B$10,'Bouwkost UITB'!$N41,IF($L$4=Bron!$B$11,'Bouwkost VERB'!$N41,IF($L$4=Bron!$B$12,'Bouwkost IER'!$N40,IF(OR($L$4=Bron!$B$13,$L$4=Bron!$B$14),'Bouwkost VOLT'!$N41,IF($L$4=Bron!$C$16,'Bouwkost AK+VERB'!$N41,0))))))</f>
        <v>0</v>
      </c>
      <c r="N30" s="89">
        <f>IF(OR($N$4=Bron!$B$8,$N$4=Bron!$B$9,,$N$4=Bron!$B$15),'Bouwkost NB'!$N42,IF($N$4=Bron!$B$10,'Bouwkost UITB'!$N41,IF($N$4=Bron!$B$11,'Bouwkost VERB'!$N41,IF($N$4=Bron!$B$12,'Bouwkost IER'!$N40,IF(OR($N$4=Bron!$B$13,$N$4=Bron!$B$14),'Bouwkost VOLT'!$N41,IF($N$4=Bron!$C$16,'Bouwkost AK+VERB'!$N41,0))))))</f>
        <v>0</v>
      </c>
      <c r="P30" s="89">
        <f>IF(OR($P$4=Bron!$B$8,$P$4=Bron!$B$9,$P$4=Bron!$B$15),'Bouwkost NB'!$N42,IF($P$4=Bron!$B$10,'Bouwkost UITB'!$N41,IF($P$4=Bron!$B$11,'Bouwkost VERB'!$N41,IF($P$4=Bron!$B$12,'Bouwkost IER'!$N40,IF(OR($P$4=Bron!$B$13,$P$4=Bron!$B$14),'Bouwkost VOLT'!$N41,IF($P$4=Bron!$C$16,'Bouwkost AK+VERB'!$N41,0))))))</f>
        <v>0</v>
      </c>
      <c r="R30" s="89">
        <f>IF(OR($R$4=Bron!$B$8,$R$4=Bron!$B$9,$R$4=Bron!$B$15),'Bouwkost NB'!$Y42,IF($R$4=Bron!$B$10,'Bouwkost UITB'!$Y41,IF($R$4=Bron!$B$11,'Bouwkost VERB'!$Y41,IF($R$4=Bron!$B$12,'Bouwkost IER'!$Y40,IF(OR($R$4=Bron!$B$13,$R$4=Bron!$B$14),'Bouwkost VOLT'!$Y41,IF($R$4=Bron!$C$16,'Bouwkost AK+VERB'!$Y41,0))))))</f>
        <v>0</v>
      </c>
      <c r="T30" s="89">
        <f>IF(OR($T$4=Bron!$B$8,$T$4=Bron!$B$9,$T$4=Bron!$B$15),'Bouwkost NB'!$Y42,IF($T$4=Bron!$B$10,'Bouwkost UITB'!$Y41,IF($T$4=Bron!$B$11,'Bouwkost VERB'!$Y41,IF($T$4=Bron!$B$12,'Bouwkost IER'!$Y40,IF(OR($T$4=Bron!$B$13,$T$4=Bron!$B$14),'Bouwkost VOLT'!$Y41,IF($T$4=Bron!$C$16,'Bouwkost AK+VERB'!$Y41,0))))))</f>
        <v>0</v>
      </c>
      <c r="V30" s="89">
        <f>IF(OR($N$4=Bron!$B$8,$N$4=Bron!$B$9,$N$4=Bron!$B$15),'Bouwkost NB'!$Y42,IF($N$4=Bron!$B$10,'Bouwkost UITB'!$Y41,IF($N$4=Bron!$B$11,'Bouwkost VERB'!$Y41,IF($N$4=Bron!$B$12,'Bouwkost IER'!$Y40,IF(OR($N$4=Bron!$B$13,$N$4=Bron!$B$14),'Bouwkost VOLT'!$Y41,IF($N$4=Bron!$C$16,'Bouwkost AK+VERB'!$Y41,0))))))</f>
        <v>0</v>
      </c>
      <c r="X30" s="89">
        <f>IF(OR($X$4=Bron!$B$8,$X$4=Bron!$B$9,$X$4=Bron!$B$15),'Bouwkost NB'!$Y42,IF($X$4=Bron!$B$10,'Bouwkost UITB'!$Y41,IF($X$4=Bron!$B$11,'Bouwkost VERB'!$Y41,IF($X$4=Bron!$B$12,'Bouwkost IER'!$Y40,IF(OR($X$4=Bron!$B$13,$X$4=Bron!$B$14),'Bouwkost VOLT'!$Y41,IF($X$4=Bron!$C$16,'Bouwkost AK+VERB'!$Y41,0))))))</f>
        <v>0</v>
      </c>
    </row>
    <row r="31" spans="1:24" x14ac:dyDescent="0.3">
      <c r="A31" s="640" t="s">
        <v>439</v>
      </c>
      <c r="B31" s="89">
        <f>IF(OR($B$4=Bron!$B$8,$B$4=Bron!$B$9,$B$4=Bron!$B$15),'Bouwkost NB'!$C43,IF($B$4=Bron!$B$10,'Bouwkost UITB'!$C42,IF($B$4=Bron!$B$11,'Bouwkost VERB'!$C42,IF($B$4=Bron!$B$12,'Bouwkost IER'!$C41,IF(OR($B$4=Bron!$B$13,$B$4=Bron!$B$14),'Bouwkost VOLT'!$C42,IF($B$4=Bron!$C$16,'Bouwkost AK+VERB'!$C42,0))))))</f>
        <v>0</v>
      </c>
      <c r="D31" s="89">
        <f>IF(OR($D$4=Bron!$B$8,$D$4=Bron!$B$9,$D$4=Bron!$B$15),'Bouwkost NB'!$C43,IF($D$4=Bron!$B$10,'Bouwkost UITB'!$C42,IF($D$4=Bron!$B$11,'Bouwkost VERB'!$C42,IF($D$4=Bron!$B$12,'Bouwkost IER'!$C41,IF(OR($D$4=Bron!$B$13,$D$4=Bron!$B$14),'Bouwkost VOLT'!$C42,IF($D$4=Bron!$C$16,'Bouwkost AK+VERB'!$C42,0))))))</f>
        <v>0</v>
      </c>
      <c r="F31" s="89">
        <f>IF(OR($F$4=Bron!$B$8,$F$4=Bron!$B$9,$F$4=Bron!$B$15),'Bouwkost NB'!$C43,IF($F$4=Bron!$B$10,'Bouwkost UITB'!$C42,IF($F$4=Bron!$B$11,'Bouwkost VERB'!$C42,IF($F$4=Bron!$B$12,'Bouwkost IER'!$C41,IF(OR($F$4=Bron!$B$13,$F$4=Bron!$B$14),'Bouwkost VOLT'!$C42,IF($F$4=Bron!$C$16,'Bouwkost AK+VERB'!$C42,0))))))</f>
        <v>0</v>
      </c>
      <c r="H31" s="89">
        <f>IF(OR($H$4=Bron!$B$8,$H$4=Bron!$B$9,$H$4=Bron!$B$15),'Bouwkost NB'!$C43,IF($H$4=Bron!$B$10,'Bouwkost UITB'!$C42,IF($H$4=Bron!$B$11,'Bouwkost VERB'!$C42,IF($H$4=Bron!$B$12,'Bouwkost IER'!$C41,IF(OR($H$4=Bron!$B$13,$H$4=Bron!$B$14),'Bouwkost VOLT'!$C42,IF($H$4=Bron!$C$16,'Bouwkost AK+VERB'!$C42,0))))))</f>
        <v>0</v>
      </c>
      <c r="J31" s="89">
        <f>IF(OR($J$4=Bron!$B$8,$J$4=Bron!$B$9,$J$4=Bron!$B$15),'Bouwkost NB'!$N43,IF($J$4=Bron!$B$10,'Bouwkost UITB'!$N42,IF($J$4=Bron!$B$11,'Bouwkost VERB'!$N42,IF($J$4=Bron!$B$12,'Bouwkost IER'!$N41,IF(OR($J$4=Bron!$B$13,$J$4=Bron!$B$14),'Bouwkost VOLT'!$N42,IF($J$4=Bron!$C$16,'Bouwkost AK+VERB'!$N42,0))))))</f>
        <v>0</v>
      </c>
      <c r="L31" s="89">
        <f>IF(OR($L$4=Bron!$B$8,$L$4=Bron!$B$9,$L$4=Bron!$B$15),'Bouwkost NB'!$N43,IF($L$4=Bron!$B$10,'Bouwkost UITB'!$N42,IF($L$4=Bron!$B$11,'Bouwkost VERB'!$N42,IF($L$4=Bron!$B$12,'Bouwkost IER'!$N41,IF(OR($L$4=Bron!$B$13,$L$4=Bron!$B$14),'Bouwkost VOLT'!$N42,IF($L$4=Bron!$C$16,'Bouwkost AK+VERB'!$N42,0))))))</f>
        <v>0</v>
      </c>
      <c r="N31" s="89">
        <f>IF(OR($N$4=Bron!$B$8,$N$4=Bron!$B$9,,$N$4=Bron!$B$15),'Bouwkost NB'!$N43,IF($N$4=Bron!$B$10,'Bouwkost UITB'!$N42,IF($N$4=Bron!$B$11,'Bouwkost VERB'!$N42,IF($N$4=Bron!$B$12,'Bouwkost IER'!$N41,IF(OR($N$4=Bron!$B$13,$N$4=Bron!$B$14),'Bouwkost VOLT'!$N42,IF($N$4=Bron!$C$16,'Bouwkost AK+VERB'!$N42,0))))))</f>
        <v>0</v>
      </c>
      <c r="P31" s="89">
        <f>IF(OR($P$4=Bron!$B$8,$P$4=Bron!$B$9,$P$4=Bron!$B$15),'Bouwkost NB'!$N43,IF($P$4=Bron!$B$10,'Bouwkost UITB'!$N42,IF($P$4=Bron!$B$11,'Bouwkost VERB'!$N42,IF($P$4=Bron!$B$12,'Bouwkost IER'!$N41,IF(OR($P$4=Bron!$B$13,$P$4=Bron!$B$14),'Bouwkost VOLT'!$N42,IF($P$4=Bron!$C$16,'Bouwkost AK+VERB'!$N42,0))))))</f>
        <v>0</v>
      </c>
      <c r="R31" s="89">
        <f>IF(OR($R$4=Bron!$B$8,$R$4=Bron!$B$9,$R$4=Bron!$B$15),'Bouwkost NB'!$Y43,IF($R$4=Bron!$B$10,'Bouwkost UITB'!$Y42,IF($R$4=Bron!$B$11,'Bouwkost VERB'!$Y42,IF($R$4=Bron!$B$12,'Bouwkost IER'!$Y41,IF(OR($R$4=Bron!$B$13,$R$4=Bron!$B$14),'Bouwkost VOLT'!$Y42,IF($R$4=Bron!$C$16,'Bouwkost AK+VERB'!$Y42,0))))))</f>
        <v>0</v>
      </c>
      <c r="T31" s="89">
        <f>IF(OR($T$4=Bron!$B$8,$T$4=Bron!$B$9,$T$4=Bron!$B$15),'Bouwkost NB'!$Y43,IF($T$4=Bron!$B$10,'Bouwkost UITB'!$Y42,IF($T$4=Bron!$B$11,'Bouwkost VERB'!$Y42,IF($T$4=Bron!$B$12,'Bouwkost IER'!$Y41,IF(OR($T$4=Bron!$B$13,$T$4=Bron!$B$14),'Bouwkost VOLT'!$Y42,IF($T$4=Bron!$C$16,'Bouwkost AK+VERB'!$Y42,0))))))</f>
        <v>0</v>
      </c>
      <c r="V31" s="89">
        <f>IF(OR($N$4=Bron!$B$8,$N$4=Bron!$B$9,$N$4=Bron!$B$15),'Bouwkost NB'!$Y43,IF($N$4=Bron!$B$10,'Bouwkost UITB'!$Y42,IF($N$4=Bron!$B$11,'Bouwkost VERB'!$Y42,IF($N$4=Bron!$B$12,'Bouwkost IER'!$Y41,IF(OR($N$4=Bron!$B$13,$N$4=Bron!$B$14),'Bouwkost VOLT'!$Y42,IF($N$4=Bron!$C$16,'Bouwkost AK+VERB'!$Y42,0))))))</f>
        <v>0</v>
      </c>
      <c r="X31" s="89">
        <f>IF(OR($X$4=Bron!$B$8,$X$4=Bron!$B$9,$X$4=Bron!$B$15),'Bouwkost NB'!$Y43,IF($X$4=Bron!$B$10,'Bouwkost UITB'!$Y42,IF($X$4=Bron!$B$11,'Bouwkost VERB'!$Y42,IF($X$4=Bron!$B$12,'Bouwkost IER'!$Y41,IF(OR($X$4=Bron!$B$13,$X$4=Bron!$B$14),'Bouwkost VOLT'!$Y42,IF($X$4=Bron!$C$16,'Bouwkost AK+VERB'!$Y42,0))))))</f>
        <v>0</v>
      </c>
    </row>
    <row r="32" spans="1:24" x14ac:dyDescent="0.3">
      <c r="A32" s="641" t="s">
        <v>440</v>
      </c>
      <c r="B32" s="89">
        <f>IF(OR($B$4=Bron!$B$8,$B$4=Bron!$B$9,$B$4=Bron!$B$15),'Bouwkost NB'!$C44,IF($B$4=Bron!$B$10,'Bouwkost UITB'!$C43,IF($B$4=Bron!$B$11,'Bouwkost VERB'!$C43,IF($B$4=Bron!$B$12,'Bouwkost IER'!$C42,IF(OR($B$4=Bron!$B$13,$B$4=Bron!$B$14),'Bouwkost VOLT'!$C43,IF($B$4=Bron!$C$16,'Bouwkost AK+VERB'!$C43,0))))))</f>
        <v>0</v>
      </c>
      <c r="D32" s="89">
        <f>IF(OR($D$4=Bron!$B$8,$D$4=Bron!$B$9,$D$4=Bron!$B$15),'Bouwkost NB'!$C44,IF($D$4=Bron!$B$10,'Bouwkost UITB'!$C43,IF($D$4=Bron!$B$11,'Bouwkost VERB'!$C43,IF($D$4=Bron!$B$12,'Bouwkost IER'!$C42,IF(OR($D$4=Bron!$B$13,$D$4=Bron!$B$14),'Bouwkost VOLT'!$C43,IF($D$4=Bron!$C$16,'Bouwkost AK+VERB'!$C43,0))))))</f>
        <v>0</v>
      </c>
      <c r="F32" s="89">
        <f>IF(OR($F$4=Bron!$B$8,$F$4=Bron!$B$9,$F$4=Bron!$B$15),'Bouwkost NB'!$C44,IF($F$4=Bron!$B$10,'Bouwkost UITB'!$C43,IF($F$4=Bron!$B$11,'Bouwkost VERB'!$C43,IF($F$4=Bron!$B$12,'Bouwkost IER'!$C42,IF(OR($F$4=Bron!$B$13,$F$4=Bron!$B$14),'Bouwkost VOLT'!$C43,IF($F$4=Bron!$C$16,'Bouwkost AK+VERB'!$C43,0))))))</f>
        <v>0</v>
      </c>
      <c r="H32" s="89">
        <f>IF(OR($H$4=Bron!$B$8,$H$4=Bron!$B$9,$H$4=Bron!$B$15),'Bouwkost NB'!$C44,IF($H$4=Bron!$B$10,'Bouwkost UITB'!$C43,IF($H$4=Bron!$B$11,'Bouwkost VERB'!$C43,IF($H$4=Bron!$B$12,'Bouwkost IER'!$C42,IF(OR($H$4=Bron!$B$13,$H$4=Bron!$B$14),'Bouwkost VOLT'!$C43,IF($H$4=Bron!$C$16,'Bouwkost AK+VERB'!$C43,0))))))</f>
        <v>0</v>
      </c>
      <c r="J32" s="89">
        <f>IF(OR($J$4=Bron!$B$8,$J$4=Bron!$B$9,$J$4=Bron!$B$15),'Bouwkost NB'!$N44,IF($J$4=Bron!$B$10,'Bouwkost UITB'!$N43,IF($J$4=Bron!$B$11,'Bouwkost VERB'!$N43,IF($J$4=Bron!$B$12,'Bouwkost IER'!$N42,IF(OR($J$4=Bron!$B$13,$J$4=Bron!$B$14),'Bouwkost VOLT'!$N43,IF($J$4=Bron!$C$16,'Bouwkost AK+VERB'!$N43,0))))))</f>
        <v>0</v>
      </c>
      <c r="L32" s="89">
        <f>IF(OR($L$4=Bron!$B$8,$L$4=Bron!$B$9,$L$4=Bron!$B$15),'Bouwkost NB'!$N44,IF($L$4=Bron!$B$10,'Bouwkost UITB'!$N43,IF($L$4=Bron!$B$11,'Bouwkost VERB'!$N43,IF($L$4=Bron!$B$12,'Bouwkost IER'!$N42,IF(OR($L$4=Bron!$B$13,$L$4=Bron!$B$14),'Bouwkost VOLT'!$N43,IF($L$4=Bron!$C$16,'Bouwkost AK+VERB'!$N43,0))))))</f>
        <v>0</v>
      </c>
      <c r="N32" s="89">
        <f>IF(OR($N$4=Bron!$B$8,$N$4=Bron!$B$9,,$N$4=Bron!$B$15),'Bouwkost NB'!$N44,IF($N$4=Bron!$B$10,'Bouwkost UITB'!$N43,IF($N$4=Bron!$B$11,'Bouwkost VERB'!$N43,IF($N$4=Bron!$B$12,'Bouwkost IER'!$N42,IF(OR($N$4=Bron!$B$13,$N$4=Bron!$B$14),'Bouwkost VOLT'!$N43,IF($N$4=Bron!$C$16,'Bouwkost AK+VERB'!$N43,0))))))</f>
        <v>0</v>
      </c>
      <c r="P32" s="89">
        <f>IF(OR($P$4=Bron!$B$8,$P$4=Bron!$B$9,$P$4=Bron!$B$15),'Bouwkost NB'!$N44,IF($P$4=Bron!$B$10,'Bouwkost UITB'!$N43,IF($P$4=Bron!$B$11,'Bouwkost VERB'!$N43,IF($P$4=Bron!$B$12,'Bouwkost IER'!$N42,IF(OR($P$4=Bron!$B$13,$P$4=Bron!$B$14),'Bouwkost VOLT'!$N43,IF($P$4=Bron!$C$16,'Bouwkost AK+VERB'!$N43,0))))))</f>
        <v>0</v>
      </c>
      <c r="R32" s="89">
        <f>IF(OR($R$4=Bron!$B$8,$R$4=Bron!$B$9,$R$4=Bron!$B$15),'Bouwkost NB'!$Y44,IF($R$4=Bron!$B$10,'Bouwkost UITB'!$Y43,IF($R$4=Bron!$B$11,'Bouwkost VERB'!$Y43,IF($R$4=Bron!$B$12,'Bouwkost IER'!$Y42,IF(OR($R$4=Bron!$B$13,$R$4=Bron!$B$14),'Bouwkost VOLT'!$Y43,IF($R$4=Bron!$C$16,'Bouwkost AK+VERB'!$Y43,0))))))</f>
        <v>0</v>
      </c>
      <c r="T32" s="89">
        <f>IF(OR($T$4=Bron!$B$8,$T$4=Bron!$B$9,$T$4=Bron!$B$15),'Bouwkost NB'!$Y44,IF($T$4=Bron!$B$10,'Bouwkost UITB'!$Y43,IF($T$4=Bron!$B$11,'Bouwkost VERB'!$Y43,IF($T$4=Bron!$B$12,'Bouwkost IER'!$Y42,IF(OR($T$4=Bron!$B$13,$T$4=Bron!$B$14),'Bouwkost VOLT'!$Y43,IF($T$4=Bron!$C$16,'Bouwkost AK+VERB'!$Y43,0))))))</f>
        <v>0</v>
      </c>
      <c r="V32" s="89">
        <f>IF(OR($N$4=Bron!$B$8,$N$4=Bron!$B$9,$N$4=Bron!$B$15),'Bouwkost NB'!$Y44,IF($N$4=Bron!$B$10,'Bouwkost UITB'!$Y43,IF($N$4=Bron!$B$11,'Bouwkost VERB'!$Y43,IF($N$4=Bron!$B$12,'Bouwkost IER'!$Y42,IF(OR($N$4=Bron!$B$13,$N$4=Bron!$B$14),'Bouwkost VOLT'!$Y43,IF($N$4=Bron!$C$16,'Bouwkost AK+VERB'!$Y43,0))))))</f>
        <v>0</v>
      </c>
      <c r="X32" s="89">
        <f>IF(OR($X$4=Bron!$B$8,$X$4=Bron!$B$9,$X$4=Bron!$B$15),'Bouwkost NB'!$Y44,IF($X$4=Bron!$B$10,'Bouwkost UITB'!$Y43,IF($X$4=Bron!$B$11,'Bouwkost VERB'!$Y43,IF($X$4=Bron!$B$12,'Bouwkost IER'!$Y42,IF(OR($X$4=Bron!$B$13,$X$4=Bron!$B$14),'Bouwkost VOLT'!$Y43,IF($X$4=Bron!$C$16,'Bouwkost AK+VERB'!$Y43,0))))))</f>
        <v>0</v>
      </c>
    </row>
    <row r="33" spans="1:25" x14ac:dyDescent="0.3">
      <c r="A33" s="641" t="s">
        <v>441</v>
      </c>
      <c r="B33" s="89">
        <f>IF(OR($B$4=Bron!$B$8,$B$4=Bron!$B$9,$B$4=Bron!$B$15),'Bouwkost NB'!$C45,IF($B$4=Bron!$B$10,'Bouwkost UITB'!$C44,IF($B$4=Bron!$B$11,'Bouwkost VERB'!$C44,IF($B$4=Bron!$B$12,'Bouwkost IER'!$C43,IF(OR($B$4=Bron!$B$13,$B$4=Bron!$B$14),'Bouwkost VOLT'!$C44,IF($B$4=Bron!$C$16,'Bouwkost AK+VERB'!$C44,0))))))</f>
        <v>0</v>
      </c>
      <c r="D33" s="89">
        <f>IF(OR($D$4=Bron!$B$8,$D$4=Bron!$B$9,$D$4=Bron!$B$15),'Bouwkost NB'!$C45,IF($D$4=Bron!$B$10,'Bouwkost UITB'!$C44,IF($D$4=Bron!$B$11,'Bouwkost VERB'!$C44,IF($D$4=Bron!$B$12,'Bouwkost IER'!$C43,IF(OR($D$4=Bron!$B$13,$D$4=Bron!$B$14),'Bouwkost VOLT'!$C44,IF($D$4=Bron!$C$16,'Bouwkost AK+VERB'!$C44,0))))))</f>
        <v>0</v>
      </c>
      <c r="F33" s="89">
        <f>IF(OR($F$4=Bron!$B$8,$F$4=Bron!$B$9,$F$4=Bron!$B$15),'Bouwkost NB'!$C45,IF($F$4=Bron!$B$10,'Bouwkost UITB'!$C44,IF($F$4=Bron!$B$11,'Bouwkost VERB'!$C44,IF($F$4=Bron!$B$12,'Bouwkost IER'!$C43,IF(OR($F$4=Bron!$B$13,$F$4=Bron!$B$14),'Bouwkost VOLT'!$C44,IF($F$4=Bron!$C$16,'Bouwkost AK+VERB'!$C44,0))))))</f>
        <v>0</v>
      </c>
      <c r="H33" s="89">
        <f>IF(OR($H$4=Bron!$B$8,$H$4=Bron!$B$9,$H$4=Bron!$B$15),'Bouwkost NB'!$C45,IF($H$4=Bron!$B$10,'Bouwkost UITB'!$C44,IF($H$4=Bron!$B$11,'Bouwkost VERB'!$C44,IF($H$4=Bron!$B$12,'Bouwkost IER'!$C43,IF(OR($H$4=Bron!$B$13,$H$4=Bron!$B$14),'Bouwkost VOLT'!$C44,IF($H$4=Bron!$C$16,'Bouwkost AK+VERB'!$C44,0))))))</f>
        <v>0</v>
      </c>
      <c r="J33" s="89">
        <f>IF(OR($J$4=Bron!$B$8,$J$4=Bron!$B$9,$J$4=Bron!$B$15),'Bouwkost NB'!$N45,IF($J$4=Bron!$B$10,'Bouwkost UITB'!$N44,IF($J$4=Bron!$B$11,'Bouwkost VERB'!$N44,IF($J$4=Bron!$B$12,'Bouwkost IER'!$N43,IF(OR($J$4=Bron!$B$13,$J$4=Bron!$B$14),'Bouwkost VOLT'!$N44,IF($J$4=Bron!$C$16,'Bouwkost AK+VERB'!$N44,0))))))</f>
        <v>0</v>
      </c>
      <c r="L33" s="89">
        <f>IF(OR($L$4=Bron!$B$8,$L$4=Bron!$B$9,$L$4=Bron!$B$15),'Bouwkost NB'!$N45,IF($L$4=Bron!$B$10,'Bouwkost UITB'!$N44,IF($L$4=Bron!$B$11,'Bouwkost VERB'!$N44,IF($L$4=Bron!$B$12,'Bouwkost IER'!$N43,IF(OR($L$4=Bron!$B$13,$L$4=Bron!$B$14),'Bouwkost VOLT'!$N44,IF($L$4=Bron!$C$16,'Bouwkost AK+VERB'!$N44,0))))))</f>
        <v>0</v>
      </c>
      <c r="N33" s="89">
        <f>IF(OR($N$4=Bron!$B$8,$N$4=Bron!$B$9,,$N$4=Bron!$B$15),'Bouwkost NB'!$N45,IF($N$4=Bron!$B$10,'Bouwkost UITB'!$N44,IF($N$4=Bron!$B$11,'Bouwkost VERB'!$N44,IF($N$4=Bron!$B$12,'Bouwkost IER'!$N43,IF(OR($N$4=Bron!$B$13,$N$4=Bron!$B$14),'Bouwkost VOLT'!$N44,IF($N$4=Bron!$C$16,'Bouwkost AK+VERB'!$N44,0))))))</f>
        <v>0</v>
      </c>
      <c r="P33" s="89">
        <f>IF(OR($P$4=Bron!$B$8,$P$4=Bron!$B$9,$P$4=Bron!$B$15),'Bouwkost NB'!$N45,IF($P$4=Bron!$B$10,'Bouwkost UITB'!$N44,IF($P$4=Bron!$B$11,'Bouwkost VERB'!$N44,IF($P$4=Bron!$B$12,'Bouwkost IER'!$N43,IF(OR($P$4=Bron!$B$13,$P$4=Bron!$B$14),'Bouwkost VOLT'!$N44,IF($P$4=Bron!$C$16,'Bouwkost AK+VERB'!$N44,0))))))</f>
        <v>0</v>
      </c>
      <c r="R33" s="89">
        <f>IF(OR($R$4=Bron!$B$8,$R$4=Bron!$B$9,$R$4=Bron!$B$15),'Bouwkost NB'!$Y45,IF($R$4=Bron!$B$10,'Bouwkost UITB'!$Y44,IF($R$4=Bron!$B$11,'Bouwkost VERB'!$Y44,IF($R$4=Bron!$B$12,'Bouwkost IER'!$Y43,IF(OR($R$4=Bron!$B$13,$R$4=Bron!$B$14),'Bouwkost VOLT'!$Y44,IF($R$4=Bron!$C$16,'Bouwkost AK+VERB'!$Y44,0))))))</f>
        <v>0</v>
      </c>
      <c r="T33" s="89">
        <f>IF(OR($T$4=Bron!$B$8,$T$4=Bron!$B$9,$T$4=Bron!$B$15),'Bouwkost NB'!$Y45,IF($T$4=Bron!$B$10,'Bouwkost UITB'!$Y44,IF($T$4=Bron!$B$11,'Bouwkost VERB'!$Y44,IF($T$4=Bron!$B$12,'Bouwkost IER'!$Y43,IF(OR($T$4=Bron!$B$13,$T$4=Bron!$B$14),'Bouwkost VOLT'!$Y44,IF($T$4=Bron!$C$16,'Bouwkost AK+VERB'!$Y44,0))))))</f>
        <v>0</v>
      </c>
      <c r="V33" s="89">
        <f>IF(OR($N$4=Bron!$B$8,$N$4=Bron!$B$9,$N$4=Bron!$B$15),'Bouwkost NB'!$Y45,IF($N$4=Bron!$B$10,'Bouwkost UITB'!$Y44,IF($N$4=Bron!$B$11,'Bouwkost VERB'!$Y44,IF($N$4=Bron!$B$12,'Bouwkost IER'!$Y43,IF(OR($N$4=Bron!$B$13,$N$4=Bron!$B$14),'Bouwkost VOLT'!$Y44,IF($N$4=Bron!$C$16,'Bouwkost AK+VERB'!$Y44,0))))))</f>
        <v>0</v>
      </c>
      <c r="X33" s="89">
        <f>IF(OR($X$4=Bron!$B$8,$X$4=Bron!$B$9,$X$4=Bron!$B$15),'Bouwkost NB'!$Y45,IF($X$4=Bron!$B$10,'Bouwkost UITB'!$Y44,IF($X$4=Bron!$B$11,'Bouwkost VERB'!$Y44,IF($X$4=Bron!$B$12,'Bouwkost IER'!$Y43,IF(OR($X$4=Bron!$B$13,$X$4=Bron!$B$14),'Bouwkost VOLT'!$Y44,IF($X$4=Bron!$C$16,'Bouwkost AK+VERB'!$Y44,0))))))</f>
        <v>0</v>
      </c>
    </row>
    <row r="34" spans="1:25" x14ac:dyDescent="0.3">
      <c r="A34" s="640" t="s">
        <v>429</v>
      </c>
      <c r="B34" s="89">
        <f>IF(OR($B$4=Bron!$B$8,$B$4=Bron!$B$9,$B$4=Bron!$B$15),'Bouwkost NB'!$C46,IF($B$4=Bron!$B$10,'Bouwkost UITB'!$C45,IF($B$4=Bron!$B$11,'Bouwkost VERB'!$C45,IF($B$4=Bron!$B$12,'Bouwkost IER'!$C44,IF(OR($B$4=Bron!$B$13,$B$4=Bron!$B$14),'Bouwkost VOLT'!$C45,IF($B$4=Bron!$C$16,'Bouwkost AK+VERB'!$C45,0))))))</f>
        <v>0</v>
      </c>
      <c r="D34" s="89">
        <f>IF(OR($D$4=Bron!$B$8,$D$4=Bron!$B$9,$D$4=Bron!$B$15),'Bouwkost NB'!$C46,IF($D$4=Bron!$B$10,'Bouwkost UITB'!$C45,IF($D$4=Bron!$B$11,'Bouwkost VERB'!$C45,IF($D$4=Bron!$B$12,'Bouwkost IER'!$C44,IF(OR($D$4=Bron!$B$13,$D$4=Bron!$B$14),'Bouwkost VOLT'!$C45,IF($D$4=Bron!$C$16,'Bouwkost AK+VERB'!$C45,0))))))</f>
        <v>0</v>
      </c>
      <c r="F34" s="89">
        <f>IF(OR($F$4=Bron!$B$8,$F$4=Bron!$B$9,$F$4=Bron!$B$15),'Bouwkost NB'!$C46,IF($F$4=Bron!$B$10,'Bouwkost UITB'!$C45,IF($F$4=Bron!$B$11,'Bouwkost VERB'!$C45,IF($F$4=Bron!$B$12,'Bouwkost IER'!$C44,IF(OR($F$4=Bron!$B$13,$F$4=Bron!$B$14),'Bouwkost VOLT'!$C45,IF($F$4=Bron!$C$16,'Bouwkost AK+VERB'!$C45,0))))))</f>
        <v>0</v>
      </c>
      <c r="H34" s="89">
        <f>IF(OR($H$4=Bron!$B$8,$H$4=Bron!$B$9,$H$4=Bron!$B$15),'Bouwkost NB'!$C46,IF($H$4=Bron!$B$10,'Bouwkost UITB'!$C45,IF($H$4=Bron!$B$11,'Bouwkost VERB'!$C45,IF($H$4=Bron!$B$12,'Bouwkost IER'!$C44,IF(OR($H$4=Bron!$B$13,$H$4=Bron!$B$14),'Bouwkost VOLT'!$C45,IF($H$4=Bron!$C$16,'Bouwkost AK+VERB'!$C45,0))))))</f>
        <v>0</v>
      </c>
      <c r="J34" s="89">
        <f>IF(OR($J$4=Bron!$B$8,$J$4=Bron!$B$9,$J$4=Bron!$B$15),'Bouwkost NB'!$N46,IF($J$4=Bron!$B$10,'Bouwkost UITB'!$N45,IF($J$4=Bron!$B$11,'Bouwkost VERB'!$N45,IF($J$4=Bron!$B$12,'Bouwkost IER'!$N44,IF(OR($J$4=Bron!$B$13,$J$4=Bron!$B$14),'Bouwkost VOLT'!$N45,IF($J$4=Bron!$C$16,'Bouwkost AK+VERB'!$N45,0))))))</f>
        <v>0</v>
      </c>
      <c r="L34" s="89">
        <f>IF(OR($L$4=Bron!$B$8,$L$4=Bron!$B$9,$L$4=Bron!$B$15),'Bouwkost NB'!$N46,IF($L$4=Bron!$B$10,'Bouwkost UITB'!$N45,IF($L$4=Bron!$B$11,'Bouwkost VERB'!$N45,IF($L$4=Bron!$B$12,'Bouwkost IER'!$N44,IF(OR($L$4=Bron!$B$13,$L$4=Bron!$B$14),'Bouwkost VOLT'!$N45,IF($L$4=Bron!$C$16,'Bouwkost AK+VERB'!$N45,0))))))</f>
        <v>0</v>
      </c>
      <c r="N34" s="89">
        <f>IF(OR($N$4=Bron!$B$8,$N$4=Bron!$B$9,,$N$4=Bron!$B$15),'Bouwkost NB'!$N46,IF($N$4=Bron!$B$10,'Bouwkost UITB'!$N45,IF($N$4=Bron!$B$11,'Bouwkost VERB'!$N45,IF($N$4=Bron!$B$12,'Bouwkost IER'!$N44,IF(OR($N$4=Bron!$B$13,$N$4=Bron!$B$14),'Bouwkost VOLT'!$N45,IF($N$4=Bron!$C$16,'Bouwkost AK+VERB'!$N45,0))))))</f>
        <v>0</v>
      </c>
      <c r="P34" s="89">
        <f>IF(OR($P$4=Bron!$B$8,$P$4=Bron!$B$9,$P$4=Bron!$B$15),'Bouwkost NB'!$N46,IF($P$4=Bron!$B$10,'Bouwkost UITB'!$N45,IF($P$4=Bron!$B$11,'Bouwkost VERB'!$N45,IF($P$4=Bron!$B$12,'Bouwkost IER'!$N44,IF(OR($P$4=Bron!$B$13,$P$4=Bron!$B$14),'Bouwkost VOLT'!$N45,IF($P$4=Bron!$C$16,'Bouwkost AK+VERB'!$N45,0))))))</f>
        <v>0</v>
      </c>
      <c r="R34" s="89">
        <f>IF(OR($R$4=Bron!$B$8,$R$4=Bron!$B$9,$R$4=Bron!$B$15),'Bouwkost NB'!$Y46,IF($R$4=Bron!$B$10,'Bouwkost UITB'!$Y45,IF($R$4=Bron!$B$11,'Bouwkost VERB'!$Y45,IF($R$4=Bron!$B$12,'Bouwkost IER'!$Y44,IF(OR($R$4=Bron!$B$13,$R$4=Bron!$B$14),'Bouwkost VOLT'!$Y45,IF($R$4=Bron!$C$16,'Bouwkost AK+VERB'!$Y45,0))))))</f>
        <v>0</v>
      </c>
      <c r="T34" s="89">
        <f>IF(OR($T$4=Bron!$B$8,$T$4=Bron!$B$9,$T$4=Bron!$B$15),'Bouwkost NB'!$Y46,IF($T$4=Bron!$B$10,'Bouwkost UITB'!$Y45,IF($T$4=Bron!$B$11,'Bouwkost VERB'!$Y45,IF($T$4=Bron!$B$12,'Bouwkost IER'!$Y44,IF(OR($T$4=Bron!$B$13,$T$4=Bron!$B$14),'Bouwkost VOLT'!$Y45,IF($T$4=Bron!$C$16,'Bouwkost AK+VERB'!$Y45,0))))))</f>
        <v>0</v>
      </c>
      <c r="V34" s="89">
        <f>IF(OR($N$4=Bron!$B$8,$N$4=Bron!$B$9,$N$4=Bron!$B$15),'Bouwkost NB'!$Y46,IF($N$4=Bron!$B$10,'Bouwkost UITB'!$Y45,IF($N$4=Bron!$B$11,'Bouwkost VERB'!$Y45,IF($N$4=Bron!$B$12,'Bouwkost IER'!$Y44,IF(OR($N$4=Bron!$B$13,$N$4=Bron!$B$14),'Bouwkost VOLT'!$Y45,IF($N$4=Bron!$C$16,'Bouwkost AK+VERB'!$Y45,0))))))</f>
        <v>0</v>
      </c>
      <c r="X34" s="89">
        <f>IF(OR($X$4=Bron!$B$8,$X$4=Bron!$B$9,$X$4=Bron!$B$15),'Bouwkost NB'!$Y46,IF($X$4=Bron!$B$10,'Bouwkost UITB'!$Y45,IF($X$4=Bron!$B$11,'Bouwkost VERB'!$Y45,IF($X$4=Bron!$B$12,'Bouwkost IER'!$Y44,IF(OR($X$4=Bron!$B$13,$X$4=Bron!$B$14),'Bouwkost VOLT'!$Y45,IF($X$4=Bron!$C$16,'Bouwkost AK+VERB'!$Y45,0))))))</f>
        <v>0</v>
      </c>
    </row>
    <row r="35" spans="1:25" x14ac:dyDescent="0.3">
      <c r="A35" s="640" t="s">
        <v>430</v>
      </c>
      <c r="B35" s="89">
        <f>IF(OR($B$4=Bron!$B$8,$B$4=Bron!$B$9,$B$4=Bron!$B$15),'Bouwkost NB'!$C47,IF($B$4=Bron!$B$10,'Bouwkost UITB'!$C46,IF($B$4=Bron!$B$11,'Bouwkost VERB'!$C46,IF($B$4=Bron!$B$12,'Bouwkost IER'!$C45,IF(OR($B$4=Bron!$B$13,$B$4=Bron!$B$14),'Bouwkost VOLT'!$C46,IF($B$4=Bron!$C$16,'Bouwkost AK+VERB'!$C46,0))))))</f>
        <v>0</v>
      </c>
      <c r="D35" s="89">
        <f>IF(OR($D$4=Bron!$B$8,$D$4=Bron!$B$9,$D$4=Bron!$B$15),'Bouwkost NB'!$C47,IF($D$4=Bron!$B$10,'Bouwkost UITB'!$C46,IF($D$4=Bron!$B$11,'Bouwkost VERB'!$C46,IF($D$4=Bron!$B$12,'Bouwkost IER'!$C45,IF(OR($D$4=Bron!$B$13,$D$4=Bron!$B$14),'Bouwkost VOLT'!$C46,IF($D$4=Bron!$C$16,'Bouwkost AK+VERB'!$C46,0))))))</f>
        <v>0</v>
      </c>
      <c r="F35" s="89">
        <f>IF(OR($F$4=Bron!$B$8,$F$4=Bron!$B$9,$F$4=Bron!$B$15),'Bouwkost NB'!$C47,IF($F$4=Bron!$B$10,'Bouwkost UITB'!$C46,IF($F$4=Bron!$B$11,'Bouwkost VERB'!$C46,IF($F$4=Bron!$B$12,'Bouwkost IER'!$C45,IF(OR($F$4=Bron!$B$13,$F$4=Bron!$B$14),'Bouwkost VOLT'!$C46,IF($F$4=Bron!$C$16,'Bouwkost AK+VERB'!$C46,0))))))</f>
        <v>0</v>
      </c>
      <c r="H35" s="89">
        <f>IF(OR($H$4=Bron!$B$8,$H$4=Bron!$B$9,$H$4=Bron!$B$15),'Bouwkost NB'!$C47,IF($H$4=Bron!$B$10,'Bouwkost UITB'!$C46,IF($H$4=Bron!$B$11,'Bouwkost VERB'!$C46,IF($H$4=Bron!$B$12,'Bouwkost IER'!$C45,IF(OR($H$4=Bron!$B$13,$H$4=Bron!$B$14),'Bouwkost VOLT'!$C46,IF($H$4=Bron!$C$16,'Bouwkost AK+VERB'!$C46,0))))))</f>
        <v>0</v>
      </c>
      <c r="J35" s="89">
        <f>IF(OR($J$4=Bron!$B$8,$J$4=Bron!$B$9,$J$4=Bron!$B$15),'Bouwkost NB'!$N47,IF($J$4=Bron!$B$10,'Bouwkost UITB'!$N46,IF($J$4=Bron!$B$11,'Bouwkost VERB'!$N46,IF($J$4=Bron!$B$12,'Bouwkost IER'!$N45,IF(OR($J$4=Bron!$B$13,$J$4=Bron!$B$14),'Bouwkost VOLT'!$N46,IF($J$4=Bron!$C$16,'Bouwkost AK+VERB'!$N46,0))))))</f>
        <v>0</v>
      </c>
      <c r="L35" s="89">
        <f>IF(OR($L$4=Bron!$B$8,$L$4=Bron!$B$9,$L$4=Bron!$B$15),'Bouwkost NB'!$N47,IF($L$4=Bron!$B$10,'Bouwkost UITB'!$N46,IF($L$4=Bron!$B$11,'Bouwkost VERB'!$N46,IF($L$4=Bron!$B$12,'Bouwkost IER'!$N45,IF(OR($L$4=Bron!$B$13,$L$4=Bron!$B$14),'Bouwkost VOLT'!$N46,IF($L$4=Bron!$C$16,'Bouwkost AK+VERB'!$N46,0))))))</f>
        <v>0</v>
      </c>
      <c r="N35" s="89">
        <f>IF(OR($N$4=Bron!$B$8,$N$4=Bron!$B$9,,$N$4=Bron!$B$15),'Bouwkost NB'!$N47,IF($N$4=Bron!$B$10,'Bouwkost UITB'!$N46,IF($N$4=Bron!$B$11,'Bouwkost VERB'!$N46,IF($N$4=Bron!$B$12,'Bouwkost IER'!$N45,IF(OR($N$4=Bron!$B$13,$N$4=Bron!$B$14),'Bouwkost VOLT'!$N46,IF($N$4=Bron!$C$16,'Bouwkost AK+VERB'!$N46,0))))))</f>
        <v>0</v>
      </c>
      <c r="P35" s="89">
        <f>IF(OR($P$4=Bron!$B$8,$P$4=Bron!$B$9,$P$4=Bron!$B$15),'Bouwkost NB'!$N47,IF($P$4=Bron!$B$10,'Bouwkost UITB'!$N46,IF($P$4=Bron!$B$11,'Bouwkost VERB'!$N46,IF($P$4=Bron!$B$12,'Bouwkost IER'!$N45,IF(OR($P$4=Bron!$B$13,$P$4=Bron!$B$14),'Bouwkost VOLT'!$N46,IF($P$4=Bron!$C$16,'Bouwkost AK+VERB'!$N46,0))))))</f>
        <v>0</v>
      </c>
      <c r="R35" s="89">
        <f>IF(OR($R$4=Bron!$B$8,$R$4=Bron!$B$9,$R$4=Bron!$B$15),'Bouwkost NB'!$Y47,IF($R$4=Bron!$B$10,'Bouwkost UITB'!$Y46,IF($R$4=Bron!$B$11,'Bouwkost VERB'!$Y46,IF($R$4=Bron!$B$12,'Bouwkost IER'!$Y45,IF(OR($R$4=Bron!$B$13,$R$4=Bron!$B$14),'Bouwkost VOLT'!$Y46,IF($R$4=Bron!$C$16,'Bouwkost AK+VERB'!$Y46,0))))))</f>
        <v>0</v>
      </c>
      <c r="T35" s="89">
        <f>IF(OR($T$4=Bron!$B$8,$T$4=Bron!$B$9,$T$4=Bron!$B$15),'Bouwkost NB'!$Y47,IF($T$4=Bron!$B$10,'Bouwkost UITB'!$Y46,IF($T$4=Bron!$B$11,'Bouwkost VERB'!$Y46,IF($T$4=Bron!$B$12,'Bouwkost IER'!$Y45,IF(OR($T$4=Bron!$B$13,$T$4=Bron!$B$14),'Bouwkost VOLT'!$Y46,IF($T$4=Bron!$C$16,'Bouwkost AK+VERB'!$Y46,0))))))</f>
        <v>0</v>
      </c>
      <c r="V35" s="89">
        <f>IF(OR($N$4=Bron!$B$8,$N$4=Bron!$B$9,$N$4=Bron!$B$15),'Bouwkost NB'!$Y47,IF($N$4=Bron!$B$10,'Bouwkost UITB'!$Y46,IF($N$4=Bron!$B$11,'Bouwkost VERB'!$Y46,IF($N$4=Bron!$B$12,'Bouwkost IER'!$Y45,IF(OR($N$4=Bron!$B$13,$N$4=Bron!$B$14),'Bouwkost VOLT'!$Y46,IF($N$4=Bron!$C$16,'Bouwkost AK+VERB'!$Y46,0))))))</f>
        <v>0</v>
      </c>
      <c r="X35" s="89">
        <f>IF(OR($X$4=Bron!$B$8,$X$4=Bron!$B$9,$X$4=Bron!$B$15),'Bouwkost NB'!$Y47,IF($X$4=Bron!$B$10,'Bouwkost UITB'!$Y46,IF($X$4=Bron!$B$11,'Bouwkost VERB'!$Y46,IF($X$4=Bron!$B$12,'Bouwkost IER'!$Y45,IF(OR($X$4=Bron!$B$13,$X$4=Bron!$B$14),'Bouwkost VOLT'!$Y46,IF($X$4=Bron!$C$16,'Bouwkost AK+VERB'!$Y46,0))))))</f>
        <v>0</v>
      </c>
    </row>
    <row r="36" spans="1:25" x14ac:dyDescent="0.3">
      <c r="A36" s="642" t="s">
        <v>431</v>
      </c>
      <c r="B36" s="89">
        <f>IF(OR($B$4=Bron!$B$8,$B$4=Bron!$B$9,$B$4=Bron!$B$15),'Bouwkost NB'!$C48,IF($B$4=Bron!$B$10,'Bouwkost UITB'!$C47,IF($B$4=Bron!$B$11,'Bouwkost VERB'!$C47,IF($B$4=Bron!$B$12,'Bouwkost IER'!$C46,IF(OR($B$4=Bron!$B$13,$B$4=Bron!$B$14),'Bouwkost VOLT'!$C47,IF($B$4=Bron!$C$16,'Bouwkost AK+VERB'!$C47,0))))))</f>
        <v>0</v>
      </c>
      <c r="D36" s="89">
        <f>IF(OR($D$4=Bron!$B$8,$D$4=Bron!$B$9,$D$4=Bron!$B$15),'Bouwkost NB'!$C48,IF($D$4=Bron!$B$10,'Bouwkost UITB'!$C47,IF($D$4=Bron!$B$11,'Bouwkost VERB'!$C47,IF($D$4=Bron!$B$12,'Bouwkost IER'!$C46,IF(OR($D$4=Bron!$B$13,$D$4=Bron!$B$14),'Bouwkost VOLT'!$C47,IF($D$4=Bron!$C$16,'Bouwkost AK+VERB'!$C47,0))))))</f>
        <v>0</v>
      </c>
      <c r="F36" s="89">
        <f>IF(OR($F$4=Bron!$B$8,$F$4=Bron!$B$9,$F$4=Bron!$B$15),'Bouwkost NB'!$C48,IF($F$4=Bron!$B$10,'Bouwkost UITB'!$C47,IF($F$4=Bron!$B$11,'Bouwkost VERB'!$C47,IF($F$4=Bron!$B$12,'Bouwkost IER'!$C46,IF(OR($F$4=Bron!$B$13,$F$4=Bron!$B$14),'Bouwkost VOLT'!$C47,IF($F$4=Bron!$C$16,'Bouwkost AK+VERB'!$C47,0))))))</f>
        <v>0</v>
      </c>
      <c r="H36" s="89">
        <f>IF(OR($H$4=Bron!$B$8,$H$4=Bron!$B$9,$H$4=Bron!$B$15),'Bouwkost NB'!$C48,IF($H$4=Bron!$B$10,'Bouwkost UITB'!$C47,IF($H$4=Bron!$B$11,'Bouwkost VERB'!$C47,IF($H$4=Bron!$B$12,'Bouwkost IER'!$C46,IF(OR($H$4=Bron!$B$13,$H$4=Bron!$B$14),'Bouwkost VOLT'!$C47,IF($H$4=Bron!$C$16,'Bouwkost AK+VERB'!$C47,0))))))</f>
        <v>0</v>
      </c>
      <c r="J36" s="89">
        <f>IF(OR($J$4=Bron!$B$8,$J$4=Bron!$B$9,$J$4=Bron!$B$15),'Bouwkost NB'!$N48,IF($J$4=Bron!$B$10,'Bouwkost UITB'!$N47,IF($J$4=Bron!$B$11,'Bouwkost VERB'!$N47,IF($J$4=Bron!$B$12,'Bouwkost IER'!$N46,IF(OR($J$4=Bron!$B$13,$J$4=Bron!$B$14),'Bouwkost VOLT'!$N47,IF($J$4=Bron!$C$16,'Bouwkost AK+VERB'!$N47,0))))))</f>
        <v>0</v>
      </c>
      <c r="L36" s="89">
        <f>IF(OR($L$4=Bron!$B$8,$L$4=Bron!$B$9,$L$4=Bron!$B$15),'Bouwkost NB'!$N48,IF($L$4=Bron!$B$10,'Bouwkost UITB'!$N47,IF($L$4=Bron!$B$11,'Bouwkost VERB'!$N47,IF($L$4=Bron!$B$12,'Bouwkost IER'!$N46,IF(OR($L$4=Bron!$B$13,$L$4=Bron!$B$14),'Bouwkost VOLT'!$N47,IF($L$4=Bron!$C$16,'Bouwkost AK+VERB'!$N47,0))))))</f>
        <v>0</v>
      </c>
      <c r="N36" s="89">
        <f>IF(OR($N$4=Bron!$B$8,$N$4=Bron!$B$9,,$N$4=Bron!$B$15),'Bouwkost NB'!$N48,IF($N$4=Bron!$B$10,'Bouwkost UITB'!$N47,IF($N$4=Bron!$B$11,'Bouwkost VERB'!$N47,IF($N$4=Bron!$B$12,'Bouwkost IER'!$N46,IF(OR($N$4=Bron!$B$13,$N$4=Bron!$B$14),'Bouwkost VOLT'!$N47,IF($N$4=Bron!$C$16,'Bouwkost AK+VERB'!$N47,0))))))</f>
        <v>0</v>
      </c>
      <c r="P36" s="89">
        <f>IF(OR($P$4=Bron!$B$8,$P$4=Bron!$B$9,$P$4=Bron!$B$15),'Bouwkost NB'!$N48,IF($P$4=Bron!$B$10,'Bouwkost UITB'!$N47,IF($P$4=Bron!$B$11,'Bouwkost VERB'!$N47,IF($P$4=Bron!$B$12,'Bouwkost IER'!$N46,IF(OR($P$4=Bron!$B$13,$P$4=Bron!$B$14),'Bouwkost VOLT'!$N47,IF($P$4=Bron!$C$16,'Bouwkost AK+VERB'!$N47,0))))))</f>
        <v>0</v>
      </c>
      <c r="R36" s="89">
        <f>IF(OR($R$4=Bron!$B$8,$R$4=Bron!$B$9,$R$4=Bron!$B$15),'Bouwkost NB'!$Y48,IF($R$4=Bron!$B$10,'Bouwkost UITB'!$Y47,IF($R$4=Bron!$B$11,'Bouwkost VERB'!$Y47,IF($R$4=Bron!$B$12,'Bouwkost IER'!$Y46,IF(OR($R$4=Bron!$B$13,$R$4=Bron!$B$14),'Bouwkost VOLT'!$Y47,IF($R$4=Bron!$C$16,'Bouwkost AK+VERB'!$Y47,0))))))</f>
        <v>0</v>
      </c>
      <c r="T36" s="89">
        <f>IF(OR($T$4=Bron!$B$8,$T$4=Bron!$B$9,$T$4=Bron!$B$15),'Bouwkost NB'!$Y48,IF($T$4=Bron!$B$10,'Bouwkost UITB'!$Y47,IF($T$4=Bron!$B$11,'Bouwkost VERB'!$Y47,IF($T$4=Bron!$B$12,'Bouwkost IER'!$Y46,IF(OR($T$4=Bron!$B$13,$T$4=Bron!$B$14),'Bouwkost VOLT'!$Y47,IF($T$4=Bron!$C$16,'Bouwkost AK+VERB'!$Y47,0))))))</f>
        <v>0</v>
      </c>
      <c r="V36" s="89">
        <f>IF(OR($N$4=Bron!$B$8,$N$4=Bron!$B$9,$N$4=Bron!$B$15),'Bouwkost NB'!$Y48,IF($N$4=Bron!$B$10,'Bouwkost UITB'!$Y47,IF($N$4=Bron!$B$11,'Bouwkost VERB'!$Y47,IF($N$4=Bron!$B$12,'Bouwkost IER'!$Y46,IF(OR($N$4=Bron!$B$13,$N$4=Bron!$B$14),'Bouwkost VOLT'!$Y47,IF($N$4=Bron!$C$16,'Bouwkost AK+VERB'!$Y47,0))))))</f>
        <v>0</v>
      </c>
      <c r="X36" s="89">
        <f>IF(OR($X$4=Bron!$B$8,$X$4=Bron!$B$9,$X$4=Bron!$B$15),'Bouwkost NB'!$Y48,IF($X$4=Bron!$B$10,'Bouwkost UITB'!$Y47,IF($X$4=Bron!$B$11,'Bouwkost VERB'!$Y47,IF($X$4=Bron!$B$12,'Bouwkost IER'!$Y46,IF(OR($X$4=Bron!$B$13,$X$4=Bron!$B$14),'Bouwkost VOLT'!$Y47,IF($X$4=Bron!$C$16,'Bouwkost AK+VERB'!$Y47,0))))))</f>
        <v>0</v>
      </c>
    </row>
    <row r="37" spans="1:25" x14ac:dyDescent="0.3">
      <c r="A37" s="328" t="s">
        <v>126</v>
      </c>
      <c r="B37" s="810">
        <f>IF(OR($B$4=Bron!$B$8,$B$4=Bron!$B$9,$B$4=Bron!$B$15),'Bouwkost NB'!$C49,IF($B$4=Bron!$B$10,'Bouwkost UITB'!$C48,IF($B$4=Bron!$B$11,'Bouwkost VERB'!$C48,IF($B$4=Bron!$B$12,'Bouwkost IER'!$C47,IF(OR($B$4=Bron!$B$13,$B$4=Bron!$B$14),'Bouwkost VOLT'!$C48,IF($B$4=Bron!$C$16,'Bouwkost AK+VERB'!$C48,0))))))</f>
        <v>0</v>
      </c>
      <c r="C37" s="810"/>
      <c r="D37" s="810">
        <f>IF(OR($D$4=Bron!$B$8,$D$4=Bron!$B$9,$D$4=Bron!$B$15),'Bouwkost NB'!$C49,IF($D$4=Bron!$B$10,'Bouwkost UITB'!$C48,IF($D$4=Bron!$B$11,'Bouwkost VERB'!$C48,IF($D$4=Bron!$B$12,'Bouwkost IER'!$C47,IF(OR($D$4=Bron!$B$13,$D$4=Bron!$B$14),'Bouwkost VOLT'!$C48,IF($D$4=Bron!$C$16,'Bouwkost AK+VERB'!$C48,0))))))</f>
        <v>0</v>
      </c>
      <c r="E37" s="810"/>
      <c r="F37" s="810">
        <f>IF(OR($F$4=Bron!$B$8,$F$4=Bron!$B$9,$F$4=Bron!$B$15),'Bouwkost NB'!$C49,IF($F$4=Bron!$B$10,'Bouwkost UITB'!$C48,IF($F$4=Bron!$B$11,'Bouwkost VERB'!$C48,IF($F$4=Bron!$B$12,'Bouwkost IER'!$C47,IF(OR($F$4=Bron!$B$13,$F$4=Bron!$B$14),'Bouwkost VOLT'!$C48,IF($F$4=Bron!$C$16,'Bouwkost AK+VERB'!$C48,0))))))</f>
        <v>0</v>
      </c>
      <c r="G37" s="810"/>
      <c r="H37" s="810">
        <f>IF(OR($H$4=Bron!$B$8,$H$4=Bron!$B$9,$H$4=Bron!$B$15),'Bouwkost NB'!$C49,IF($H$4=Bron!$B$10,'Bouwkost UITB'!$C48,IF($H$4=Bron!$B$11,'Bouwkost VERB'!$C48,IF($H$4=Bron!$B$12,'Bouwkost IER'!$C47,IF(OR($H$4=Bron!$B$13,$H$4=Bron!$B$14),'Bouwkost VOLT'!$C48,IF($H$4=Bron!$C$16,'Bouwkost AK+VERB'!$C48,0))))))</f>
        <v>0</v>
      </c>
      <c r="I37" s="810"/>
      <c r="J37" s="810">
        <f>IF(OR($J$4=Bron!$B$8,$J$4=Bron!$B$9,$J$4=Bron!$B$15),'Bouwkost NB'!$N49,IF($J$4=Bron!$B$10,'Bouwkost UITB'!$N48,IF($J$4=Bron!$B$11,'Bouwkost VERB'!$N48,IF($J$4=Bron!$B$12,'Bouwkost IER'!$N47,IF(OR($J$4=Bron!$B$13,$J$4=Bron!$B$14),'Bouwkost VOLT'!$N48,IF($J$4=Bron!$C$16,'Bouwkost AK+VERB'!$N48,0))))))</f>
        <v>0</v>
      </c>
      <c r="K37" s="810"/>
      <c r="L37" s="810">
        <f>IF(OR($L$4=Bron!$B$8,$L$4=Bron!$B$9,$L$4=Bron!$B$15),'Bouwkost NB'!$N49,IF($L$4=Bron!$B$10,'Bouwkost UITB'!$N48,IF($L$4=Bron!$B$11,'Bouwkost VERB'!$N48,IF($L$4=Bron!$B$12,'Bouwkost IER'!$N47,IF(OR($L$4=Bron!$B$13,$L$4=Bron!$B$14),'Bouwkost VOLT'!$N48,IF($L$4=Bron!$C$16,'Bouwkost AK+VERB'!$N48,0))))))</f>
        <v>0</v>
      </c>
      <c r="M37" s="810"/>
      <c r="N37" s="810">
        <f>IF(OR($N$4=Bron!$B$8,$N$4=Bron!$B$9,,$N$4=Bron!$B$15),'Bouwkost NB'!$N49,IF($N$4=Bron!$B$10,'Bouwkost UITB'!$N48,IF($N$4=Bron!$B$11,'Bouwkost VERB'!$N48,IF($N$4=Bron!$B$12,'Bouwkost IER'!$N47,IF(OR($N$4=Bron!$B$13,$N$4=Bron!$B$14),'Bouwkost VOLT'!$N48,IF($N$4=Bron!$C$16,'Bouwkost AK+VERB'!$N48,0))))))</f>
        <v>0</v>
      </c>
      <c r="O37" s="810"/>
      <c r="P37" s="810">
        <f>IF(OR($P$4=Bron!$B$8,$P$4=Bron!$B$9,$P$4=Bron!$B$15),'Bouwkost NB'!$N49,IF($P$4=Bron!$B$10,'Bouwkost UITB'!$N48,IF($P$4=Bron!$B$11,'Bouwkost VERB'!$N48,IF($P$4=Bron!$B$12,'Bouwkost IER'!$N47,IF(OR($P$4=Bron!$B$13,$P$4=Bron!$B$14),'Bouwkost VOLT'!$N48,IF($P$4=Bron!$C$16,'Bouwkost AK+VERB'!$N48,0))))))</f>
        <v>0</v>
      </c>
      <c r="Q37" s="810"/>
      <c r="R37" s="810">
        <f>IF(OR($R$4=Bron!$B$8,$R$4=Bron!$B$9,$R$4=Bron!$B$15),'Bouwkost NB'!$Y49,IF($R$4=Bron!$B$10,'Bouwkost UITB'!$Y48,IF($R$4=Bron!$B$11,'Bouwkost VERB'!$Y48,IF($R$4=Bron!$B$12,'Bouwkost IER'!$Y47,IF(OR($R$4=Bron!$B$13,$R$4=Bron!$B$14),'Bouwkost VOLT'!$Y48,IF($R$4=Bron!$C$16,'Bouwkost AK+VERB'!$Y48,0))))))</f>
        <v>0</v>
      </c>
      <c r="S37" s="810"/>
      <c r="T37" s="810">
        <f>IF(OR($T$4=Bron!$B$8,$T$4=Bron!$B$9,$T$4=Bron!$B$15),'Bouwkost NB'!$Y49,IF($T$4=Bron!$B$10,'Bouwkost UITB'!$Y48,IF($T$4=Bron!$B$11,'Bouwkost VERB'!$Y48,IF($T$4=Bron!$B$12,'Bouwkost IER'!$Y47,IF(OR($T$4=Bron!$B$13,$T$4=Bron!$B$14),'Bouwkost VOLT'!$Y48,IF($T$4=Bron!$C$16,'Bouwkost AK+VERB'!$Y48,0))))))</f>
        <v>0</v>
      </c>
      <c r="U37" s="810"/>
      <c r="V37" s="810">
        <f>IF(OR($N$4=Bron!$B$8,$N$4=Bron!$B$9,$N$4=Bron!$B$15),'Bouwkost NB'!$Y49,IF($N$4=Bron!$B$10,'Bouwkost UITB'!$Y48,IF($N$4=Bron!$B$11,'Bouwkost VERB'!$Y48,IF($N$4=Bron!$B$12,'Bouwkost IER'!$Y47,IF(OR($N$4=Bron!$B$13,$N$4=Bron!$B$14),'Bouwkost VOLT'!$Y48,IF($N$4=Bron!$C$16,'Bouwkost AK+VERB'!$Y48,0))))))</f>
        <v>0</v>
      </c>
      <c r="W37" s="810"/>
      <c r="X37" s="810">
        <f>IF(OR($X$4=Bron!$B$8,$X$4=Bron!$B$9,$X$4=Bron!$B$15),'Bouwkost NB'!$Y49,IF($X$4=Bron!$B$10,'Bouwkost UITB'!$Y48,IF($X$4=Bron!$B$11,'Bouwkost VERB'!$Y48,IF($X$4=Bron!$B$12,'Bouwkost IER'!$Y47,IF(OR($X$4=Bron!$B$13,$X$4=Bron!$B$14),'Bouwkost VOLT'!$Y48,IF($X$4=Bron!$C$16,'Bouwkost AK+VERB'!$Y48,0))))))</f>
        <v>0</v>
      </c>
      <c r="Y37" s="815">
        <f>SUM(B37:X37)</f>
        <v>0</v>
      </c>
    </row>
    <row r="38" spans="1:25" x14ac:dyDescent="0.3">
      <c r="A38" s="333" t="s">
        <v>127</v>
      </c>
      <c r="B38" s="810">
        <f>IF(OR($B$4=Bron!$B$8,$B$4=Bron!$B$9,$B$4=Bron!$B$15),'Bouwkost NB'!$C50,IF($B$4=Bron!$B$10,'Bouwkost UITB'!$C49,IF($B$4=Bron!$B$11,'Bouwkost VERB'!$C49,IF($B$4=Bron!$B$12,'Bouwkost IER'!$C48,IF(OR($B$4=Bron!$B$13,$B$4=Bron!$B$14),'Bouwkost VOLT'!$C49,IF($B$4=Bron!$C$16,'Bouwkost AK+VERB'!$C49,0))))))</f>
        <v>0</v>
      </c>
      <c r="C38" s="810"/>
      <c r="D38" s="810">
        <f>IF(OR($D$4=Bron!$B$8,$D$4=Bron!$B$9,$D$4=Bron!$B$15),'Bouwkost NB'!$C50,IF($D$4=Bron!$B$10,'Bouwkost UITB'!$C49,IF($D$4=Bron!$B$11,'Bouwkost VERB'!$C49,IF($D$4=Bron!$B$12,'Bouwkost IER'!$C48,IF(OR($D$4=Bron!$B$13,$D$4=Bron!$B$14),'Bouwkost VOLT'!$C49,IF($D$4=Bron!$C$16,'Bouwkost AK+VERB'!$C49,0))))))</f>
        <v>0</v>
      </c>
      <c r="E38" s="810"/>
      <c r="F38" s="810">
        <f>IF(OR($F$4=Bron!$B$8,$F$4=Bron!$B$9,$F$4=Bron!$B$15),'Bouwkost NB'!$C50,IF($F$4=Bron!$B$10,'Bouwkost UITB'!$C49,IF($F$4=Bron!$B$11,'Bouwkost VERB'!$C49,IF($F$4=Bron!$B$12,'Bouwkost IER'!$C48,IF(OR($F$4=Bron!$B$13,$F$4=Bron!$B$14),'Bouwkost VOLT'!$C49,IF($F$4=Bron!$C$16,'Bouwkost AK+VERB'!$C49,0))))))</f>
        <v>0</v>
      </c>
      <c r="G38" s="810"/>
      <c r="H38" s="810">
        <f>IF(OR($H$4=Bron!$B$8,$H$4=Bron!$B$9,$H$4=Bron!$B$15),'Bouwkost NB'!$C50,IF($H$4=Bron!$B$10,'Bouwkost UITB'!$C49,IF($H$4=Bron!$B$11,'Bouwkost VERB'!$C49,IF($H$4=Bron!$B$12,'Bouwkost IER'!$C48,IF(OR($H$4=Bron!$B$13,$H$4=Bron!$B$14),'Bouwkost VOLT'!$C49,IF($H$4=Bron!$C$16,'Bouwkost AK+VERB'!$C49,0))))))</f>
        <v>0</v>
      </c>
      <c r="I38" s="810"/>
      <c r="J38" s="810">
        <f>IF(OR($J$4=Bron!$B$8,$J$4=Bron!$B$9,$J$4=Bron!$B$15),'Bouwkost NB'!$N50,IF($J$4=Bron!$B$10,'Bouwkost UITB'!$N49,IF($J$4=Bron!$B$11,'Bouwkost VERB'!$N49,IF($J$4=Bron!$B$12,'Bouwkost IER'!$N48,IF(OR($J$4=Bron!$B$13,$J$4=Bron!$B$14),'Bouwkost VOLT'!$N49,IF($J$4=Bron!$C$16,'Bouwkost AK+VERB'!$N49,0))))))</f>
        <v>0</v>
      </c>
      <c r="K38" s="810"/>
      <c r="L38" s="810">
        <f>IF(OR($L$4=Bron!$B$8,$L$4=Bron!$B$9,$L$4=Bron!$B$15),'Bouwkost NB'!$N50,IF($L$4=Bron!$B$10,'Bouwkost UITB'!$N49,IF($L$4=Bron!$B$11,'Bouwkost VERB'!$N49,IF($L$4=Bron!$B$12,'Bouwkost IER'!$N48,IF(OR($L$4=Bron!$B$13,$L$4=Bron!$B$14),'Bouwkost VOLT'!$N49,IF($L$4=Bron!$C$16,'Bouwkost AK+VERB'!$N49,0))))))</f>
        <v>0</v>
      </c>
      <c r="M38" s="810"/>
      <c r="N38" s="810">
        <f>IF(OR($N$4=Bron!$B$8,$N$4=Bron!$B$9,,$N$4=Bron!$B$15),'Bouwkost NB'!$N50,IF($N$4=Bron!$B$10,'Bouwkost UITB'!$N49,IF($N$4=Bron!$B$11,'Bouwkost VERB'!$N49,IF($N$4=Bron!$B$12,'Bouwkost IER'!$N48,IF(OR($N$4=Bron!$B$13,$N$4=Bron!$B$14),'Bouwkost VOLT'!$N49,IF($N$4=Bron!$C$16,'Bouwkost AK+VERB'!$N49,0))))))</f>
        <v>0</v>
      </c>
      <c r="O38" s="810"/>
      <c r="P38" s="810">
        <f>IF(OR($P$4=Bron!$B$8,$P$4=Bron!$B$9,$P$4=Bron!$B$15),'Bouwkost NB'!$N50,IF($P$4=Bron!$B$10,'Bouwkost UITB'!$N49,IF($P$4=Bron!$B$11,'Bouwkost VERB'!$N49,IF($P$4=Bron!$B$12,'Bouwkost IER'!$N48,IF(OR($P$4=Bron!$B$13,$P$4=Bron!$B$14),'Bouwkost VOLT'!$N49,IF($P$4=Bron!$C$16,'Bouwkost AK+VERB'!$N49,0))))))</f>
        <v>0</v>
      </c>
      <c r="Q38" s="810"/>
      <c r="R38" s="810">
        <f>IF(OR($R$4=Bron!$B$8,$R$4=Bron!$B$9,$R$4=Bron!$B$15),'Bouwkost NB'!$Y50,IF($R$4=Bron!$B$10,'Bouwkost UITB'!$Y49,IF($R$4=Bron!$B$11,'Bouwkost VERB'!$Y49,IF($R$4=Bron!$B$12,'Bouwkost IER'!$Y48,IF(OR($R$4=Bron!$B$13,$R$4=Bron!$B$14),'Bouwkost VOLT'!$Y49,IF($R$4=Bron!$C$16,'Bouwkost AK+VERB'!$Y49,0))))))</f>
        <v>0</v>
      </c>
      <c r="S38" s="810"/>
      <c r="T38" s="810">
        <f>IF(OR($T$4=Bron!$B$8,$T$4=Bron!$B$9,$T$4=Bron!$B$15),'Bouwkost NB'!$Y50,IF($T$4=Bron!$B$10,'Bouwkost UITB'!$Y49,IF($T$4=Bron!$B$11,'Bouwkost VERB'!$Y49,IF($T$4=Bron!$B$12,'Bouwkost IER'!$Y48,IF(OR($T$4=Bron!$B$13,$T$4=Bron!$B$14),'Bouwkost VOLT'!$Y49,IF($T$4=Bron!$C$16,'Bouwkost AK+VERB'!$Y49,0))))))</f>
        <v>0</v>
      </c>
      <c r="U38" s="810"/>
      <c r="V38" s="810">
        <f>IF(OR($N$4=Bron!$B$8,$N$4=Bron!$B$9,$N$4=Bron!$B$15),'Bouwkost NB'!$Y50,IF($N$4=Bron!$B$10,'Bouwkost UITB'!$Y49,IF($N$4=Bron!$B$11,'Bouwkost VERB'!$Y49,IF($N$4=Bron!$B$12,'Bouwkost IER'!$Y48,IF(OR($N$4=Bron!$B$13,$N$4=Bron!$B$14),'Bouwkost VOLT'!$Y49,IF($N$4=Bron!$C$16,'Bouwkost AK+VERB'!$Y49,0))))))</f>
        <v>0</v>
      </c>
      <c r="W38" s="810"/>
      <c r="X38" s="810">
        <f>IF(OR($X$4=Bron!$B$8,$X$4=Bron!$B$9,$X$4=Bron!$B$15),'Bouwkost NB'!$Y50,IF($X$4=Bron!$B$10,'Bouwkost UITB'!$Y49,IF($X$4=Bron!$B$11,'Bouwkost VERB'!$Y49,IF($X$4=Bron!$B$12,'Bouwkost IER'!$Y48,IF(OR($X$4=Bron!$B$13,$X$4=Bron!$B$14),'Bouwkost VOLT'!$Y49,IF($X$4=Bron!$C$16,'Bouwkost AK+VERB'!$Y49,0))))))</f>
        <v>0</v>
      </c>
      <c r="Y38" s="815">
        <f>SUM(B38:X38)</f>
        <v>0</v>
      </c>
    </row>
    <row r="39" spans="1:25" x14ac:dyDescent="0.3">
      <c r="A39" s="328" t="s">
        <v>443</v>
      </c>
      <c r="B39" s="810">
        <f>IF(OR($B$4=Bron!$B$8,$B$4=Bron!$B$9,$B$4=Bron!$B$15),'Bouwkost NB'!$C51,IF($B$4=Bron!$B$10,'Bouwkost UITB'!$C50,IF($B$4=Bron!$B$11,'Bouwkost VERB'!$C50,IF($B$4=Bron!$B$12,'Bouwkost IER'!$C49,IF(OR($B$4=Bron!$B$13,$B$4=Bron!$B$14),'Bouwkost VOLT'!$C50,IF($B$4=Bron!$C$16,'Bouwkost AK+VERB'!$C50,0))))))</f>
        <v>0</v>
      </c>
      <c r="C39" s="810"/>
      <c r="D39" s="810">
        <f>IF(OR($D$4=Bron!$B$8,$D$4=Bron!$B$9,$D$4=Bron!$B$15),'Bouwkost NB'!$C51,IF($D$4=Bron!$B$10,'Bouwkost UITB'!$C50,IF($D$4=Bron!$B$11,'Bouwkost VERB'!$C50,IF($D$4=Bron!$B$12,'Bouwkost IER'!$C49,IF(OR($D$4=Bron!$B$13,$D$4=Bron!$B$14),'Bouwkost VOLT'!$C50,IF($D$4=Bron!$C$16,'Bouwkost AK+VERB'!$C50,0))))))</f>
        <v>0</v>
      </c>
      <c r="E39" s="810"/>
      <c r="F39" s="810">
        <f>IF(OR($F$4=Bron!$B$8,$F$4=Bron!$B$9,$F$4=Bron!$B$15),'Bouwkost NB'!$C51,IF($F$4=Bron!$B$10,'Bouwkost UITB'!$C50,IF($F$4=Bron!$B$11,'Bouwkost VERB'!$C50,IF($F$4=Bron!$B$12,'Bouwkost IER'!$C49,IF(OR($F$4=Bron!$B$13,$F$4=Bron!$B$14),'Bouwkost VOLT'!$C50,IF($F$4=Bron!$C$16,'Bouwkost AK+VERB'!$C50,0))))))</f>
        <v>0</v>
      </c>
      <c r="G39" s="810"/>
      <c r="H39" s="810">
        <f>IF(OR($H$4=Bron!$B$8,$H$4=Bron!$B$9,$H$4=Bron!$B$15),'Bouwkost NB'!$C51,IF($H$4=Bron!$B$10,'Bouwkost UITB'!$C50,IF($H$4=Bron!$B$11,'Bouwkost VERB'!$C50,IF($H$4=Bron!$B$12,'Bouwkost IER'!$C49,IF(OR($H$4=Bron!$B$13,$H$4=Bron!$B$14),'Bouwkost VOLT'!$C50,IF($H$4=Bron!$C$16,'Bouwkost AK+VERB'!$C50,0))))))</f>
        <v>0</v>
      </c>
      <c r="I39" s="810"/>
      <c r="J39" s="810">
        <f>IF(OR($J$4=Bron!$B$8,$J$4=Bron!$B$9,$J$4=Bron!$B$15),'Bouwkost NB'!$N51,IF($J$4=Bron!$B$10,'Bouwkost UITB'!$N50,IF($J$4=Bron!$B$11,'Bouwkost VERB'!$N50,IF($J$4=Bron!$B$12,'Bouwkost IER'!$N49,IF(OR($J$4=Bron!$B$13,$J$4=Bron!$B$14),'Bouwkost VOLT'!$N50,IF($J$4=Bron!$C$16,'Bouwkost AK+VERB'!$N50,0))))))</f>
        <v>0</v>
      </c>
      <c r="K39" s="810"/>
      <c r="L39" s="810">
        <f>IF(OR($L$4=Bron!$B$8,$L$4=Bron!$B$9,$L$4=Bron!$B$15),'Bouwkost NB'!$N51,IF($L$4=Bron!$B$10,'Bouwkost UITB'!$N50,IF($L$4=Bron!$B$11,'Bouwkost VERB'!$N50,IF($L$4=Bron!$B$12,'Bouwkost IER'!$N49,IF(OR($L$4=Bron!$B$13,$L$4=Bron!$B$14),'Bouwkost VOLT'!$N50,IF($L$4=Bron!$C$16,'Bouwkost AK+VERB'!$N50,0))))))</f>
        <v>0</v>
      </c>
      <c r="M39" s="810"/>
      <c r="N39" s="810">
        <f>IF(OR($N$4=Bron!$B$8,$N$4=Bron!$B$9,,$N$4=Bron!$B$15),'Bouwkost NB'!$N51,IF($N$4=Bron!$B$10,'Bouwkost UITB'!$N50,IF($N$4=Bron!$B$11,'Bouwkost VERB'!$N50,IF($N$4=Bron!$B$12,'Bouwkost IER'!$N49,IF(OR($N$4=Bron!$B$13,$N$4=Bron!$B$14),'Bouwkost VOLT'!$N50,IF($N$4=Bron!$C$16,'Bouwkost AK+VERB'!$N50,0))))))</f>
        <v>0</v>
      </c>
      <c r="O39" s="810"/>
      <c r="P39" s="810">
        <f>IF(OR($P$4=Bron!$B$8,$P$4=Bron!$B$9,$P$4=Bron!$B$15),'Bouwkost NB'!$N51,IF($P$4=Bron!$B$10,'Bouwkost UITB'!$N50,IF($P$4=Bron!$B$11,'Bouwkost VERB'!$N50,IF($P$4=Bron!$B$12,'Bouwkost IER'!$N49,IF(OR($P$4=Bron!$B$13,$P$4=Bron!$B$14),'Bouwkost VOLT'!$N50,IF($P$4=Bron!$C$16,'Bouwkost AK+VERB'!$N50,0))))))</f>
        <v>0</v>
      </c>
      <c r="Q39" s="810"/>
      <c r="R39" s="810">
        <f>IF(OR($R$4=Bron!$B$8,$R$4=Bron!$B$9,$R$4=Bron!$B$15),'Bouwkost NB'!$Y51,IF($R$4=Bron!$B$10,'Bouwkost UITB'!$Y50,IF($R$4=Bron!$B$11,'Bouwkost VERB'!$Y50,IF($R$4=Bron!$B$12,'Bouwkost IER'!$Y49,IF(OR($R$4=Bron!$B$13,$R$4=Bron!$B$14),'Bouwkost VOLT'!$Y50,IF($R$4=Bron!$C$16,'Bouwkost AK+VERB'!$Y50,0))))))</f>
        <v>0</v>
      </c>
      <c r="S39" s="810"/>
      <c r="T39" s="810">
        <f>IF(OR($T$4=Bron!$B$8,$T$4=Bron!$B$9,$T$4=Bron!$B$15),'Bouwkost NB'!$Y51,IF($T$4=Bron!$B$10,'Bouwkost UITB'!$Y50,IF($T$4=Bron!$B$11,'Bouwkost VERB'!$Y50,IF($T$4=Bron!$B$12,'Bouwkost IER'!$Y49,IF(OR($T$4=Bron!$B$13,$T$4=Bron!$B$14),'Bouwkost VOLT'!$Y50,IF($T$4=Bron!$C$16,'Bouwkost AK+VERB'!$Y50,0))))))</f>
        <v>0</v>
      </c>
      <c r="U39" s="810"/>
      <c r="V39" s="810">
        <f>IF(OR($N$4=Bron!$B$8,$N$4=Bron!$B$9,$N$4=Bron!$B$15),'Bouwkost NB'!$Y51,IF($N$4=Bron!$B$10,'Bouwkost UITB'!$Y50,IF($N$4=Bron!$B$11,'Bouwkost VERB'!$Y50,IF($N$4=Bron!$B$12,'Bouwkost IER'!$Y49,IF(OR($N$4=Bron!$B$13,$N$4=Bron!$B$14),'Bouwkost VOLT'!$Y50,IF($N$4=Bron!$C$16,'Bouwkost AK+VERB'!$Y50,0))))))</f>
        <v>0</v>
      </c>
      <c r="W39" s="810"/>
      <c r="X39" s="810">
        <f>IF(OR($X$4=Bron!$B$8,$X$4=Bron!$B$9,$X$4=Bron!$B$15),'Bouwkost NB'!$Y51,IF($X$4=Bron!$B$10,'Bouwkost UITB'!$Y50,IF($X$4=Bron!$B$11,'Bouwkost VERB'!$Y50,IF($X$4=Bron!$B$12,'Bouwkost IER'!$Y49,IF(OR($X$4=Bron!$B$13,$X$4=Bron!$B$14),'Bouwkost VOLT'!$Y50,IF($X$4=Bron!$C$16,'Bouwkost AK+VERB'!$Y50,0))))))</f>
        <v>0</v>
      </c>
      <c r="Y39" s="815">
        <f>SUM(B39:X39)</f>
        <v>0</v>
      </c>
    </row>
    <row r="40" spans="1:25" x14ac:dyDescent="0.3">
      <c r="A40" s="333" t="s">
        <v>444</v>
      </c>
      <c r="B40" s="810">
        <f>IF(OR($B$4=Bron!$B$8,$B$4=Bron!$B$9,$B$4=Bron!$B$15),'Bouwkost NB'!$C52,IF($B$4=Bron!$B$10,'Bouwkost UITB'!$C51,IF($B$4=Bron!$B$11,'Bouwkost VERB'!$C51,IF($B$4=Bron!$B$12,'Bouwkost IER'!$C50,IF(OR($B$4=Bron!$B$13,$B$4=Bron!$B$14),'Bouwkost VOLT'!$C51,IF($B$4=Bron!$C$16,'Bouwkost AK+VERB'!$C51,0))))))</f>
        <v>0</v>
      </c>
      <c r="C40" s="810"/>
      <c r="D40" s="810">
        <f>IF(OR($D$4=Bron!$B$8,$D$4=Bron!$B$9,$D$4=Bron!$B$15),'Bouwkost NB'!$C52,IF($D$4=Bron!$B$10,'Bouwkost UITB'!$C51,IF($D$4=Bron!$B$11,'Bouwkost VERB'!$C51,IF($D$4=Bron!$B$12,'Bouwkost IER'!$C50,IF(OR($D$4=Bron!$B$13,$D$4=Bron!$B$14),'Bouwkost VOLT'!$C51,IF($D$4=Bron!$C$16,'Bouwkost AK+VERB'!$C51,0))))))</f>
        <v>0</v>
      </c>
      <c r="E40" s="810"/>
      <c r="F40" s="810">
        <f>IF(OR($F$4=Bron!$B$8,$F$4=Bron!$B$9,$F$4=Bron!$B$15),'Bouwkost NB'!$C52,IF($F$4=Bron!$B$10,'Bouwkost UITB'!$C51,IF($F$4=Bron!$B$11,'Bouwkost VERB'!$C51,IF($F$4=Bron!$B$12,'Bouwkost IER'!$C50,IF(OR($F$4=Bron!$B$13,$F$4=Bron!$B$14),'Bouwkost VOLT'!$C51,IF($F$4=Bron!$C$16,'Bouwkost AK+VERB'!$C51,0))))))</f>
        <v>0</v>
      </c>
      <c r="G40" s="810"/>
      <c r="H40" s="810">
        <f>IF(OR($H$4=Bron!$B$8,$H$4=Bron!$B$9,$H$4=Bron!$B$15),'Bouwkost NB'!$C52,IF($H$4=Bron!$B$10,'Bouwkost UITB'!$C51,IF($H$4=Bron!$B$11,'Bouwkost VERB'!$C51,IF($H$4=Bron!$B$12,'Bouwkost IER'!$C50,IF(OR($H$4=Bron!$B$13,$H$4=Bron!$B$14),'Bouwkost VOLT'!$C51,IF($H$4=Bron!$C$16,'Bouwkost AK+VERB'!$C51,0))))))</f>
        <v>0</v>
      </c>
      <c r="I40" s="810"/>
      <c r="J40" s="810">
        <f>IF(OR($J$4=Bron!$B$8,$J$4=Bron!$B$9,$J$4=Bron!$B$15),'Bouwkost NB'!$N52,IF($J$4=Bron!$B$10,'Bouwkost UITB'!$N51,IF($J$4=Bron!$B$11,'Bouwkost VERB'!$N51,IF($J$4=Bron!$B$12,'Bouwkost IER'!$N50,IF(OR($J$4=Bron!$B$13,$J$4=Bron!$B$14),'Bouwkost VOLT'!$N51,IF($J$4=Bron!$C$16,'Bouwkost AK+VERB'!$N51,0))))))</f>
        <v>0</v>
      </c>
      <c r="K40" s="810"/>
      <c r="L40" s="810">
        <f>IF(OR($L$4=Bron!$B$8,$L$4=Bron!$B$9,$L$4=Bron!$B$15),'Bouwkost NB'!$N52,IF($L$4=Bron!$B$10,'Bouwkost UITB'!$N51,IF($L$4=Bron!$B$11,'Bouwkost VERB'!$N51,IF($L$4=Bron!$B$12,'Bouwkost IER'!$N50,IF(OR($L$4=Bron!$B$13,$L$4=Bron!$B$14),'Bouwkost VOLT'!$N51,IF($L$4=Bron!$C$16,'Bouwkost AK+VERB'!$N51,0))))))</f>
        <v>0</v>
      </c>
      <c r="M40" s="810"/>
      <c r="N40" s="810">
        <f>IF(OR($N$4=Bron!$B$8,$N$4=Bron!$B$9,,$N$4=Bron!$B$15),'Bouwkost NB'!$N52,IF($N$4=Bron!$B$10,'Bouwkost UITB'!$N51,IF($N$4=Bron!$B$11,'Bouwkost VERB'!$N51,IF($N$4=Bron!$B$12,'Bouwkost IER'!$N50,IF(OR($N$4=Bron!$B$13,$N$4=Bron!$B$14),'Bouwkost VOLT'!$N51,IF($N$4=Bron!$C$16,'Bouwkost AK+VERB'!$N51,0))))))</f>
        <v>0</v>
      </c>
      <c r="O40" s="810"/>
      <c r="P40" s="810">
        <f>IF(OR($P$4=Bron!$B$8,$P$4=Bron!$B$9,$P$4=Bron!$B$15),'Bouwkost NB'!$N52,IF($P$4=Bron!$B$10,'Bouwkost UITB'!$N51,IF($P$4=Bron!$B$11,'Bouwkost VERB'!$N51,IF($P$4=Bron!$B$12,'Bouwkost IER'!$N50,IF(OR($P$4=Bron!$B$13,$P$4=Bron!$B$14),'Bouwkost VOLT'!$N51,IF($P$4=Bron!$C$16,'Bouwkost AK+VERB'!$N51,0))))))</f>
        <v>0</v>
      </c>
      <c r="Q40" s="810"/>
      <c r="R40" s="810">
        <f>IF(OR($R$4=Bron!$B$8,$R$4=Bron!$B$9,$R$4=Bron!$B$15),'Bouwkost NB'!$Y52,IF($R$4=Bron!$B$10,'Bouwkost UITB'!$Y51,IF($R$4=Bron!$B$11,'Bouwkost VERB'!$Y51,IF($R$4=Bron!$B$12,'Bouwkost IER'!$Y50,IF(OR($R$4=Bron!$B$13,$R$4=Bron!$B$14),'Bouwkost VOLT'!$Y51,IF($R$4=Bron!$C$16,'Bouwkost AK+VERB'!$Y51,0))))))</f>
        <v>0</v>
      </c>
      <c r="S40" s="810"/>
      <c r="T40" s="810">
        <f>IF(OR($T$4=Bron!$B$8,$T$4=Bron!$B$9,$T$4=Bron!$B$15),'Bouwkost NB'!$Y52,IF($T$4=Bron!$B$10,'Bouwkost UITB'!$Y51,IF($T$4=Bron!$B$11,'Bouwkost VERB'!$Y51,IF($T$4=Bron!$B$12,'Bouwkost IER'!$Y50,IF(OR($T$4=Bron!$B$13,$T$4=Bron!$B$14),'Bouwkost VOLT'!$Y51,IF($T$4=Bron!$C$16,'Bouwkost AK+VERB'!$Y51,0))))))</f>
        <v>0</v>
      </c>
      <c r="U40" s="810"/>
      <c r="V40" s="810">
        <f>IF(OR($N$4=Bron!$B$8,$N$4=Bron!$B$9,$N$4=Bron!$B$15),'Bouwkost NB'!$Y52,IF($N$4=Bron!$B$10,'Bouwkost UITB'!$Y51,IF($N$4=Bron!$B$11,'Bouwkost VERB'!$Y51,IF($N$4=Bron!$B$12,'Bouwkost IER'!$Y50,IF(OR($N$4=Bron!$B$13,$N$4=Bron!$B$14),'Bouwkost VOLT'!$Y51,IF($N$4=Bron!$C$16,'Bouwkost AK+VERB'!$Y51,0))))))</f>
        <v>0</v>
      </c>
      <c r="W40" s="810"/>
      <c r="X40" s="810">
        <f>IF(OR($X$4=Bron!$B$8,$X$4=Bron!$B$9,$X$4=Bron!$B$15),'Bouwkost NB'!$Y52,IF($X$4=Bron!$B$10,'Bouwkost UITB'!$Y51,IF($X$4=Bron!$B$11,'Bouwkost VERB'!$Y51,IF($X$4=Bron!$B$12,'Bouwkost IER'!$Y50,IF(OR($X$4=Bron!$B$13,$X$4=Bron!$B$14),'Bouwkost VOLT'!$Y51,IF($X$4=Bron!$C$16,'Bouwkost AK+VERB'!$Y51,0))))))</f>
        <v>0</v>
      </c>
      <c r="Y40" s="815">
        <f>SUM(B40:X40)</f>
        <v>0</v>
      </c>
    </row>
    <row r="41" spans="1:25" x14ac:dyDescent="0.3">
      <c r="A41" s="668" t="s">
        <v>502</v>
      </c>
      <c r="B41" s="810">
        <f>IF(OR($B$4=Bron!$B$8,$B$4=Bron!$B$9,$B$4=Bron!$B$15),'Bouwkost NB'!$C53,IF($B$4=Bron!$B$10,'Bouwkost UITB'!$C52,IF($B$4=Bron!$B$11,'Bouwkost VERB'!$C52,IF($B$4=Bron!$B$12,'Bouwkost IER'!$C51,IF(OR($B$4=Bron!$B$13,$B$4=Bron!$B$14),'Bouwkost VOLT'!$C52,IF($B$4=Bron!$C$16,'Bouwkost AK+VERB'!$C52,0))))))</f>
        <v>0</v>
      </c>
      <c r="C41" s="810"/>
      <c r="D41" s="810">
        <f>IF(OR($D$4=Bron!$B$8,$D$4=Bron!$B$9,$D$4=Bron!$B$15),'Bouwkost NB'!$C53,IF($D$4=Bron!$B$10,'Bouwkost UITB'!$C52,IF($D$4=Bron!$B$11,'Bouwkost VERB'!$C52,IF($D$4=Bron!$B$12,'Bouwkost IER'!$C51,IF(OR($D$4=Bron!$B$13,$D$4=Bron!$B$14),'Bouwkost VOLT'!$C52,IF($D$4=Bron!$C$16,'Bouwkost AK+VERB'!$C52,0))))))</f>
        <v>0</v>
      </c>
      <c r="E41" s="810"/>
      <c r="F41" s="810">
        <f>IF(OR($F$4=Bron!$B$8,$F$4=Bron!$B$9,$F$4=Bron!$B$15),'Bouwkost NB'!$C53,IF($F$4=Bron!$B$10,'Bouwkost UITB'!$C52,IF($F$4=Bron!$B$11,'Bouwkost VERB'!$C52,IF($F$4=Bron!$B$12,'Bouwkost IER'!$C51,IF(OR($F$4=Bron!$B$13,$F$4=Bron!$B$14),'Bouwkost VOLT'!$C52,IF($F$4=Bron!$C$16,'Bouwkost AK+VERB'!$C52,0))))))</f>
        <v>0</v>
      </c>
      <c r="G41" s="810"/>
      <c r="H41" s="810">
        <f>IF(OR($H$4=Bron!$B$8,$H$4=Bron!$B$9,$H$4=Bron!$B$15),'Bouwkost NB'!$C53,IF($H$4=Bron!$B$10,'Bouwkost UITB'!$C52,IF($H$4=Bron!$B$11,'Bouwkost VERB'!$C52,IF($H$4=Bron!$B$12,'Bouwkost IER'!$C51,IF(OR($H$4=Bron!$B$13,$H$4=Bron!$B$14),'Bouwkost VOLT'!$C52,IF($H$4=Bron!$C$16,'Bouwkost AK+VERB'!$C52,0))))))</f>
        <v>0</v>
      </c>
      <c r="I41" s="810"/>
      <c r="J41" s="810">
        <f>IF(OR($J$4=Bron!$B$8,$J$4=Bron!$B$9,$J$4=Bron!$B$15),'Bouwkost NB'!$N53,IF($J$4=Bron!$B$10,'Bouwkost UITB'!$N52,IF($J$4=Bron!$B$11,'Bouwkost VERB'!$N52,IF($J$4=Bron!$B$12,'Bouwkost IER'!$N51,IF(OR($J$4=Bron!$B$13,$J$4=Bron!$B$14),'Bouwkost VOLT'!$N52,IF($J$4=Bron!$C$16,'Bouwkost AK+VERB'!$N52,0))))))</f>
        <v>0</v>
      </c>
      <c r="K41" s="810"/>
      <c r="L41" s="810">
        <f>IF(OR($L$4=Bron!$B$8,$L$4=Bron!$B$9,$L$4=Bron!$B$15),'Bouwkost NB'!$N53,IF($L$4=Bron!$B$10,'Bouwkost UITB'!$N52,IF($L$4=Bron!$B$11,'Bouwkost VERB'!$N52,IF($L$4=Bron!$B$12,'Bouwkost IER'!$N51,IF(OR($L$4=Bron!$B$13,$L$4=Bron!$B$14),'Bouwkost VOLT'!$N52,IF($L$4=Bron!$C$16,'Bouwkost AK+VERB'!$N52,0))))))</f>
        <v>0</v>
      </c>
      <c r="M41" s="810"/>
      <c r="N41" s="810">
        <f>IF(OR($N$4=Bron!$B$8,$N$4=Bron!$B$9,,$N$4=Bron!$B$15),'Bouwkost NB'!$N53,IF($N$4=Bron!$B$10,'Bouwkost UITB'!$N52,IF($N$4=Bron!$B$11,'Bouwkost VERB'!$N52,IF($N$4=Bron!$B$12,'Bouwkost IER'!$N51,IF(OR($N$4=Bron!$B$13,$N$4=Bron!$B$14),'Bouwkost VOLT'!$N52,IF($N$4=Bron!$C$16,'Bouwkost AK+VERB'!$N52,0))))))</f>
        <v>0</v>
      </c>
      <c r="O41" s="810"/>
      <c r="P41" s="810">
        <f>IF(OR($P$4=Bron!$B$8,$P$4=Bron!$B$9,$P$4=Bron!$B$15),'Bouwkost NB'!$N53,IF($P$4=Bron!$B$10,'Bouwkost UITB'!$N52,IF($P$4=Bron!$B$11,'Bouwkost VERB'!$N52,IF($P$4=Bron!$B$12,'Bouwkost IER'!$N51,IF(OR($P$4=Bron!$B$13,$P$4=Bron!$B$14),'Bouwkost VOLT'!$N52,IF($P$4=Bron!$C$16,'Bouwkost AK+VERB'!$N52,0))))))</f>
        <v>0</v>
      </c>
      <c r="Q41" s="810"/>
      <c r="R41" s="810">
        <f>IF(OR($R$4=Bron!$B$8,$R$4=Bron!$B$9,$R$4=Bron!$B$15),'Bouwkost NB'!$Y53,IF($R$4=Bron!$B$10,'Bouwkost UITB'!$Y52,IF($R$4=Bron!$B$11,'Bouwkost VERB'!$Y52,IF($R$4=Bron!$B$12,'Bouwkost IER'!$Y51,IF(OR($R$4=Bron!$B$13,$R$4=Bron!$B$14),'Bouwkost VOLT'!$Y52,IF($R$4=Bron!$C$16,'Bouwkost AK+VERB'!$Y52,0))))))</f>
        <v>0</v>
      </c>
      <c r="S41" s="810"/>
      <c r="T41" s="810">
        <f>IF(OR($T$4=Bron!$B$8,$T$4=Bron!$B$9,$T$4=Bron!$B$15),'Bouwkost NB'!$Y53,IF($T$4=Bron!$B$10,'Bouwkost UITB'!$Y52,IF($T$4=Bron!$B$11,'Bouwkost VERB'!$Y52,IF($T$4=Bron!$B$12,'Bouwkost IER'!$Y51,IF(OR($T$4=Bron!$B$13,$T$4=Bron!$B$14),'Bouwkost VOLT'!$Y52,IF($T$4=Bron!$C$16,'Bouwkost AK+VERB'!$Y52,0))))))</f>
        <v>0</v>
      </c>
      <c r="U41" s="810"/>
      <c r="V41" s="810">
        <f>IF(OR($N$4=Bron!$B$8,$N$4=Bron!$B$9,$N$4=Bron!$B$15),'Bouwkost NB'!$Y53,IF($N$4=Bron!$B$10,'Bouwkost UITB'!$Y52,IF($N$4=Bron!$B$11,'Bouwkost VERB'!$Y52,IF($N$4=Bron!$B$12,'Bouwkost IER'!$Y51,IF(OR($N$4=Bron!$B$13,$N$4=Bron!$B$14),'Bouwkost VOLT'!$Y52,IF($N$4=Bron!$C$16,'Bouwkost AK+VERB'!$Y52,0))))))</f>
        <v>0</v>
      </c>
      <c r="W41" s="810"/>
      <c r="X41" s="810">
        <f>IF(OR($X$4=Bron!$B$8,$X$4=Bron!$B$9,$X$4=Bron!$B$15),'Bouwkost NB'!$Y53,IF($X$4=Bron!$B$10,'Bouwkost UITB'!$Y52,IF($X$4=Bron!$B$11,'Bouwkost VERB'!$Y52,IF($X$4=Bron!$B$12,'Bouwkost IER'!$Y51,IF(OR($X$4=Bron!$B$13,$X$4=Bron!$B$14),'Bouwkost VOLT'!$Y52,IF($X$4=Bron!$C$16,'Bouwkost AK+VERB'!$Y52,0))))))</f>
        <v>0</v>
      </c>
    </row>
    <row r="42" spans="1:25" x14ac:dyDescent="0.3">
      <c r="A42" s="668" t="s">
        <v>446</v>
      </c>
      <c r="B42" s="89">
        <f>IF(OR($B$4=Bron!$B$8,$B$4=Bron!$B$9,$B$4=Bron!$B$15),'Bouwkost NB'!$C54,IF($B$4=Bron!$B$10,'Bouwkost UITB'!$C53,IF($B$4=Bron!$B$11,'Bouwkost VERB'!$C53,IF($B$4=Bron!$B$12,'Bouwkost IER'!$C52,IF(OR($B$4=Bron!$B$13,$B$4=Bron!$B$14),'Bouwkost VOLT'!$C53,IF($B$4=Bron!$C$16,'Bouwkost AK+VERB'!$C53,0))))))</f>
        <v>0</v>
      </c>
      <c r="D42" s="89">
        <f>IF(OR($D$4=Bron!$B$8,$D$4=Bron!$B$9,$D$4=Bron!$B$15),'Bouwkost NB'!$C54,IF($D$4=Bron!$B$10,'Bouwkost UITB'!$C53,IF($D$4=Bron!$B$11,'Bouwkost VERB'!$C53,IF($D$4=Bron!$B$12,'Bouwkost IER'!$C52,IF(OR($D$4=Bron!$B$13,$D$4=Bron!$B$14),'Bouwkost VOLT'!$C53,IF($D$4=Bron!$C$16,'Bouwkost AK+VERB'!$C53,0))))))</f>
        <v>0</v>
      </c>
      <c r="F42" s="89">
        <f>IF(OR($F$4=Bron!$B$8,$F$4=Bron!$B$9,$F$4=Bron!$B$15),'Bouwkost NB'!$C54,IF($F$4=Bron!$B$10,'Bouwkost UITB'!$C53,IF($F$4=Bron!$B$11,'Bouwkost VERB'!$C53,IF($F$4=Bron!$B$12,'Bouwkost IER'!$C52,IF(OR($F$4=Bron!$B$13,$F$4=Bron!$B$14),'Bouwkost VOLT'!$C53,IF($F$4=Bron!$C$16,'Bouwkost AK+VERB'!$C53,0))))))</f>
        <v>0</v>
      </c>
      <c r="H42" s="89">
        <f>IF(OR($H$4=Bron!$B$8,$H$4=Bron!$B$9,$H$4=Bron!$B$15),'Bouwkost NB'!$C54,IF($H$4=Bron!$B$10,'Bouwkost UITB'!$C53,IF($H$4=Bron!$B$11,'Bouwkost VERB'!$C53,IF($H$4=Bron!$B$12,'Bouwkost IER'!$C52,IF(OR($H$4=Bron!$B$13,$H$4=Bron!$B$14),'Bouwkost VOLT'!$C53,IF($H$4=Bron!$C$16,'Bouwkost AK+VERB'!$C53,0))))))</f>
        <v>0</v>
      </c>
      <c r="J42" s="89">
        <f>IF(OR($J$4=Bron!$B$8,$J$4=Bron!$B$9,$J$4=Bron!$B$15),'Bouwkost NB'!$N54,IF($J$4=Bron!$B$10,'Bouwkost UITB'!$N53,IF($J$4=Bron!$B$11,'Bouwkost VERB'!$N53,IF($J$4=Bron!$B$12,'Bouwkost IER'!$N52,IF(OR($J$4=Bron!$B$13,$J$4=Bron!$B$14),'Bouwkost VOLT'!$N53,IF($J$4=Bron!$C$16,'Bouwkost AK+VERB'!$N53,0))))))</f>
        <v>0</v>
      </c>
      <c r="L42" s="89">
        <f>IF(OR($L$4=Bron!$B$8,$L$4=Bron!$B$9,$L$4=Bron!$B$15),'Bouwkost NB'!$N54,IF($L$4=Bron!$B$10,'Bouwkost UITB'!$N53,IF($L$4=Bron!$B$11,'Bouwkost VERB'!$N53,IF($L$4=Bron!$B$12,'Bouwkost IER'!$N52,IF(OR($L$4=Bron!$B$13,$L$4=Bron!$B$14),'Bouwkost VOLT'!$N53,IF($L$4=Bron!$C$16,'Bouwkost AK+VERB'!$N53,0))))))</f>
        <v>0</v>
      </c>
      <c r="N42" s="89">
        <f>IF(OR($N$4=Bron!$B$8,$N$4=Bron!$B$9,,$N$4=Bron!$B$15),'Bouwkost NB'!$N54,IF($N$4=Bron!$B$10,'Bouwkost UITB'!$N53,IF($N$4=Bron!$B$11,'Bouwkost VERB'!$N53,IF($N$4=Bron!$B$12,'Bouwkost IER'!$N52,IF(OR($N$4=Bron!$B$13,$N$4=Bron!$B$14),'Bouwkost VOLT'!$N53,IF($N$4=Bron!$C$16,'Bouwkost AK+VERB'!$N53,0))))))</f>
        <v>0</v>
      </c>
      <c r="P42" s="89">
        <f>IF(OR($P$4=Bron!$B$8,$P$4=Bron!$B$9,$P$4=Bron!$B$15),'Bouwkost NB'!$N54,IF($P$4=Bron!$B$10,'Bouwkost UITB'!$N53,IF($P$4=Bron!$B$11,'Bouwkost VERB'!$N53,IF($P$4=Bron!$B$12,'Bouwkost IER'!$N52,IF(OR($P$4=Bron!$B$13,$P$4=Bron!$B$14),'Bouwkost VOLT'!$N53,IF($P$4=Bron!$C$16,'Bouwkost AK+VERB'!$N53,0))))))</f>
        <v>0</v>
      </c>
      <c r="R42" s="89">
        <f>IF(OR($R$4=Bron!$B$8,$R$4=Bron!$B$9,$R$4=Bron!$B$15),'Bouwkost NB'!$Y54,IF($R$4=Bron!$B$10,'Bouwkost UITB'!$Y53,IF($R$4=Bron!$B$11,'Bouwkost VERB'!$Y53,IF($R$4=Bron!$B$12,'Bouwkost IER'!$Y52,IF(OR($R$4=Bron!$B$13,$R$4=Bron!$B$14),'Bouwkost VOLT'!$Y53,IF($R$4=Bron!$C$16,'Bouwkost AK+VERB'!$Y53,0))))))</f>
        <v>0</v>
      </c>
      <c r="T42" s="89">
        <f>IF(OR($T$4=Bron!$B$8,$T$4=Bron!$B$9,$T$4=Bron!$B$15),'Bouwkost NB'!$Y54,IF($T$4=Bron!$B$10,'Bouwkost UITB'!$Y53,IF($T$4=Bron!$B$11,'Bouwkost VERB'!$Y53,IF($T$4=Bron!$B$12,'Bouwkost IER'!$Y52,IF(OR($T$4=Bron!$B$13,$T$4=Bron!$B$14),'Bouwkost VOLT'!$Y53,IF($T$4=Bron!$C$16,'Bouwkost AK+VERB'!$Y53,0))))))</f>
        <v>0</v>
      </c>
      <c r="V42" s="89">
        <f>IF(OR($N$4=Bron!$B$8,$N$4=Bron!$B$9,$N$4=Bron!$B$15),'Bouwkost NB'!$Y54,IF($N$4=Bron!$B$10,'Bouwkost UITB'!$Y53,IF($N$4=Bron!$B$11,'Bouwkost VERB'!$Y53,IF($N$4=Bron!$B$12,'Bouwkost IER'!$Y52,IF(OR($N$4=Bron!$B$13,$N$4=Bron!$B$14),'Bouwkost VOLT'!$Y53,IF($N$4=Bron!$C$16,'Bouwkost AK+VERB'!$Y53,0))))))</f>
        <v>0</v>
      </c>
      <c r="X42" s="89">
        <f>IF(OR($X$4=Bron!$B$8,$X$4=Bron!$B$9,$X$4=Bron!$B$15),'Bouwkost NB'!$Y54,IF($X$4=Bron!$B$10,'Bouwkost UITB'!$Y53,IF($X$4=Bron!$B$11,'Bouwkost VERB'!$Y53,IF($X$4=Bron!$B$12,'Bouwkost IER'!$Y52,IF(OR($X$4=Bron!$B$13,$X$4=Bron!$B$14),'Bouwkost VOLT'!$Y53,IF($X$4=Bron!$C$16,'Bouwkost AK+VERB'!$Y53,0))))))</f>
        <v>0</v>
      </c>
    </row>
    <row r="43" spans="1:25" x14ac:dyDescent="0.3">
      <c r="A43" s="333" t="s">
        <v>447</v>
      </c>
      <c r="B43" s="89">
        <f>IF(OR($B$4=Bron!$B$8,$B$4=Bron!$B$9,$B$4=Bron!$B$15),'Bouwkost NB'!$C55,IF($B$4=Bron!$B$10,'Bouwkost UITB'!$C54,IF($B$4=Bron!$B$11,'Bouwkost VERB'!$C54,IF($B$4=Bron!$B$12,'Bouwkost IER'!$C53,IF(OR($B$4=Bron!$B$13,$B$4=Bron!$B$14),'Bouwkost VOLT'!$C54,IF($B$4=Bron!$C$16,'Bouwkost AK+VERB'!$C54,0))))))</f>
        <v>0</v>
      </c>
      <c r="D43" s="89">
        <f>IF(OR($D$4=Bron!$B$8,$D$4=Bron!$B$9,$D$4=Bron!$B$15),'Bouwkost NB'!$C55,IF($D$4=Bron!$B$10,'Bouwkost UITB'!$C54,IF($D$4=Bron!$B$11,'Bouwkost VERB'!$C54,IF($D$4=Bron!$B$12,'Bouwkost IER'!$C53,IF(OR($D$4=Bron!$B$13,$D$4=Bron!$B$14),'Bouwkost VOLT'!$C54,IF($D$4=Bron!$C$16,'Bouwkost AK+VERB'!$C54,0))))))</f>
        <v>0</v>
      </c>
      <c r="F43" s="89">
        <f>IF(OR($F$4=Bron!$B$8,$F$4=Bron!$B$9,$F$4=Bron!$B$15),'Bouwkost NB'!$C55,IF($F$4=Bron!$B$10,'Bouwkost UITB'!$C54,IF($F$4=Bron!$B$11,'Bouwkost VERB'!$C54,IF($F$4=Bron!$B$12,'Bouwkost IER'!$C53,IF(OR($F$4=Bron!$B$13,$F$4=Bron!$B$14),'Bouwkost VOLT'!$C54,IF($F$4=Bron!$C$16,'Bouwkost AK+VERB'!$C54,0))))))</f>
        <v>0</v>
      </c>
      <c r="H43" s="89">
        <f>IF(OR($H$4=Bron!$B$8,$H$4=Bron!$B$9,$H$4=Bron!$B$15),'Bouwkost NB'!$C55,IF($H$4=Bron!$B$10,'Bouwkost UITB'!$C54,IF($H$4=Bron!$B$11,'Bouwkost VERB'!$C54,IF($H$4=Bron!$B$12,'Bouwkost IER'!$C53,IF(OR($H$4=Bron!$B$13,$H$4=Bron!$B$14),'Bouwkost VOLT'!$C54,IF($H$4=Bron!$C$16,'Bouwkost AK+VERB'!$C54,0))))))</f>
        <v>0</v>
      </c>
      <c r="J43" s="89">
        <f>IF(OR($J$4=Bron!$B$8,$J$4=Bron!$B$9,$J$4=Bron!$B$15),'Bouwkost NB'!$N55,IF($J$4=Bron!$B$10,'Bouwkost UITB'!$N54,IF($J$4=Bron!$B$11,'Bouwkost VERB'!$N54,IF($J$4=Bron!$B$12,'Bouwkost IER'!$N53,IF(OR($J$4=Bron!$B$13,$J$4=Bron!$B$14),'Bouwkost VOLT'!$N54,IF($J$4=Bron!$C$16,'Bouwkost AK+VERB'!$N54,0))))))</f>
        <v>0</v>
      </c>
      <c r="L43" s="89">
        <f>IF(OR($L$4=Bron!$B$8,$L$4=Bron!$B$9,$L$4=Bron!$B$15),'Bouwkost NB'!$N55,IF($L$4=Bron!$B$10,'Bouwkost UITB'!$N54,IF($L$4=Bron!$B$11,'Bouwkost VERB'!$N54,IF($L$4=Bron!$B$12,'Bouwkost IER'!$N53,IF(OR($L$4=Bron!$B$13,$L$4=Bron!$B$14),'Bouwkost VOLT'!$N54,IF($L$4=Bron!$C$16,'Bouwkost AK+VERB'!$N54,0))))))</f>
        <v>0</v>
      </c>
      <c r="N43" s="89">
        <f>IF(OR($N$4=Bron!$B$8,$N$4=Bron!$B$9,,$N$4=Bron!$B$15),'Bouwkost NB'!$N55,IF($N$4=Bron!$B$10,'Bouwkost UITB'!$N54,IF($N$4=Bron!$B$11,'Bouwkost VERB'!$N54,IF($N$4=Bron!$B$12,'Bouwkost IER'!$N53,IF(OR($N$4=Bron!$B$13,$N$4=Bron!$B$14),'Bouwkost VOLT'!$N54,IF($N$4=Bron!$C$16,'Bouwkost AK+VERB'!$N54,0))))))</f>
        <v>0</v>
      </c>
      <c r="P43" s="89">
        <f>IF(OR($P$4=Bron!$B$8,$P$4=Bron!$B$9,$P$4=Bron!$B$15),'Bouwkost NB'!$N55,IF($P$4=Bron!$B$10,'Bouwkost UITB'!$N54,IF($P$4=Bron!$B$11,'Bouwkost VERB'!$N54,IF($P$4=Bron!$B$12,'Bouwkost IER'!$N53,IF(OR($P$4=Bron!$B$13,$P$4=Bron!$B$14),'Bouwkost VOLT'!$N54,IF($P$4=Bron!$C$16,'Bouwkost AK+VERB'!$N54,0))))))</f>
        <v>0</v>
      </c>
      <c r="R43" s="89">
        <f>IF(OR($R$4=Bron!$B$8,$R$4=Bron!$B$9,$R$4=Bron!$B$15),'Bouwkost NB'!$Y55,IF($R$4=Bron!$B$10,'Bouwkost UITB'!$Y54,IF($R$4=Bron!$B$11,'Bouwkost VERB'!$Y54,IF($R$4=Bron!$B$12,'Bouwkost IER'!$Y53,IF(OR($R$4=Bron!$B$13,$R$4=Bron!$B$14),'Bouwkost VOLT'!$Y54,IF($R$4=Bron!$C$16,'Bouwkost AK+VERB'!$Y54,0))))))</f>
        <v>0</v>
      </c>
      <c r="T43" s="89">
        <f>IF(OR($T$4=Bron!$B$8,$T$4=Bron!$B$9,$T$4=Bron!$B$15),'Bouwkost NB'!$Y55,IF($T$4=Bron!$B$10,'Bouwkost UITB'!$Y54,IF($T$4=Bron!$B$11,'Bouwkost VERB'!$Y54,IF($T$4=Bron!$B$12,'Bouwkost IER'!$Y53,IF(OR($T$4=Bron!$B$13,$T$4=Bron!$B$14),'Bouwkost VOLT'!$Y54,IF($T$4=Bron!$C$16,'Bouwkost AK+VERB'!$Y54,0))))))</f>
        <v>0</v>
      </c>
      <c r="V43" s="89">
        <f>IF(OR($N$4=Bron!$B$8,$N$4=Bron!$B$9,$N$4=Bron!$B$15),'Bouwkost NB'!$Y55,IF($N$4=Bron!$B$10,'Bouwkost UITB'!$Y54,IF($N$4=Bron!$B$11,'Bouwkost VERB'!$Y54,IF($N$4=Bron!$B$12,'Bouwkost IER'!$Y53,IF(OR($N$4=Bron!$B$13,$N$4=Bron!$B$14),'Bouwkost VOLT'!$Y54,IF($N$4=Bron!$C$16,'Bouwkost AK+VERB'!$Y54,0))))))</f>
        <v>0</v>
      </c>
      <c r="X43" s="89">
        <f>IF(OR($X$4=Bron!$B$8,$X$4=Bron!$B$9,$X$4=Bron!$B$15),'Bouwkost NB'!$Y55,IF($X$4=Bron!$B$10,'Bouwkost UITB'!$Y54,IF($X$4=Bron!$B$11,'Bouwkost VERB'!$Y54,IF($X$4=Bron!$B$12,'Bouwkost IER'!$Y53,IF(OR($X$4=Bron!$B$13,$X$4=Bron!$B$14),'Bouwkost VOLT'!$Y54,IF($X$4=Bron!$C$16,'Bouwkost AK+VERB'!$Y54,0))))))</f>
        <v>0</v>
      </c>
      <c r="Y43" s="815">
        <f>SUM(B43:X43)</f>
        <v>0</v>
      </c>
    </row>
    <row r="44" spans="1:25" x14ac:dyDescent="0.3">
      <c r="A44" s="333" t="s">
        <v>335</v>
      </c>
      <c r="B44" s="89">
        <f>IF(OR($B$4=Bron!$B$8,$B$4=Bron!$B$9,$B$4=Bron!$B$15),'Bouwkost NB'!$C56,IF($B$4=Bron!$B$10,'Bouwkost UITB'!$C55,IF($B$4=Bron!$B$11,'Bouwkost VERB'!$C55,IF($B$4=Bron!$B$12,'Bouwkost IER'!$C54,IF(OR($B$4=Bron!$B$13,$B$4=Bron!$B$14),'Bouwkost VOLT'!$C55,IF($B$4=Bron!$C$16,'Bouwkost AK+VERB'!$C55,0))))))</f>
        <v>0</v>
      </c>
      <c r="D44" s="89">
        <f>IF(OR($D$4=Bron!$B$8,$D$4=Bron!$B$9,$D$4=Bron!$B$15),'Bouwkost NB'!$C56,IF($D$4=Bron!$B$10,'Bouwkost UITB'!$C55,IF($D$4=Bron!$B$11,'Bouwkost VERB'!$C55,IF($D$4=Bron!$B$12,'Bouwkost IER'!$C54,IF(OR($D$4=Bron!$B$13,$D$4=Bron!$B$14),'Bouwkost VOLT'!$C55,IF($D$4=Bron!$C$16,'Bouwkost AK+VERB'!$C55,0))))))</f>
        <v>0</v>
      </c>
      <c r="F44" s="89">
        <f>IF(OR($F$4=Bron!$B$8,$F$4=Bron!$B$9,$F$4=Bron!$B$15),'Bouwkost NB'!$C56,IF($F$4=Bron!$B$10,'Bouwkost UITB'!$C55,IF($F$4=Bron!$B$11,'Bouwkost VERB'!$C55,IF($F$4=Bron!$B$12,'Bouwkost IER'!$C54,IF(OR($F$4=Bron!$B$13,$F$4=Bron!$B$14),'Bouwkost VOLT'!$C55,IF($F$4=Bron!$C$16,'Bouwkost AK+VERB'!$C55,0))))))</f>
        <v>0</v>
      </c>
      <c r="H44" s="89">
        <f>IF(OR($H$4=Bron!$B$8,$H$4=Bron!$B$9,$H$4=Bron!$B$15),'Bouwkost NB'!$C56,IF($H$4=Bron!$B$10,'Bouwkost UITB'!$C55,IF($H$4=Bron!$B$11,'Bouwkost VERB'!$C55,IF($H$4=Bron!$B$12,'Bouwkost IER'!$C54,IF(OR($H$4=Bron!$B$13,$H$4=Bron!$B$14),'Bouwkost VOLT'!$C55,IF($H$4=Bron!$C$16,'Bouwkost AK+VERB'!$C55,0))))))</f>
        <v>0</v>
      </c>
      <c r="J44" s="89">
        <f>IF(OR($J$4=Bron!$B$8,$J$4=Bron!$B$9,$J$4=Bron!$B$15),'Bouwkost NB'!$N56,IF($J$4=Bron!$B$10,'Bouwkost UITB'!$N55,IF($J$4=Bron!$B$11,'Bouwkost VERB'!$N55,IF($J$4=Bron!$B$12,'Bouwkost IER'!$N54,IF(OR($J$4=Bron!$B$13,$J$4=Bron!$B$14),'Bouwkost VOLT'!$N55,IF($J$4=Bron!$C$16,'Bouwkost AK+VERB'!$N55,0))))))</f>
        <v>0</v>
      </c>
      <c r="L44" s="89">
        <f>IF(OR($L$4=Bron!$B$8,$L$4=Bron!$B$9,$L$4=Bron!$B$15),'Bouwkost NB'!$N56,IF($L$4=Bron!$B$10,'Bouwkost UITB'!$N55,IF($L$4=Bron!$B$11,'Bouwkost VERB'!$N55,IF($L$4=Bron!$B$12,'Bouwkost IER'!$N54,IF(OR($L$4=Bron!$B$13,$L$4=Bron!$B$14),'Bouwkost VOLT'!$N55,IF($L$4=Bron!$C$16,'Bouwkost AK+VERB'!$N55,0))))))</f>
        <v>0</v>
      </c>
      <c r="N44" s="89">
        <f>IF(OR($N$4=Bron!$B$8,$N$4=Bron!$B$9,,$N$4=Bron!$B$15),'Bouwkost NB'!$N56,IF($N$4=Bron!$B$10,'Bouwkost UITB'!$N55,IF($N$4=Bron!$B$11,'Bouwkost VERB'!$N55,IF($N$4=Bron!$B$12,'Bouwkost IER'!$N54,IF(OR($N$4=Bron!$B$13,$N$4=Bron!$B$14),'Bouwkost VOLT'!$N55,IF($N$4=Bron!$C$16,'Bouwkost AK+VERB'!$N55,0))))))</f>
        <v>0</v>
      </c>
      <c r="P44" s="89">
        <f>IF(OR($P$4=Bron!$B$8,$P$4=Bron!$B$9,$P$4=Bron!$B$15),'Bouwkost NB'!$N56,IF($P$4=Bron!$B$10,'Bouwkost UITB'!$N55,IF($P$4=Bron!$B$11,'Bouwkost VERB'!$N55,IF($P$4=Bron!$B$12,'Bouwkost IER'!$N54,IF(OR($P$4=Bron!$B$13,$P$4=Bron!$B$14),'Bouwkost VOLT'!$N55,IF($P$4=Bron!$C$16,'Bouwkost AK+VERB'!$N55,0))))))</f>
        <v>0</v>
      </c>
      <c r="R44" s="89">
        <f>IF(OR($R$4=Bron!$B$8,$R$4=Bron!$B$9,$R$4=Bron!$B$15),'Bouwkost NB'!$Y56,IF($R$4=Bron!$B$10,'Bouwkost UITB'!$Y55,IF($R$4=Bron!$B$11,'Bouwkost VERB'!$Y55,IF($R$4=Bron!$B$12,'Bouwkost IER'!$Y54,IF(OR($R$4=Bron!$B$13,$R$4=Bron!$B$14),'Bouwkost VOLT'!$Y55,IF($R$4=Bron!$C$16,'Bouwkost AK+VERB'!$Y55,0))))))</f>
        <v>0</v>
      </c>
      <c r="T44" s="89">
        <f>IF(OR($T$4=Bron!$B$8,$T$4=Bron!$B$9,$T$4=Bron!$B$15),'Bouwkost NB'!$Y56,IF($T$4=Bron!$B$10,'Bouwkost UITB'!$Y55,IF($T$4=Bron!$B$11,'Bouwkost VERB'!$Y55,IF($T$4=Bron!$B$12,'Bouwkost IER'!$Y54,IF(OR($T$4=Bron!$B$13,$T$4=Bron!$B$14),'Bouwkost VOLT'!$Y55,IF($T$4=Bron!$C$16,'Bouwkost AK+VERB'!$Y55,0))))))</f>
        <v>0</v>
      </c>
      <c r="V44" s="89">
        <f>IF(OR($N$4=Bron!$B$8,$N$4=Bron!$B$9,$N$4=Bron!$B$15),'Bouwkost NB'!$Y56,IF($N$4=Bron!$B$10,'Bouwkost UITB'!$Y55,IF($N$4=Bron!$B$11,'Bouwkost VERB'!$Y55,IF($N$4=Bron!$B$12,'Bouwkost IER'!$Y54,IF(OR($N$4=Bron!$B$13,$N$4=Bron!$B$14),'Bouwkost VOLT'!$Y55,IF($N$4=Bron!$C$16,'Bouwkost AK+VERB'!$Y55,0))))))</f>
        <v>0</v>
      </c>
      <c r="X44" s="89">
        <f>IF(OR($X$4=Bron!$B$8,$X$4=Bron!$B$9,$X$4=Bron!$B$15),'Bouwkost NB'!$Y56,IF($X$4=Bron!$B$10,'Bouwkost UITB'!$Y55,IF($X$4=Bron!$B$11,'Bouwkost VERB'!$Y55,IF($X$4=Bron!$B$12,'Bouwkost IER'!$Y54,IF(OR($X$4=Bron!$B$13,$X$4=Bron!$B$14),'Bouwkost VOLT'!$Y55,IF($X$4=Bron!$C$16,'Bouwkost AK+VERB'!$Y55,0))))))</f>
        <v>0</v>
      </c>
    </row>
    <row r="45" spans="1:25" x14ac:dyDescent="0.3">
      <c r="A45" s="333" t="s">
        <v>448</v>
      </c>
      <c r="B45" s="89">
        <f>IF(OR($B$4=Bron!$B$8,$B$4=Bron!$B$9,$B$4=Bron!$B$15),'Bouwkost NB'!$C57,IF($B$4=Bron!$B$10,'Bouwkost UITB'!$C56,IF($B$4=Bron!$B$11,'Bouwkost VERB'!$C56,IF($B$4=Bron!$B$12,'Bouwkost IER'!$C55,IF(OR($B$4=Bron!$B$13,$B$4=Bron!$B$14),'Bouwkost VOLT'!$C56,IF($B$4=Bron!$C$16,'Bouwkost AK+VERB'!$C56,0))))))</f>
        <v>0</v>
      </c>
      <c r="D45" s="89">
        <f>IF(OR($D$4=Bron!$B$8,$D$4=Bron!$B$9,$D$4=Bron!$B$15),'Bouwkost NB'!$C57,IF($D$4=Bron!$B$10,'Bouwkost UITB'!$C56,IF($D$4=Bron!$B$11,'Bouwkost VERB'!$C56,IF($D$4=Bron!$B$12,'Bouwkost IER'!$C55,IF(OR($D$4=Bron!$B$13,$D$4=Bron!$B$14),'Bouwkost VOLT'!$C56,IF($D$4=Bron!$C$16,'Bouwkost AK+VERB'!$C56,0))))))</f>
        <v>0</v>
      </c>
      <c r="F45" s="89">
        <f>IF(OR($F$4=Bron!$B$8,$F$4=Bron!$B$9,$F$4=Bron!$B$15),'Bouwkost NB'!$C57,IF($F$4=Bron!$B$10,'Bouwkost UITB'!$C56,IF($F$4=Bron!$B$11,'Bouwkost VERB'!$C56,IF($F$4=Bron!$B$12,'Bouwkost IER'!$C55,IF(OR($F$4=Bron!$B$13,$F$4=Bron!$B$14),'Bouwkost VOLT'!$C56,IF($F$4=Bron!$C$16,'Bouwkost AK+VERB'!$C56,0))))))</f>
        <v>0</v>
      </c>
      <c r="H45" s="89">
        <f>IF(OR($H$4=Bron!$B$8,$H$4=Bron!$B$9,$H$4=Bron!$B$15),'Bouwkost NB'!$C57,IF($H$4=Bron!$B$10,'Bouwkost UITB'!$C56,IF($H$4=Bron!$B$11,'Bouwkost VERB'!$C56,IF($H$4=Bron!$B$12,'Bouwkost IER'!$C55,IF(OR($H$4=Bron!$B$13,$H$4=Bron!$B$14),'Bouwkost VOLT'!$C56,IF($H$4=Bron!$C$16,'Bouwkost AK+VERB'!$C56,0))))))</f>
        <v>0</v>
      </c>
      <c r="J45" s="89">
        <f>IF(OR($J$4=Bron!$B$8,$J$4=Bron!$B$9,$J$4=Bron!$B$15),'Bouwkost NB'!$N57,IF($J$4=Bron!$B$10,'Bouwkost UITB'!$N56,IF($J$4=Bron!$B$11,'Bouwkost VERB'!$N56,IF($J$4=Bron!$B$12,'Bouwkost IER'!$N55,IF(OR($J$4=Bron!$B$13,$J$4=Bron!$B$14),'Bouwkost VOLT'!$N56,IF($J$4=Bron!$C$16,'Bouwkost AK+VERB'!$N56,0))))))</f>
        <v>0</v>
      </c>
      <c r="L45" s="89">
        <f>IF(OR($L$4=Bron!$B$8,$L$4=Bron!$B$9,$L$4=Bron!$B$15),'Bouwkost NB'!$N57,IF($L$4=Bron!$B$10,'Bouwkost UITB'!$N56,IF($L$4=Bron!$B$11,'Bouwkost VERB'!$N56,IF($L$4=Bron!$B$12,'Bouwkost IER'!$N55,IF(OR($L$4=Bron!$B$13,$L$4=Bron!$B$14),'Bouwkost VOLT'!$N56,IF($L$4=Bron!$C$16,'Bouwkost AK+VERB'!$N56,0))))))</f>
        <v>0</v>
      </c>
      <c r="N45" s="89">
        <f>IF(OR($N$4=Bron!$B$8,$N$4=Bron!$B$9,,$N$4=Bron!$B$15),'Bouwkost NB'!$N57,IF($N$4=Bron!$B$10,'Bouwkost UITB'!$N56,IF($N$4=Bron!$B$11,'Bouwkost VERB'!$N56,IF($N$4=Bron!$B$12,'Bouwkost IER'!$N55,IF(OR($N$4=Bron!$B$13,$N$4=Bron!$B$14),'Bouwkost VOLT'!$N56,IF($N$4=Bron!$C$16,'Bouwkost AK+VERB'!$N56,0))))))</f>
        <v>0</v>
      </c>
      <c r="P45" s="89">
        <f>IF(OR($P$4=Bron!$B$8,$P$4=Bron!$B$9,$P$4=Bron!$B$15),'Bouwkost NB'!$N57,IF($P$4=Bron!$B$10,'Bouwkost UITB'!$N56,IF($P$4=Bron!$B$11,'Bouwkost VERB'!$N56,IF($P$4=Bron!$B$12,'Bouwkost IER'!$N55,IF(OR($P$4=Bron!$B$13,$P$4=Bron!$B$14),'Bouwkost VOLT'!$N56,IF($P$4=Bron!$C$16,'Bouwkost AK+VERB'!$N56,0))))))</f>
        <v>0</v>
      </c>
      <c r="R45" s="89">
        <f>IF(OR($R$4=Bron!$B$8,$R$4=Bron!$B$9,$R$4=Bron!$B$15),'Bouwkost NB'!$Y57,IF($R$4=Bron!$B$10,'Bouwkost UITB'!$Y56,IF($R$4=Bron!$B$11,'Bouwkost VERB'!$Y56,IF($R$4=Bron!$B$12,'Bouwkost IER'!$Y55,IF(OR($R$4=Bron!$B$13,$R$4=Bron!$B$14),'Bouwkost VOLT'!$Y56,IF($R$4=Bron!$C$16,'Bouwkost AK+VERB'!$Y56,0))))))</f>
        <v>0</v>
      </c>
      <c r="T45" s="89">
        <f>IF(OR($T$4=Bron!$B$8,$T$4=Bron!$B$9,$T$4=Bron!$B$15),'Bouwkost NB'!$Y57,IF($T$4=Bron!$B$10,'Bouwkost UITB'!$Y56,IF($T$4=Bron!$B$11,'Bouwkost VERB'!$Y56,IF($T$4=Bron!$B$12,'Bouwkost IER'!$Y55,IF(OR($T$4=Bron!$B$13,$T$4=Bron!$B$14),'Bouwkost VOLT'!$Y56,IF($T$4=Bron!$C$16,'Bouwkost AK+VERB'!$Y56,0))))))</f>
        <v>0</v>
      </c>
      <c r="V45" s="89">
        <f>IF(OR($N$4=Bron!$B$8,$N$4=Bron!$B$9,$N$4=Bron!$B$15),'Bouwkost NB'!$Y57,IF($N$4=Bron!$B$10,'Bouwkost UITB'!$Y56,IF($N$4=Bron!$B$11,'Bouwkost VERB'!$Y56,IF($N$4=Bron!$B$12,'Bouwkost IER'!$Y55,IF(OR($N$4=Bron!$B$13,$N$4=Bron!$B$14),'Bouwkost VOLT'!$Y56,IF($N$4=Bron!$C$16,'Bouwkost AK+VERB'!$Y56,0))))))</f>
        <v>0</v>
      </c>
      <c r="X45" s="89">
        <f>IF(OR($X$4=Bron!$B$8,$X$4=Bron!$B$9,$X$4=Bron!$B$15),'Bouwkost NB'!$Y57,IF($X$4=Bron!$B$10,'Bouwkost UITB'!$Y56,IF($X$4=Bron!$B$11,'Bouwkost VERB'!$Y56,IF($X$4=Bron!$B$12,'Bouwkost IER'!$Y55,IF(OR($X$4=Bron!$B$13,$X$4=Bron!$B$14),'Bouwkost VOLT'!$Y56,IF($X$4=Bron!$C$16,'Bouwkost AK+VERB'!$Y56,0))))))</f>
        <v>0</v>
      </c>
    </row>
    <row r="46" spans="1:25" x14ac:dyDescent="0.3">
      <c r="A46" s="639" t="s">
        <v>450</v>
      </c>
      <c r="B46" s="89">
        <f>IF(OR($B$4=Bron!$B$8,$B$4=Bron!$B$9,$B$4=Bron!$B$15),'Bouwkost NB'!$C59,IF($B$4=Bron!$B$10,'Bouwkost UITB'!$C58,IF($B$4=Bron!$B$11,'Bouwkost VERB'!$C58,IF($B$4=Bron!$B$12,'Bouwkost IER'!$C57,IF(OR($B$4=Bron!$B$13,$B$4=Bron!$B$14),'Bouwkost VOLT'!$C58,IF($B$4=Bron!$C$16,'Bouwkost AK+VERB'!$C58,0))))))</f>
        <v>0</v>
      </c>
      <c r="D46" s="89">
        <f>IF(OR($D$4=Bron!$B$8,$D$4=Bron!$B$9,$D$4=Bron!$B$15),'Bouwkost NB'!$C59,IF($D$4=Bron!$B$10,'Bouwkost UITB'!$C58,IF($D$4=Bron!$B$11,'Bouwkost VERB'!$C58,IF($D$4=Bron!$B$12,'Bouwkost IER'!$C57,IF(OR($D$4=Bron!$B$13,$D$4=Bron!$B$14),'Bouwkost VOLT'!$C58,IF($D$4=Bron!$C$16,'Bouwkost AK+VERB'!$C58,0))))))</f>
        <v>0</v>
      </c>
      <c r="F46" s="89">
        <f>IF(OR($F$4=Bron!$B$8,$F$4=Bron!$B$9,$F$4=Bron!$B$15),'Bouwkost NB'!$C59,IF($F$4=Bron!$B$10,'Bouwkost UITB'!$C58,IF($F$4=Bron!$B$11,'Bouwkost VERB'!$C58,IF($F$4=Bron!$B$12,'Bouwkost IER'!$C57,IF(OR($F$4=Bron!$B$13,$F$4=Bron!$B$14),'Bouwkost VOLT'!$C58,IF($F$4=Bron!$C$16,'Bouwkost AK+VERB'!$C58,0))))))</f>
        <v>0</v>
      </c>
      <c r="H46" s="89">
        <f>IF(OR($H$4=Bron!$B$8,$H$4=Bron!$B$9,$H$4=Bron!$B$15),'Bouwkost NB'!$C59,IF($H$4=Bron!$B$10,'Bouwkost UITB'!$C58,IF($H$4=Bron!$B$11,'Bouwkost VERB'!$C58,IF($H$4=Bron!$B$12,'Bouwkost IER'!$C57,IF(OR($H$4=Bron!$B$13,$H$4=Bron!$B$14),'Bouwkost VOLT'!$C58,IF($H$4=Bron!$C$16,'Bouwkost AK+VERB'!$C58,0))))))</f>
        <v>0</v>
      </c>
      <c r="J46" s="89">
        <f>IF(OR($J$4=Bron!$B$8,$J$4=Bron!$B$9,$J$4=Bron!$B$15),'Bouwkost NB'!$N59,IF($J$4=Bron!$B$10,'Bouwkost UITB'!$N58,IF($J$4=Bron!$B$11,'Bouwkost VERB'!$N58,IF($J$4=Bron!$B$12,'Bouwkost IER'!$N57,IF(OR($J$4=Bron!$B$13,$J$4=Bron!$B$14),'Bouwkost VOLT'!$N58,IF($J$4=Bron!$C$16,'Bouwkost AK+VERB'!$N58,0))))))</f>
        <v>0</v>
      </c>
      <c r="L46" s="89">
        <f>IF(OR($L$4=Bron!$B$8,$L$4=Bron!$B$9,$L$4=Bron!$B$15),'Bouwkost NB'!$N59,IF($L$4=Bron!$B$10,'Bouwkost UITB'!$N58,IF($L$4=Bron!$B$11,'Bouwkost VERB'!$N58,IF($L$4=Bron!$B$12,'Bouwkost IER'!$N57,IF(OR($L$4=Bron!$B$13,$L$4=Bron!$B$14),'Bouwkost VOLT'!$N58,IF($L$4=Bron!$C$16,'Bouwkost AK+VERB'!$N58,0))))))</f>
        <v>0</v>
      </c>
      <c r="N46" s="89">
        <f>IF(OR($N$4=Bron!$B$8,$N$4=Bron!$B$9,,$N$4=Bron!$B$15),'Bouwkost NB'!$N59,IF($N$4=Bron!$B$10,'Bouwkost UITB'!$N58,IF($N$4=Bron!$B$11,'Bouwkost VERB'!$N58,IF($N$4=Bron!$B$12,'Bouwkost IER'!$N57,IF(OR($N$4=Bron!$B$13,$N$4=Bron!$B$14),'Bouwkost VOLT'!$N58,IF($N$4=Bron!$C$16,'Bouwkost AK+VERB'!$N58,0))))))</f>
        <v>0</v>
      </c>
      <c r="P46" s="89">
        <f>IF(OR($P$4=Bron!$B$8,$P$4=Bron!$B$9,$P$4=Bron!$B$15),'Bouwkost NB'!$N59,IF($P$4=Bron!$B$10,'Bouwkost UITB'!$N58,IF($P$4=Bron!$B$11,'Bouwkost VERB'!$N58,IF($P$4=Bron!$B$12,'Bouwkost IER'!$N57,IF(OR($P$4=Bron!$B$13,$P$4=Bron!$B$14),'Bouwkost VOLT'!$N58,IF($P$4=Bron!$C$16,'Bouwkost AK+VERB'!$N58,0))))))</f>
        <v>0</v>
      </c>
      <c r="R46" s="89">
        <f>IF(OR($R$4=Bron!$B$8,$R$4=Bron!$B$9,$R$4=Bron!$B$15),'Bouwkost NB'!$Y59,IF($R$4=Bron!$B$10,'Bouwkost UITB'!$Y58,IF($R$4=Bron!$B$11,'Bouwkost VERB'!$Y58,IF($R$4=Bron!$B$12,'Bouwkost IER'!$Y57,IF(OR($R$4=Bron!$B$13,$R$4=Bron!$B$14),'Bouwkost VOLT'!$Y58,IF($R$4=Bron!$C$16,'Bouwkost AK+VERB'!$Y58,0))))))</f>
        <v>0</v>
      </c>
      <c r="T46" s="89">
        <f>IF(OR($T$4=Bron!$B$8,$T$4=Bron!$B$9,$T$4=Bron!$B$15),'Bouwkost NB'!$Y59,IF($T$4=Bron!$B$10,'Bouwkost UITB'!$Y58,IF($T$4=Bron!$B$11,'Bouwkost VERB'!$Y58,IF($T$4=Bron!$B$12,'Bouwkost IER'!$Y57,IF(OR($T$4=Bron!$B$13,$T$4=Bron!$B$14),'Bouwkost VOLT'!$Y58,IF($T$4=Bron!$C$16,'Bouwkost AK+VERB'!$Y58,0))))))</f>
        <v>0</v>
      </c>
      <c r="V46" s="89">
        <f>IF(OR($N$4=Bron!$B$8,$N$4=Bron!$B$9,$N$4=Bron!$B$15),'Bouwkost NB'!$Y59,IF($N$4=Bron!$B$10,'Bouwkost UITB'!$Y58,IF($N$4=Bron!$B$11,'Bouwkost VERB'!$Y58,IF($N$4=Bron!$B$12,'Bouwkost IER'!$Y57,IF(OR($N$4=Bron!$B$13,$N$4=Bron!$B$14),'Bouwkost VOLT'!$Y58,IF($N$4=Bron!$C$16,'Bouwkost AK+VERB'!$Y58,0))))))</f>
        <v>0</v>
      </c>
      <c r="X46" s="89">
        <f>IF(OR($X$4=Bron!$B$8,$X$4=Bron!$B$9,$X$4=Bron!$B$15),'Bouwkost NB'!$Y59,IF($X$4=Bron!$B$10,'Bouwkost UITB'!$Y58,IF($X$4=Bron!$B$11,'Bouwkost VERB'!$Y58,IF($X$4=Bron!$B$12,'Bouwkost IER'!$Y57,IF(OR($X$4=Bron!$B$13,$X$4=Bron!$B$14),'Bouwkost VOLT'!$Y58,IF($X$4=Bron!$C$16,'Bouwkost AK+VERB'!$Y58,0))))))</f>
        <v>0</v>
      </c>
    </row>
    <row r="47" spans="1:25" x14ac:dyDescent="0.3">
      <c r="A47" s="639" t="s">
        <v>451</v>
      </c>
      <c r="B47" s="89">
        <f>IF(OR($B$4=Bron!$B$8,$B$4=Bron!$B$9,$B$4=Bron!$B$15),'Bouwkost NB'!$C60,IF($B$4=Bron!$B$10,'Bouwkost UITB'!$C59,IF($B$4=Bron!$B$11,'Bouwkost VERB'!$C59,IF($B$4=Bron!$B$12,'Bouwkost IER'!$C58,IF(OR($B$4=Bron!$B$13,$B$4=Bron!$B$14),'Bouwkost VOLT'!$C59,IF($B$4=Bron!$C$16,'Bouwkost AK+VERB'!$C59,0))))))</f>
        <v>0</v>
      </c>
      <c r="D47" s="89">
        <f>IF(OR($D$4=Bron!$B$8,$D$4=Bron!$B$9,$D$4=Bron!$B$15),'Bouwkost NB'!$C60,IF($D$4=Bron!$B$10,'Bouwkost UITB'!$C59,IF($D$4=Bron!$B$11,'Bouwkost VERB'!$C59,IF($D$4=Bron!$B$12,'Bouwkost IER'!$C58,IF(OR($D$4=Bron!$B$13,$D$4=Bron!$B$14),'Bouwkost VOLT'!$C59,IF($D$4=Bron!$C$16,'Bouwkost AK+VERB'!$C59,0))))))</f>
        <v>0</v>
      </c>
      <c r="F47" s="89">
        <f>IF(OR($F$4=Bron!$B$8,$F$4=Bron!$B$9,$F$4=Bron!$B$15),'Bouwkost NB'!$C60,IF($F$4=Bron!$B$10,'Bouwkost UITB'!$C59,IF($F$4=Bron!$B$11,'Bouwkost VERB'!$C59,IF($F$4=Bron!$B$12,'Bouwkost IER'!$C58,IF(OR($F$4=Bron!$B$13,$F$4=Bron!$B$14),'Bouwkost VOLT'!$C59,IF($F$4=Bron!$C$16,'Bouwkost AK+VERB'!$C59,0))))))</f>
        <v>0</v>
      </c>
      <c r="H47" s="89">
        <f>IF(OR($H$4=Bron!$B$8,$H$4=Bron!$B$9,$H$4=Bron!$B$15),'Bouwkost NB'!$C60,IF($H$4=Bron!$B$10,'Bouwkost UITB'!$C59,IF($H$4=Bron!$B$11,'Bouwkost VERB'!$C59,IF($H$4=Bron!$B$12,'Bouwkost IER'!$C58,IF(OR($H$4=Bron!$B$13,$H$4=Bron!$B$14),'Bouwkost VOLT'!$C59,IF($H$4=Bron!$C$16,'Bouwkost AK+VERB'!$C59,0))))))</f>
        <v>0</v>
      </c>
      <c r="J47" s="89">
        <f>IF(OR($J$4=Bron!$B$8,$J$4=Bron!$B$9,$J$4=Bron!$B$15),'Bouwkost NB'!$N60,IF($J$4=Bron!$B$10,'Bouwkost UITB'!$N59,IF($J$4=Bron!$B$11,'Bouwkost VERB'!$N59,IF($J$4=Bron!$B$12,'Bouwkost IER'!$N58,IF(OR($J$4=Bron!$B$13,$J$4=Bron!$B$14),'Bouwkost VOLT'!$N59,IF($J$4=Bron!$C$16,'Bouwkost AK+VERB'!$N59,0))))))</f>
        <v>0</v>
      </c>
      <c r="L47" s="89">
        <f>IF(OR($L$4=Bron!$B$8,$L$4=Bron!$B$9,$L$4=Bron!$B$15),'Bouwkost NB'!$N60,IF($L$4=Bron!$B$10,'Bouwkost UITB'!$N59,IF($L$4=Bron!$B$11,'Bouwkost VERB'!$N59,IF($L$4=Bron!$B$12,'Bouwkost IER'!$N58,IF(OR($L$4=Bron!$B$13,$L$4=Bron!$B$14),'Bouwkost VOLT'!$N59,IF($L$4=Bron!$C$16,'Bouwkost AK+VERB'!$N59,0))))))</f>
        <v>0</v>
      </c>
      <c r="N47" s="89">
        <f>IF(OR($N$4=Bron!$B$8,$N$4=Bron!$B$9,,$N$4=Bron!$B$15),'Bouwkost NB'!$N60,IF($N$4=Bron!$B$10,'Bouwkost UITB'!$N59,IF($N$4=Bron!$B$11,'Bouwkost VERB'!$N59,IF($N$4=Bron!$B$12,'Bouwkost IER'!$N58,IF(OR($N$4=Bron!$B$13,$N$4=Bron!$B$14),'Bouwkost VOLT'!$N59,IF($N$4=Bron!$C$16,'Bouwkost AK+VERB'!$N59,0))))))</f>
        <v>0</v>
      </c>
      <c r="P47" s="89">
        <f>IF(OR($P$4=Bron!$B$8,$P$4=Bron!$B$9,$P$4=Bron!$B$15),'Bouwkost NB'!$N60,IF($P$4=Bron!$B$10,'Bouwkost UITB'!$N59,IF($P$4=Bron!$B$11,'Bouwkost VERB'!$N59,IF($P$4=Bron!$B$12,'Bouwkost IER'!$N58,IF(OR($P$4=Bron!$B$13,$P$4=Bron!$B$14),'Bouwkost VOLT'!$N59,IF($P$4=Bron!$C$16,'Bouwkost AK+VERB'!$N59,0))))))</f>
        <v>0</v>
      </c>
      <c r="R47" s="89">
        <f>IF(OR($R$4=Bron!$B$8,$R$4=Bron!$B$9,$R$4=Bron!$B$15),'Bouwkost NB'!$Y60,IF($R$4=Bron!$B$10,'Bouwkost UITB'!$Y59,IF($R$4=Bron!$B$11,'Bouwkost VERB'!$Y59,IF($R$4=Bron!$B$12,'Bouwkost IER'!$Y58,IF(OR($R$4=Bron!$B$13,$R$4=Bron!$B$14),'Bouwkost VOLT'!$Y59,IF($R$4=Bron!$C$16,'Bouwkost AK+VERB'!$Y59,0))))))</f>
        <v>0</v>
      </c>
      <c r="T47" s="89">
        <f>IF(OR($T$4=Bron!$B$8,$T$4=Bron!$B$9,$T$4=Bron!$B$15),'Bouwkost NB'!$Y60,IF($T$4=Bron!$B$10,'Bouwkost UITB'!$Y59,IF($T$4=Bron!$B$11,'Bouwkost VERB'!$Y59,IF($T$4=Bron!$B$12,'Bouwkost IER'!$Y58,IF(OR($T$4=Bron!$B$13,$T$4=Bron!$B$14),'Bouwkost VOLT'!$Y59,IF($T$4=Bron!$C$16,'Bouwkost AK+VERB'!$Y59,0))))))</f>
        <v>0</v>
      </c>
      <c r="V47" s="89">
        <f>IF(OR($N$4=Bron!$B$8,$N$4=Bron!$B$9,$N$4=Bron!$B$15),'Bouwkost NB'!$Y60,IF($N$4=Bron!$B$10,'Bouwkost UITB'!$Y59,IF($N$4=Bron!$B$11,'Bouwkost VERB'!$Y59,IF($N$4=Bron!$B$12,'Bouwkost IER'!$Y58,IF(OR($N$4=Bron!$B$13,$N$4=Bron!$B$14),'Bouwkost VOLT'!$Y59,IF($N$4=Bron!$C$16,'Bouwkost AK+VERB'!$Y59,0))))))</f>
        <v>0</v>
      </c>
      <c r="X47" s="89">
        <f>IF(OR($X$4=Bron!$B$8,$X$4=Bron!$B$9,$X$4=Bron!$B$15),'Bouwkost NB'!$Y60,IF($X$4=Bron!$B$10,'Bouwkost UITB'!$Y59,IF($X$4=Bron!$B$11,'Bouwkost VERB'!$Y59,IF($X$4=Bron!$B$12,'Bouwkost IER'!$Y58,IF(OR($X$4=Bron!$B$13,$X$4=Bron!$B$14),'Bouwkost VOLT'!$Y59,IF($X$4=Bron!$C$16,'Bouwkost AK+VERB'!$Y59,0))))))</f>
        <v>0</v>
      </c>
    </row>
    <row r="48" spans="1:25" x14ac:dyDescent="0.3">
      <c r="A48" s="639" t="s">
        <v>452</v>
      </c>
      <c r="B48" s="89">
        <f>IF(OR($B$4=Bron!$B$8,$B$4=Bron!$B$9,$B$4=Bron!$B$15),'Bouwkost NB'!$C61,IF($B$4=Bron!$B$10,'Bouwkost UITB'!$C60,IF($B$4=Bron!$B$11,'Bouwkost VERB'!$C60,IF($B$4=Bron!$B$12,'Bouwkost IER'!$C59,IF(OR($B$4=Bron!$B$13,$B$4=Bron!$B$14),'Bouwkost VOLT'!$C60,IF($B$4=Bron!$C$16,'Bouwkost AK+VERB'!$C60,0))))))</f>
        <v>0</v>
      </c>
      <c r="D48" s="89">
        <f>IF(OR($D$4=Bron!$B$8,$D$4=Bron!$B$9,$D$4=Bron!$B$15),'Bouwkost NB'!$C61,IF($D$4=Bron!$B$10,'Bouwkost UITB'!$C60,IF($D$4=Bron!$B$11,'Bouwkost VERB'!$C60,IF($D$4=Bron!$B$12,'Bouwkost IER'!$C59,IF(OR($D$4=Bron!$B$13,$D$4=Bron!$B$14),'Bouwkost VOLT'!$C60,IF($D$4=Bron!$C$16,'Bouwkost AK+VERB'!$C60,0))))))</f>
        <v>0</v>
      </c>
      <c r="F48" s="89">
        <f>IF(OR($F$4=Bron!$B$8,$F$4=Bron!$B$9,$F$4=Bron!$B$15),'Bouwkost NB'!$C61,IF($F$4=Bron!$B$10,'Bouwkost UITB'!$C60,IF($F$4=Bron!$B$11,'Bouwkost VERB'!$C60,IF($F$4=Bron!$B$12,'Bouwkost IER'!$C59,IF(OR($F$4=Bron!$B$13,$F$4=Bron!$B$14),'Bouwkost VOLT'!$C60,IF($F$4=Bron!$C$16,'Bouwkost AK+VERB'!$C60,0))))))</f>
        <v>0</v>
      </c>
      <c r="H48" s="89">
        <f>IF(OR($H$4=Bron!$B$8,$H$4=Bron!$B$9,$H$4=Bron!$B$15),'Bouwkost NB'!$C61,IF($H$4=Bron!$B$10,'Bouwkost UITB'!$C60,IF($H$4=Bron!$B$11,'Bouwkost VERB'!$C60,IF($H$4=Bron!$B$12,'Bouwkost IER'!$C59,IF(OR($H$4=Bron!$B$13,$H$4=Bron!$B$14),'Bouwkost VOLT'!$C60,IF($H$4=Bron!$C$16,'Bouwkost AK+VERB'!$C60,0))))))</f>
        <v>0</v>
      </c>
      <c r="J48" s="89">
        <f>IF(OR($J$4=Bron!$B$8,$J$4=Bron!$B$9,$J$4=Bron!$B$15),'Bouwkost NB'!$N61,IF($J$4=Bron!$B$10,'Bouwkost UITB'!$N60,IF($J$4=Bron!$B$11,'Bouwkost VERB'!$N60,IF($J$4=Bron!$B$12,'Bouwkost IER'!$N59,IF(OR($J$4=Bron!$B$13,$J$4=Bron!$B$14),'Bouwkost VOLT'!$N60,IF($J$4=Bron!$C$16,'Bouwkost AK+VERB'!$N60,0))))))</f>
        <v>0</v>
      </c>
      <c r="L48" s="89">
        <f>IF(OR($L$4=Bron!$B$8,$L$4=Bron!$B$9,$L$4=Bron!$B$15),'Bouwkost NB'!$N61,IF($L$4=Bron!$B$10,'Bouwkost UITB'!$N60,IF($L$4=Bron!$B$11,'Bouwkost VERB'!$N60,IF($L$4=Bron!$B$12,'Bouwkost IER'!$N59,IF(OR($L$4=Bron!$B$13,$L$4=Bron!$B$14),'Bouwkost VOLT'!$N60,IF($L$4=Bron!$C$16,'Bouwkost AK+VERB'!$N60,0))))))</f>
        <v>0</v>
      </c>
      <c r="N48" s="89">
        <f>IF(OR($N$4=Bron!$B$8,$N$4=Bron!$B$9,,$N$4=Bron!$B$15),'Bouwkost NB'!$N61,IF($N$4=Bron!$B$10,'Bouwkost UITB'!$N60,IF($N$4=Bron!$B$11,'Bouwkost VERB'!$N60,IF($N$4=Bron!$B$12,'Bouwkost IER'!$N59,IF(OR($N$4=Bron!$B$13,$N$4=Bron!$B$14),'Bouwkost VOLT'!$N60,IF($N$4=Bron!$C$16,'Bouwkost AK+VERB'!$N60,0))))))</f>
        <v>0</v>
      </c>
      <c r="P48" s="89">
        <f>IF(OR($P$4=Bron!$B$8,$P$4=Bron!$B$9,$P$4=Bron!$B$15),'Bouwkost NB'!$N61,IF($P$4=Bron!$B$10,'Bouwkost UITB'!$N60,IF($P$4=Bron!$B$11,'Bouwkost VERB'!$N60,IF($P$4=Bron!$B$12,'Bouwkost IER'!$N59,IF(OR($P$4=Bron!$B$13,$P$4=Bron!$B$14),'Bouwkost VOLT'!$N60,IF($P$4=Bron!$C$16,'Bouwkost AK+VERB'!$N60,0))))))</f>
        <v>0</v>
      </c>
      <c r="R48" s="89">
        <f>IF(OR($R$4=Bron!$B$8,$R$4=Bron!$B$9,$R$4=Bron!$B$15),'Bouwkost NB'!$Y61,IF($R$4=Bron!$B$10,'Bouwkost UITB'!$Y60,IF($R$4=Bron!$B$11,'Bouwkost VERB'!$Y60,IF($R$4=Bron!$B$12,'Bouwkost IER'!$Y59,IF(OR($R$4=Bron!$B$13,$R$4=Bron!$B$14),'Bouwkost VOLT'!$Y60,IF($R$4=Bron!$C$16,'Bouwkost AK+VERB'!$Y60,0))))))</f>
        <v>0</v>
      </c>
      <c r="T48" s="89">
        <f>IF(OR($T$4=Bron!$B$8,$T$4=Bron!$B$9,$T$4=Bron!$B$15),'Bouwkost NB'!$Y61,IF($T$4=Bron!$B$10,'Bouwkost UITB'!$Y60,IF($T$4=Bron!$B$11,'Bouwkost VERB'!$Y60,IF($T$4=Bron!$B$12,'Bouwkost IER'!$Y59,IF(OR($T$4=Bron!$B$13,$T$4=Bron!$B$14),'Bouwkost VOLT'!$Y60,IF($T$4=Bron!$C$16,'Bouwkost AK+VERB'!$Y60,0))))))</f>
        <v>0</v>
      </c>
      <c r="V48" s="89">
        <f>IF(OR($N$4=Bron!$B$8,$N$4=Bron!$B$9,$N$4=Bron!$B$15),'Bouwkost NB'!$Y61,IF($N$4=Bron!$B$10,'Bouwkost UITB'!$Y60,IF($N$4=Bron!$B$11,'Bouwkost VERB'!$Y60,IF($N$4=Bron!$B$12,'Bouwkost IER'!$Y59,IF(OR($N$4=Bron!$B$13,$N$4=Bron!$B$14),'Bouwkost VOLT'!$Y60,IF($N$4=Bron!$C$16,'Bouwkost AK+VERB'!$Y60,0))))))</f>
        <v>0</v>
      </c>
      <c r="X48" s="89">
        <f>IF(OR($X$4=Bron!$B$8,$X$4=Bron!$B$9,$X$4=Bron!$B$15),'Bouwkost NB'!$Y61,IF($X$4=Bron!$B$10,'Bouwkost UITB'!$Y60,IF($X$4=Bron!$B$11,'Bouwkost VERB'!$Y60,IF($X$4=Bron!$B$12,'Bouwkost IER'!$Y59,IF(OR($X$4=Bron!$B$13,$X$4=Bron!$B$14),'Bouwkost VOLT'!$Y60,IF($X$4=Bron!$C$16,'Bouwkost AK+VERB'!$Y60,0))))))</f>
        <v>0</v>
      </c>
    </row>
    <row r="49" spans="1:24" x14ac:dyDescent="0.3">
      <c r="A49" s="328" t="s">
        <v>282</v>
      </c>
      <c r="B49" s="810">
        <f>IF(OR($B$4=Bron!$B$8,$B$4=Bron!$B$9,$B$4=Bron!$B$15),'Bouwkost NB'!$C62,IF($B$4=Bron!$B$10,'Bouwkost UITB'!$C61,IF($B$4=Bron!$B$11,'Bouwkost VERB'!$C61,IF($B$4=Bron!$B$12,'Bouwkost IER'!$C60,IF(OR($B$4=Bron!$B$13,$B$4=Bron!$B$14),'Bouwkost VOLT'!$C61,IF($B$4=Bron!$C$16,'Bouwkost AK+VERB'!$C61,0))))))</f>
        <v>0</v>
      </c>
      <c r="C49" s="810"/>
      <c r="D49" s="810">
        <f>IF(OR($D$4=Bron!$B$8,$D$4=Bron!$B$9,$D$4=Bron!$B$15),'Bouwkost NB'!$C62,IF($D$4=Bron!$B$10,'Bouwkost UITB'!$C61,IF($D$4=Bron!$B$11,'Bouwkost VERB'!$C61,IF($D$4=Bron!$B$12,'Bouwkost IER'!$C60,IF(OR($D$4=Bron!$B$13,$D$4=Bron!$B$14),'Bouwkost VOLT'!$C61,IF($D$4=Bron!$C$16,'Bouwkost AK+VERB'!$C61,0))))))</f>
        <v>0</v>
      </c>
      <c r="E49" s="810"/>
      <c r="F49" s="810">
        <f>IF(OR($F$4=Bron!$B$8,$F$4=Bron!$B$9,$F$4=Bron!$B$15),'Bouwkost NB'!$C62,IF($F$4=Bron!$B$10,'Bouwkost UITB'!$C61,IF($F$4=Bron!$B$11,'Bouwkost VERB'!$C61,IF($F$4=Bron!$B$12,'Bouwkost IER'!$C60,IF(OR($F$4=Bron!$B$13,$F$4=Bron!$B$14),'Bouwkost VOLT'!$C61,IF($F$4=Bron!$C$16,'Bouwkost AK+VERB'!$C61,0))))))</f>
        <v>0</v>
      </c>
      <c r="G49" s="810"/>
      <c r="H49" s="810">
        <f>IF(OR($H$4=Bron!$B$8,$H$4=Bron!$B$9,$H$4=Bron!$B$15),'Bouwkost NB'!$C62,IF($H$4=Bron!$B$10,'Bouwkost UITB'!$C61,IF($H$4=Bron!$B$11,'Bouwkost VERB'!$C61,IF($H$4=Bron!$B$12,'Bouwkost IER'!$C60,IF(OR($H$4=Bron!$B$13,$H$4=Bron!$B$14),'Bouwkost VOLT'!$C61,IF($H$4=Bron!$C$16,'Bouwkost AK+VERB'!$C61,0))))))</f>
        <v>0</v>
      </c>
      <c r="I49" s="810"/>
      <c r="J49" s="810">
        <f>IF(OR($J$4=Bron!$B$8,$J$4=Bron!$B$9,$J$4=Bron!$B$15),'Bouwkost NB'!$N62,IF($J$4=Bron!$B$10,'Bouwkost UITB'!$N61,IF($J$4=Bron!$B$11,'Bouwkost VERB'!$N61,IF($J$4=Bron!$B$12,'Bouwkost IER'!$N60,IF(OR($J$4=Bron!$B$13,$J$4=Bron!$B$14),'Bouwkost VOLT'!$N61,IF($J$4=Bron!$C$16,'Bouwkost AK+VERB'!$N61,0))))))</f>
        <v>0</v>
      </c>
      <c r="K49" s="810"/>
      <c r="L49" s="810">
        <f>IF(OR($L$4=Bron!$B$8,$L$4=Bron!$B$9,$L$4=Bron!$B$15),'Bouwkost NB'!$N62,IF($L$4=Bron!$B$10,'Bouwkost UITB'!$N61,IF($L$4=Bron!$B$11,'Bouwkost VERB'!$N61,IF($L$4=Bron!$B$12,'Bouwkost IER'!$N60,IF(OR($L$4=Bron!$B$13,$L$4=Bron!$B$14),'Bouwkost VOLT'!$N61,IF($L$4=Bron!$C$16,'Bouwkost AK+VERB'!$N61,0))))))</f>
        <v>0</v>
      </c>
      <c r="M49" s="810"/>
      <c r="N49" s="810">
        <f>IF(OR($N$4=Bron!$B$8,$N$4=Bron!$B$9,,$N$4=Bron!$B$15),'Bouwkost NB'!$N62,IF($N$4=Bron!$B$10,'Bouwkost UITB'!$N61,IF($N$4=Bron!$B$11,'Bouwkost VERB'!$N61,IF($N$4=Bron!$B$12,'Bouwkost IER'!$N60,IF(OR($N$4=Bron!$B$13,$N$4=Bron!$B$14),'Bouwkost VOLT'!$N61,IF($N$4=Bron!$C$16,'Bouwkost AK+VERB'!$N61,0))))))</f>
        <v>0</v>
      </c>
      <c r="O49" s="810"/>
      <c r="P49" s="810">
        <f>IF(OR($P$4=Bron!$B$8,$P$4=Bron!$B$9,$P$4=Bron!$B$15),'Bouwkost NB'!$N62,IF($P$4=Bron!$B$10,'Bouwkost UITB'!$N61,IF($P$4=Bron!$B$11,'Bouwkost VERB'!$N61,IF($P$4=Bron!$B$12,'Bouwkost IER'!$N60,IF(OR($P$4=Bron!$B$13,$P$4=Bron!$B$14),'Bouwkost VOLT'!$N61,IF($P$4=Bron!$C$16,'Bouwkost AK+VERB'!$N61,0))))))</f>
        <v>0</v>
      </c>
      <c r="Q49" s="810"/>
      <c r="R49" s="810">
        <f>IF(OR($R$4=Bron!$B$8,$R$4=Bron!$B$9,$R$4=Bron!$B$15),'Bouwkost NB'!$Y62,IF($R$4=Bron!$B$10,'Bouwkost UITB'!$Y61,IF($R$4=Bron!$B$11,'Bouwkost VERB'!$Y61,IF($R$4=Bron!$B$12,'Bouwkost IER'!$Y60,IF(OR($R$4=Bron!$B$13,$R$4=Bron!$B$14),'Bouwkost VOLT'!$Y61,IF($R$4=Bron!$C$16,'Bouwkost AK+VERB'!$Y61,0))))))</f>
        <v>0</v>
      </c>
      <c r="S49" s="810"/>
      <c r="T49" s="810">
        <f>IF(OR($T$4=Bron!$B$8,$T$4=Bron!$B$9,$T$4=Bron!$B$15),'Bouwkost NB'!$Y62,IF($T$4=Bron!$B$10,'Bouwkost UITB'!$Y61,IF($T$4=Bron!$B$11,'Bouwkost VERB'!$Y61,IF($T$4=Bron!$B$12,'Bouwkost IER'!$Y60,IF(OR($T$4=Bron!$B$13,$T$4=Bron!$B$14),'Bouwkost VOLT'!$Y61,IF($T$4=Bron!$C$16,'Bouwkost AK+VERB'!$Y61,0))))))</f>
        <v>0</v>
      </c>
      <c r="U49" s="810"/>
      <c r="V49" s="810">
        <f>IF(OR($N$4=Bron!$B$8,$N$4=Bron!$B$9,$N$4=Bron!$B$15),'Bouwkost NB'!$Y62,IF($N$4=Bron!$B$10,'Bouwkost UITB'!$Y61,IF($N$4=Bron!$B$11,'Bouwkost VERB'!$Y61,IF($N$4=Bron!$B$12,'Bouwkost IER'!$Y60,IF(OR($N$4=Bron!$B$13,$N$4=Bron!$B$14),'Bouwkost VOLT'!$Y61,IF($N$4=Bron!$C$16,'Bouwkost AK+VERB'!$Y61,0))))))</f>
        <v>0</v>
      </c>
      <c r="W49" s="810"/>
      <c r="X49" s="810">
        <f>IF(OR($X$4=Bron!$B$8,$X$4=Bron!$B$9,$X$4=Bron!$B$15),'Bouwkost NB'!$Y62,IF($X$4=Bron!$B$10,'Bouwkost UITB'!$Y61,IF($X$4=Bron!$B$11,'Bouwkost VERB'!$Y61,IF($X$4=Bron!$B$12,'Bouwkost IER'!$Y60,IF(OR($X$4=Bron!$B$13,$X$4=Bron!$B$14),'Bouwkost VOLT'!$Y61,IF($X$4=Bron!$C$16,'Bouwkost AK+VERB'!$Y61,0))))))</f>
        <v>0</v>
      </c>
    </row>
    <row r="50" spans="1:24" x14ac:dyDescent="0.3">
      <c r="A50" s="18"/>
      <c r="B50" s="89">
        <f>IF(OR($B$4=Bron!$B$8,$B$4=Bron!$B$9,$B$4=Bron!$B$15),'Bouwkost NB'!$C63,IF($B$4=Bron!$B$10,'Bouwkost UITB'!$C62,IF($B$4=Bron!$B$11,'Bouwkost VERB'!$C62,IF($B$4=Bron!$B$12,'Bouwkost IER'!$C61,IF(OR($B$4=Bron!$B$13,$B$4=Bron!$B$14),'Bouwkost VOLT'!$C62,IF($B$4=Bron!$C$16,'Bouwkost AK+VERB'!$C62,0))))))</f>
        <v>0</v>
      </c>
      <c r="D50" s="89">
        <f>IF(OR($D$4=Bron!$B$8,$D$4=Bron!$B$9,$D$4=Bron!$B$15),'Bouwkost NB'!$C63,IF($D$4=Bron!$B$10,'Bouwkost UITB'!$C62,IF($D$4=Bron!$B$11,'Bouwkost VERB'!$C62,IF($D$4=Bron!$B$12,'Bouwkost IER'!$C61,IF(OR($D$4=Bron!$B$13,$D$4=Bron!$B$14),'Bouwkost VOLT'!$C62,IF($D$4=Bron!$C$16,'Bouwkost AK+VERB'!$C62,0))))))</f>
        <v>0</v>
      </c>
      <c r="F50" s="89">
        <f>IF(OR($F$4=Bron!$B$8,$F$4=Bron!$B$9,$F$4=Bron!$B$15),'Bouwkost NB'!$C63,IF($F$4=Bron!$B$10,'Bouwkost UITB'!$C62,IF($F$4=Bron!$B$11,'Bouwkost VERB'!$C62,IF($F$4=Bron!$B$12,'Bouwkost IER'!$C61,IF(OR($F$4=Bron!$B$13,$F$4=Bron!$B$14),'Bouwkost VOLT'!$C62,IF($F$4=Bron!$C$16,'Bouwkost AK+VERB'!$C62,0))))))</f>
        <v>0</v>
      </c>
      <c r="H50" s="89">
        <f>IF(OR($H$4=Bron!$B$8,$H$4=Bron!$B$9,$H$4=Bron!$B$15),'Bouwkost NB'!$C63,IF($H$4=Bron!$B$10,'Bouwkost UITB'!$C62,IF($H$4=Bron!$B$11,'Bouwkost VERB'!$C62,IF($H$4=Bron!$B$12,'Bouwkost IER'!$C61,IF(OR($H$4=Bron!$B$13,$H$4=Bron!$B$14),'Bouwkost VOLT'!$C62,IF($H$4=Bron!$C$16,'Bouwkost AK+VERB'!$C62,0))))))</f>
        <v>0</v>
      </c>
      <c r="J50" s="89">
        <f>IF(OR($J$4=Bron!$B$8,$J$4=Bron!$B$9,$J$4=Bron!$B$15),'Bouwkost NB'!$N63,IF($J$4=Bron!$B$10,'Bouwkost UITB'!$N62,IF($J$4=Bron!$B$11,'Bouwkost VERB'!$N62,IF($J$4=Bron!$B$12,'Bouwkost IER'!$N61,IF(OR($J$4=Bron!$B$13,$J$4=Bron!$B$14),'Bouwkost VOLT'!$N62,IF($J$4=Bron!$C$16,'Bouwkost AK+VERB'!$N62,0))))))</f>
        <v>0</v>
      </c>
      <c r="L50" s="89">
        <f>IF(OR($L$4=Bron!$B$8,$L$4=Bron!$B$9,$L$4=Bron!$B$15),'Bouwkost NB'!$N63,IF($L$4=Bron!$B$10,'Bouwkost UITB'!$N62,IF($L$4=Bron!$B$11,'Bouwkost VERB'!$N62,IF($L$4=Bron!$B$12,'Bouwkost IER'!$N61,IF(OR($L$4=Bron!$B$13,$L$4=Bron!$B$14),'Bouwkost VOLT'!$N62,IF($L$4=Bron!$C$16,'Bouwkost AK+VERB'!$N62,0))))))</f>
        <v>0</v>
      </c>
      <c r="N50" s="89">
        <f>IF(OR($N$4=Bron!$B$8,$N$4=Bron!$B$9,,$N$4=Bron!$B$15),'Bouwkost NB'!$N63,IF($N$4=Bron!$B$10,'Bouwkost UITB'!$N62,IF($N$4=Bron!$B$11,'Bouwkost VERB'!$N62,IF($N$4=Bron!$B$12,'Bouwkost IER'!$N61,IF(OR($N$4=Bron!$B$13,$N$4=Bron!$B$14),'Bouwkost VOLT'!$N62,IF($N$4=Bron!$C$16,'Bouwkost AK+VERB'!$N62,0))))))</f>
        <v>0</v>
      </c>
      <c r="P50" s="89">
        <f>IF(OR($P$4=Bron!$B$8,$P$4=Bron!$B$9,$P$4=Bron!$B$15),'Bouwkost NB'!$N63,IF($P$4=Bron!$B$10,'Bouwkost UITB'!$N62,IF($P$4=Bron!$B$11,'Bouwkost VERB'!$N62,IF($P$4=Bron!$B$12,'Bouwkost IER'!$N61,IF(OR($P$4=Bron!$B$13,$P$4=Bron!$B$14),'Bouwkost VOLT'!$N62,IF($P$4=Bron!$C$16,'Bouwkost AK+VERB'!$N62,0))))))</f>
        <v>0</v>
      </c>
      <c r="R50" s="89">
        <f>IF(OR($R$4=Bron!$B$8,$R$4=Bron!$B$9,$R$4=Bron!$B$15),'Bouwkost NB'!$Y63,IF($R$4=Bron!$B$10,'Bouwkost UITB'!$Y62,IF($R$4=Bron!$B$11,'Bouwkost VERB'!$Y62,IF($R$4=Bron!$B$12,'Bouwkost IER'!$Y61,IF(OR($R$4=Bron!$B$13,$R$4=Bron!$B$14),'Bouwkost VOLT'!$Y62,IF($R$4=Bron!$C$16,'Bouwkost AK+VERB'!$Y62,0))))))</f>
        <v>0</v>
      </c>
      <c r="T50" s="89">
        <f>IF(OR($T$4=Bron!$B$8,$T$4=Bron!$B$9,$T$4=Bron!$B$15),'Bouwkost NB'!$Y63,IF($T$4=Bron!$B$10,'Bouwkost UITB'!$Y62,IF($T$4=Bron!$B$11,'Bouwkost VERB'!$Y62,IF($T$4=Bron!$B$12,'Bouwkost IER'!$Y61,IF(OR($T$4=Bron!$B$13,$T$4=Bron!$B$14),'Bouwkost VOLT'!$Y62,IF($T$4=Bron!$C$16,'Bouwkost AK+VERB'!$Y62,0))))))</f>
        <v>0</v>
      </c>
      <c r="V50" s="89">
        <f>IF(OR($N$4=Bron!$B$8,$N$4=Bron!$B$9,$N$4=Bron!$B$15),'Bouwkost NB'!$Y63,IF($N$4=Bron!$B$10,'Bouwkost UITB'!$Y62,IF($N$4=Bron!$B$11,'Bouwkost VERB'!$Y62,IF($N$4=Bron!$B$12,'Bouwkost IER'!$Y61,IF(OR($N$4=Bron!$B$13,$N$4=Bron!$B$14),'Bouwkost VOLT'!$Y62,IF($N$4=Bron!$C$16,'Bouwkost AK+VERB'!$Y62,0))))))</f>
        <v>0</v>
      </c>
      <c r="X50" s="89">
        <f>IF(OR($X$4=Bron!$B$8,$X$4=Bron!$B$9,$X$4=Bron!$B$15),'Bouwkost NB'!$Y63,IF($X$4=Bron!$B$10,'Bouwkost UITB'!$Y62,IF($X$4=Bron!$B$11,'Bouwkost VERB'!$Y62,IF($X$4=Bron!$B$12,'Bouwkost IER'!$Y61,IF(OR($X$4=Bron!$B$13,$X$4=Bron!$B$14),'Bouwkost VOLT'!$Y62,IF($X$4=Bron!$C$16,'Bouwkost AK+VERB'!$Y62,0))))))</f>
        <v>0</v>
      </c>
    </row>
    <row r="51" spans="1:24" x14ac:dyDescent="0.3">
      <c r="A51" s="328" t="s">
        <v>453</v>
      </c>
      <c r="B51" s="89">
        <f>IF(OR($B$4=Bron!$B$8,$B$4=Bron!$B$9,$B$4=Bron!$B$15),'Bouwkost NB'!$C64,IF($B$4=Bron!$B$10,'Bouwkost UITB'!$C63,IF($B$4=Bron!$B$11,'Bouwkost VERB'!$C63,IF($B$4=Bron!$B$12,'Bouwkost IER'!$C62,IF(OR($B$4=Bron!$B$13,$B$4=Bron!$B$14),'Bouwkost VOLT'!$C63,IF($B$4=Bron!$C$16,'Bouwkost AK+VERB'!$C63,0))))))</f>
        <v>0</v>
      </c>
      <c r="D51" s="89">
        <f>IF(OR($D$4=Bron!$B$8,$D$4=Bron!$B$9,$D$4=Bron!$B$15),'Bouwkost NB'!$C64,IF($D$4=Bron!$B$10,'Bouwkost UITB'!$C63,IF($D$4=Bron!$B$11,'Bouwkost VERB'!$C63,IF($D$4=Bron!$B$12,'Bouwkost IER'!$C62,IF(OR($D$4=Bron!$B$13,$D$4=Bron!$B$14),'Bouwkost VOLT'!$C63,IF($D$4=Bron!$C$16,'Bouwkost AK+VERB'!$C63,0))))))</f>
        <v>0</v>
      </c>
      <c r="F51" s="89">
        <f>IF(OR($F$4=Bron!$B$8,$F$4=Bron!$B$9,$F$4=Bron!$B$15),'Bouwkost NB'!$C64,IF($F$4=Bron!$B$10,'Bouwkost UITB'!$C63,IF($F$4=Bron!$B$11,'Bouwkost VERB'!$C63,IF($F$4=Bron!$B$12,'Bouwkost IER'!$C62,IF(OR($F$4=Bron!$B$13,$F$4=Bron!$B$14),'Bouwkost VOLT'!$C63,IF($F$4=Bron!$C$16,'Bouwkost AK+VERB'!$C63,0))))))</f>
        <v>0</v>
      </c>
      <c r="H51" s="89">
        <f>IF(OR($H$4=Bron!$B$8,$H$4=Bron!$B$9,$H$4=Bron!$B$15),'Bouwkost NB'!$C64,IF($H$4=Bron!$B$10,'Bouwkost UITB'!$C63,IF($H$4=Bron!$B$11,'Bouwkost VERB'!$C63,IF($H$4=Bron!$B$12,'Bouwkost IER'!$C62,IF(OR($H$4=Bron!$B$13,$H$4=Bron!$B$14),'Bouwkost VOLT'!$C63,IF($H$4=Bron!$C$16,'Bouwkost AK+VERB'!$C63,0))))))</f>
        <v>0</v>
      </c>
      <c r="J51" s="89">
        <f>IF(OR($J$4=Bron!$B$8,$J$4=Bron!$B$9,$J$4=Bron!$B$15),'Bouwkost NB'!$N64,IF($J$4=Bron!$B$10,'Bouwkost UITB'!$N63,IF($J$4=Bron!$B$11,'Bouwkost VERB'!$N63,IF($J$4=Bron!$B$12,'Bouwkost IER'!$N62,IF(OR($J$4=Bron!$B$13,$J$4=Bron!$B$14),'Bouwkost VOLT'!$N63,IF($J$4=Bron!$C$16,'Bouwkost AK+VERB'!$N63,0))))))</f>
        <v>0</v>
      </c>
      <c r="L51" s="89">
        <f>IF(OR($L$4=Bron!$B$8,$L$4=Bron!$B$9,$L$4=Bron!$B$15),'Bouwkost NB'!$N64,IF($L$4=Bron!$B$10,'Bouwkost UITB'!$N63,IF($L$4=Bron!$B$11,'Bouwkost VERB'!$N63,IF($L$4=Bron!$B$12,'Bouwkost IER'!$N62,IF(OR($L$4=Bron!$B$13,$L$4=Bron!$B$14),'Bouwkost VOLT'!$N63,IF($L$4=Bron!$C$16,'Bouwkost AK+VERB'!$N63,0))))))</f>
        <v>0</v>
      </c>
      <c r="N51" s="89">
        <f>IF(OR($N$4=Bron!$B$8,$N$4=Bron!$B$9,,$N$4=Bron!$B$15),'Bouwkost NB'!$N64,IF($N$4=Bron!$B$10,'Bouwkost UITB'!$N63,IF($N$4=Bron!$B$11,'Bouwkost VERB'!$N63,IF($N$4=Bron!$B$12,'Bouwkost IER'!$N62,IF(OR($N$4=Bron!$B$13,$N$4=Bron!$B$14),'Bouwkost VOLT'!$N63,IF($N$4=Bron!$C$16,'Bouwkost AK+VERB'!$N63,0))))))</f>
        <v>0</v>
      </c>
      <c r="P51" s="89">
        <f>IF(OR($P$4=Bron!$B$8,$P$4=Bron!$B$9,$P$4=Bron!$B$15),'Bouwkost NB'!$N64,IF($P$4=Bron!$B$10,'Bouwkost UITB'!$N63,IF($P$4=Bron!$B$11,'Bouwkost VERB'!$N63,IF($P$4=Bron!$B$12,'Bouwkost IER'!$N62,IF(OR($P$4=Bron!$B$13,$P$4=Bron!$B$14),'Bouwkost VOLT'!$N63,IF($P$4=Bron!$C$16,'Bouwkost AK+VERB'!$N63,0))))))</f>
        <v>0</v>
      </c>
      <c r="R51" s="89">
        <f>IF(OR($R$4=Bron!$B$8,$R$4=Bron!$B$9,$R$4=Bron!$B$15),'Bouwkost NB'!$Y64,IF($R$4=Bron!$B$10,'Bouwkost UITB'!$Y63,IF($R$4=Bron!$B$11,'Bouwkost VERB'!$Y63,IF($R$4=Bron!$B$12,'Bouwkost IER'!$Y62,IF(OR($R$4=Bron!$B$13,$R$4=Bron!$B$14),'Bouwkost VOLT'!$Y63,IF($R$4=Bron!$C$16,'Bouwkost AK+VERB'!$Y63,0))))))</f>
        <v>0</v>
      </c>
      <c r="T51" s="89">
        <f>IF(OR($T$4=Bron!$B$8,$T$4=Bron!$B$9,$T$4=Bron!$B$15),'Bouwkost NB'!$Y64,IF($T$4=Bron!$B$10,'Bouwkost UITB'!$Y63,IF($T$4=Bron!$B$11,'Bouwkost VERB'!$Y63,IF($T$4=Bron!$B$12,'Bouwkost IER'!$Y62,IF(OR($T$4=Bron!$B$13,$T$4=Bron!$B$14),'Bouwkost VOLT'!$Y63,IF($T$4=Bron!$C$16,'Bouwkost AK+VERB'!$Y63,0))))))</f>
        <v>0</v>
      </c>
      <c r="V51" s="89">
        <f>IF(OR($N$4=Bron!$B$8,$N$4=Bron!$B$9,$N$4=Bron!$B$15),'Bouwkost NB'!$Y64,IF($N$4=Bron!$B$10,'Bouwkost UITB'!$Y63,IF($N$4=Bron!$B$11,'Bouwkost VERB'!$Y63,IF($N$4=Bron!$B$12,'Bouwkost IER'!$Y62,IF(OR($N$4=Bron!$B$13,$N$4=Bron!$B$14),'Bouwkost VOLT'!$Y63,IF($N$4=Bron!$C$16,'Bouwkost AK+VERB'!$Y63,0))))))</f>
        <v>0</v>
      </c>
      <c r="X51" s="89">
        <f>IF(OR($X$4=Bron!$B$8,$X$4=Bron!$B$9,$X$4=Bron!$B$15),'Bouwkost NB'!$Y64,IF($X$4=Bron!$B$10,'Bouwkost UITB'!$Y63,IF($X$4=Bron!$B$11,'Bouwkost VERB'!$Y63,IF($X$4=Bron!$B$12,'Bouwkost IER'!$Y62,IF(OR($X$4=Bron!$B$13,$X$4=Bron!$B$14),'Bouwkost VOLT'!$Y63,IF($X$4=Bron!$C$16,'Bouwkost AK+VERB'!$Y63,0))))))</f>
        <v>0</v>
      </c>
    </row>
    <row r="52" spans="1:24" x14ac:dyDescent="0.3">
      <c r="A52" s="636" t="s">
        <v>455</v>
      </c>
      <c r="B52" s="89">
        <f>IF(OR($B$4=Bron!$B$8,$B$4=Bron!$B$9,$B$4=Bron!$B$15),'Bouwkost NB'!$C65,IF($B$4=Bron!$B$10,'Bouwkost UITB'!$C64,IF($B$4=Bron!$B$11,'Bouwkost VERB'!$C64,IF($B$4=Bron!$B$12,'Bouwkost IER'!$C63,IF(OR($B$4=Bron!$B$13,$B$4=Bron!$B$14),'Bouwkost VOLT'!$C64,IF($B$4=Bron!$C$16,'Bouwkost AK+VERB'!$C64,0))))))</f>
        <v>0</v>
      </c>
      <c r="D52" s="89">
        <f>IF(OR($D$4=Bron!$B$8,$D$4=Bron!$B$9,$D$4=Bron!$B$15),'Bouwkost NB'!$C65,IF($D$4=Bron!$B$10,'Bouwkost UITB'!$C64,IF($D$4=Bron!$B$11,'Bouwkost VERB'!$C64,IF($D$4=Bron!$B$12,'Bouwkost IER'!$C63,IF(OR($D$4=Bron!$B$13,$D$4=Bron!$B$14),'Bouwkost VOLT'!$C64,IF($D$4=Bron!$C$16,'Bouwkost AK+VERB'!$C64,0))))))</f>
        <v>0</v>
      </c>
      <c r="F52" s="89">
        <f>IF(OR($F$4=Bron!$B$8,$F$4=Bron!$B$9,$F$4=Bron!$B$15),'Bouwkost NB'!$C65,IF($F$4=Bron!$B$10,'Bouwkost UITB'!$C64,IF($F$4=Bron!$B$11,'Bouwkost VERB'!$C64,IF($F$4=Bron!$B$12,'Bouwkost IER'!$C63,IF(OR($F$4=Bron!$B$13,$F$4=Bron!$B$14),'Bouwkost VOLT'!$C64,IF($F$4=Bron!$C$16,'Bouwkost AK+VERB'!$C64,0))))))</f>
        <v>0</v>
      </c>
      <c r="H52" s="89">
        <f>IF(OR($H$4=Bron!$B$8,$H$4=Bron!$B$9,$H$4=Bron!$B$15),'Bouwkost NB'!$C65,IF($H$4=Bron!$B$10,'Bouwkost UITB'!$C64,IF($H$4=Bron!$B$11,'Bouwkost VERB'!$C64,IF($H$4=Bron!$B$12,'Bouwkost IER'!$C63,IF(OR($H$4=Bron!$B$13,$H$4=Bron!$B$14),'Bouwkost VOLT'!$C64,IF($H$4=Bron!$C$16,'Bouwkost AK+VERB'!$C64,0))))))</f>
        <v>0</v>
      </c>
      <c r="J52" s="89">
        <f>IF(OR($J$4=Bron!$B$8,$J$4=Bron!$B$9,$J$4=Bron!$B$15),'Bouwkost NB'!$N65,IF($J$4=Bron!$B$10,'Bouwkost UITB'!$N64,IF($J$4=Bron!$B$11,'Bouwkost VERB'!$N64,IF($J$4=Bron!$B$12,'Bouwkost IER'!$N63,IF(OR($J$4=Bron!$B$13,$J$4=Bron!$B$14),'Bouwkost VOLT'!$N64,IF($J$4=Bron!$C$16,'Bouwkost AK+VERB'!$N64,0))))))</f>
        <v>0</v>
      </c>
      <c r="L52" s="89">
        <f>IF(OR($L$4=Bron!$B$8,$L$4=Bron!$B$9,$L$4=Bron!$B$15),'Bouwkost NB'!$N65,IF($L$4=Bron!$B$10,'Bouwkost UITB'!$N64,IF($L$4=Bron!$B$11,'Bouwkost VERB'!$N64,IF($L$4=Bron!$B$12,'Bouwkost IER'!$N63,IF(OR($L$4=Bron!$B$13,$L$4=Bron!$B$14),'Bouwkost VOLT'!$N64,IF($L$4=Bron!$C$16,'Bouwkost AK+VERB'!$N64,0))))))</f>
        <v>0</v>
      </c>
      <c r="N52" s="89">
        <f>IF(OR($N$4=Bron!$B$8,$N$4=Bron!$B$9,,$N$4=Bron!$B$15),'Bouwkost NB'!$N65,IF($N$4=Bron!$B$10,'Bouwkost UITB'!$N64,IF($N$4=Bron!$B$11,'Bouwkost VERB'!$N64,IF($N$4=Bron!$B$12,'Bouwkost IER'!$N63,IF(OR($N$4=Bron!$B$13,$N$4=Bron!$B$14),'Bouwkost VOLT'!$N64,IF($N$4=Bron!$C$16,'Bouwkost AK+VERB'!$N64,0))))))</f>
        <v>0</v>
      </c>
      <c r="P52" s="89">
        <f>IF(OR($P$4=Bron!$B$8,$P$4=Bron!$B$9,$P$4=Bron!$B$15),'Bouwkost NB'!$N65,IF($P$4=Bron!$B$10,'Bouwkost UITB'!$N64,IF($P$4=Bron!$B$11,'Bouwkost VERB'!$N64,IF($P$4=Bron!$B$12,'Bouwkost IER'!$N63,IF(OR($P$4=Bron!$B$13,$P$4=Bron!$B$14),'Bouwkost VOLT'!$N64,IF($P$4=Bron!$C$16,'Bouwkost AK+VERB'!$N64,0))))))</f>
        <v>0</v>
      </c>
      <c r="R52" s="89">
        <f>IF(OR($R$4=Bron!$B$8,$R$4=Bron!$B$9,$R$4=Bron!$B$15),'Bouwkost NB'!$Y65,IF($R$4=Bron!$B$10,'Bouwkost UITB'!$Y64,IF($R$4=Bron!$B$11,'Bouwkost VERB'!$Y64,IF($R$4=Bron!$B$12,'Bouwkost IER'!$Y63,IF(OR($R$4=Bron!$B$13,$R$4=Bron!$B$14),'Bouwkost VOLT'!$Y64,IF($R$4=Bron!$C$16,'Bouwkost AK+VERB'!$Y64,0))))))</f>
        <v>0</v>
      </c>
      <c r="T52" s="89">
        <f>IF(OR($T$4=Bron!$B$8,$T$4=Bron!$B$9,$T$4=Bron!$B$15),'Bouwkost NB'!$Y65,IF($T$4=Bron!$B$10,'Bouwkost UITB'!$Y64,IF($T$4=Bron!$B$11,'Bouwkost VERB'!$Y64,IF($T$4=Bron!$B$12,'Bouwkost IER'!$Y63,IF(OR($T$4=Bron!$B$13,$T$4=Bron!$B$14),'Bouwkost VOLT'!$Y64,IF($T$4=Bron!$C$16,'Bouwkost AK+VERB'!$Y64,0))))))</f>
        <v>0</v>
      </c>
      <c r="V52" s="89">
        <f>IF(OR($N$4=Bron!$B$8,$N$4=Bron!$B$9,$N$4=Bron!$B$15),'Bouwkost NB'!$Y65,IF($N$4=Bron!$B$10,'Bouwkost UITB'!$Y64,IF($N$4=Bron!$B$11,'Bouwkost VERB'!$Y64,IF($N$4=Bron!$B$12,'Bouwkost IER'!$Y63,IF(OR($N$4=Bron!$B$13,$N$4=Bron!$B$14),'Bouwkost VOLT'!$Y64,IF($N$4=Bron!$C$16,'Bouwkost AK+VERB'!$Y64,0))))))</f>
        <v>0</v>
      </c>
      <c r="X52" s="89">
        <f>IF(OR($X$4=Bron!$B$8,$X$4=Bron!$B$9,$X$4=Bron!$B$15),'Bouwkost NB'!$Y65,IF($X$4=Bron!$B$10,'Bouwkost UITB'!$Y64,IF($X$4=Bron!$B$11,'Bouwkost VERB'!$Y64,IF($X$4=Bron!$B$12,'Bouwkost IER'!$Y63,IF(OR($X$4=Bron!$B$13,$X$4=Bron!$B$14),'Bouwkost VOLT'!$Y64,IF($X$4=Bron!$C$16,'Bouwkost AK+VERB'!$Y64,0))))))</f>
        <v>0</v>
      </c>
    </row>
    <row r="53" spans="1:24" x14ac:dyDescent="0.3">
      <c r="A53" s="657" t="s">
        <v>456</v>
      </c>
      <c r="B53" s="89">
        <f>IF(OR($B$4=Bron!$B$8,$B$4=Bron!$B$9,$B$4=Bron!$B$15),'Bouwkost NB'!$C66,IF($B$4=Bron!$B$10,'Bouwkost UITB'!$C65,IF($B$4=Bron!$B$11,'Bouwkost VERB'!$C65,IF($B$4=Bron!$B$12,'Bouwkost IER'!$C64,IF(OR($B$4=Bron!$B$13,$B$4=Bron!$B$14),'Bouwkost VOLT'!$C65,IF($B$4=Bron!$C$16,'Bouwkost AK+VERB'!$C65,0))))))</f>
        <v>0</v>
      </c>
      <c r="D53" s="89">
        <f>IF(OR($D$4=Bron!$B$8,$D$4=Bron!$B$9,$D$4=Bron!$B$15),'Bouwkost NB'!$C66,IF($D$4=Bron!$B$10,'Bouwkost UITB'!$C65,IF($D$4=Bron!$B$11,'Bouwkost VERB'!$C65,IF($D$4=Bron!$B$12,'Bouwkost IER'!$C64,IF(OR($D$4=Bron!$B$13,$D$4=Bron!$B$14),'Bouwkost VOLT'!$C65,IF($D$4=Bron!$C$16,'Bouwkost AK+VERB'!$C65,0))))))</f>
        <v>0</v>
      </c>
      <c r="F53" s="89">
        <f>IF(OR($F$4=Bron!$B$8,$F$4=Bron!$B$9,$F$4=Bron!$B$15),'Bouwkost NB'!$C66,IF($F$4=Bron!$B$10,'Bouwkost UITB'!$C65,IF($F$4=Bron!$B$11,'Bouwkost VERB'!$C65,IF($F$4=Bron!$B$12,'Bouwkost IER'!$C64,IF(OR($F$4=Bron!$B$13,$F$4=Bron!$B$14),'Bouwkost VOLT'!$C65,IF($F$4=Bron!$C$16,'Bouwkost AK+VERB'!$C65,0))))))</f>
        <v>0</v>
      </c>
      <c r="H53" s="89">
        <f>IF(OR($H$4=Bron!$B$8,$H$4=Bron!$B$9,$H$4=Bron!$B$15),'Bouwkost NB'!$C66,IF($H$4=Bron!$B$10,'Bouwkost UITB'!$C65,IF($H$4=Bron!$B$11,'Bouwkost VERB'!$C65,IF($H$4=Bron!$B$12,'Bouwkost IER'!$C64,IF(OR($H$4=Bron!$B$13,$H$4=Bron!$B$14),'Bouwkost VOLT'!$C65,IF($H$4=Bron!$C$16,'Bouwkost AK+VERB'!$C65,0))))))</f>
        <v>0</v>
      </c>
      <c r="J53" s="89">
        <f>IF(OR($J$4=Bron!$B$8,$J$4=Bron!$B$9,$J$4=Bron!$B$15),'Bouwkost NB'!$N66,IF($J$4=Bron!$B$10,'Bouwkost UITB'!$N65,IF($J$4=Bron!$B$11,'Bouwkost VERB'!$N65,IF($J$4=Bron!$B$12,'Bouwkost IER'!$N64,IF(OR($J$4=Bron!$B$13,$J$4=Bron!$B$14),'Bouwkost VOLT'!$N65,IF($J$4=Bron!$C$16,'Bouwkost AK+VERB'!$N65,0))))))</f>
        <v>0</v>
      </c>
      <c r="L53" s="89">
        <f>IF(OR($L$4=Bron!$B$8,$L$4=Bron!$B$9,$L$4=Bron!$B$15),'Bouwkost NB'!$N66,IF($L$4=Bron!$B$10,'Bouwkost UITB'!$N65,IF($L$4=Bron!$B$11,'Bouwkost VERB'!$N65,IF($L$4=Bron!$B$12,'Bouwkost IER'!$N64,IF(OR($L$4=Bron!$B$13,$L$4=Bron!$B$14),'Bouwkost VOLT'!$N65,IF($L$4=Bron!$C$16,'Bouwkost AK+VERB'!$N65,0))))))</f>
        <v>0</v>
      </c>
      <c r="N53" s="89">
        <f>IF(OR($N$4=Bron!$B$8,$N$4=Bron!$B$9,,$N$4=Bron!$B$15),'Bouwkost NB'!$N66,IF($N$4=Bron!$B$10,'Bouwkost UITB'!$N65,IF($N$4=Bron!$B$11,'Bouwkost VERB'!$N65,IF($N$4=Bron!$B$12,'Bouwkost IER'!$N64,IF(OR($N$4=Bron!$B$13,$N$4=Bron!$B$14),'Bouwkost VOLT'!$N65,IF($N$4=Bron!$C$16,'Bouwkost AK+VERB'!$N65,0))))))</f>
        <v>0</v>
      </c>
      <c r="P53" s="89">
        <f>IF(OR($P$4=Bron!$B$8,$P$4=Bron!$B$9,$P$4=Bron!$B$15),'Bouwkost NB'!$N66,IF($P$4=Bron!$B$10,'Bouwkost UITB'!$N65,IF($P$4=Bron!$B$11,'Bouwkost VERB'!$N65,IF($P$4=Bron!$B$12,'Bouwkost IER'!$N64,IF(OR($P$4=Bron!$B$13,$P$4=Bron!$B$14),'Bouwkost VOLT'!$N65,IF($P$4=Bron!$C$16,'Bouwkost AK+VERB'!$N65,0))))))</f>
        <v>0</v>
      </c>
      <c r="R53" s="89">
        <f>IF(OR($R$4=Bron!$B$8,$R$4=Bron!$B$9,$R$4=Bron!$B$15),'Bouwkost NB'!$Y66,IF($R$4=Bron!$B$10,'Bouwkost UITB'!$Y65,IF($R$4=Bron!$B$11,'Bouwkost VERB'!$Y65,IF($R$4=Bron!$B$12,'Bouwkost IER'!$Y64,IF(OR($R$4=Bron!$B$13,$R$4=Bron!$B$14),'Bouwkost VOLT'!$Y65,IF($R$4=Bron!$C$16,'Bouwkost AK+VERB'!$Y65,0))))))</f>
        <v>0</v>
      </c>
      <c r="T53" s="89">
        <f>IF(OR($T$4=Bron!$B$8,$T$4=Bron!$B$9,$T$4=Bron!$B$15),'Bouwkost NB'!$Y66,IF($T$4=Bron!$B$10,'Bouwkost UITB'!$Y65,IF($T$4=Bron!$B$11,'Bouwkost VERB'!$Y65,IF($T$4=Bron!$B$12,'Bouwkost IER'!$Y64,IF(OR($T$4=Bron!$B$13,$T$4=Bron!$B$14),'Bouwkost VOLT'!$Y65,IF($T$4=Bron!$C$16,'Bouwkost AK+VERB'!$Y65,0))))))</f>
        <v>0</v>
      </c>
      <c r="V53" s="89">
        <f>IF(OR($N$4=Bron!$B$8,$N$4=Bron!$B$9,$N$4=Bron!$B$15),'Bouwkost NB'!$Y66,IF($N$4=Bron!$B$10,'Bouwkost UITB'!$Y65,IF($N$4=Bron!$B$11,'Bouwkost VERB'!$Y65,IF($N$4=Bron!$B$12,'Bouwkost IER'!$Y64,IF(OR($N$4=Bron!$B$13,$N$4=Bron!$B$14),'Bouwkost VOLT'!$Y65,IF($N$4=Bron!$C$16,'Bouwkost AK+VERB'!$Y65,0))))))</f>
        <v>0</v>
      </c>
      <c r="X53" s="89">
        <f>IF(OR($X$4=Bron!$B$8,$X$4=Bron!$B$9,$X$4=Bron!$B$15),'Bouwkost NB'!$Y66,IF($X$4=Bron!$B$10,'Bouwkost UITB'!$Y65,IF($X$4=Bron!$B$11,'Bouwkost VERB'!$Y65,IF($X$4=Bron!$B$12,'Bouwkost IER'!$Y64,IF(OR($X$4=Bron!$B$13,$X$4=Bron!$B$14),'Bouwkost VOLT'!$Y65,IF($X$4=Bron!$C$16,'Bouwkost AK+VERB'!$Y65,0))))))</f>
        <v>0</v>
      </c>
    </row>
    <row r="54" spans="1:24" x14ac:dyDescent="0.3">
      <c r="A54" s="657" t="s">
        <v>457</v>
      </c>
      <c r="B54" s="89">
        <f>IF(OR($B$4=Bron!$B$8,$B$4=Bron!$B$9,$B$4=Bron!$B$15),'Bouwkost NB'!$C67,IF($B$4=Bron!$B$10,'Bouwkost UITB'!$C66,IF($B$4=Bron!$B$11,'Bouwkost VERB'!$C66,IF($B$4=Bron!$B$12,'Bouwkost IER'!$C65,IF(OR($B$4=Bron!$B$13,$B$4=Bron!$B$14),'Bouwkost VOLT'!$C66,IF($B$4=Bron!$C$16,'Bouwkost AK+VERB'!$C66,0))))))</f>
        <v>0</v>
      </c>
      <c r="D54" s="89">
        <f>IF(OR($D$4=Bron!$B$8,$D$4=Bron!$B$9,$D$4=Bron!$B$15),'Bouwkost NB'!$C67,IF($D$4=Bron!$B$10,'Bouwkost UITB'!$C66,IF($D$4=Bron!$B$11,'Bouwkost VERB'!$C66,IF($D$4=Bron!$B$12,'Bouwkost IER'!$C65,IF(OR($D$4=Bron!$B$13,$D$4=Bron!$B$14),'Bouwkost VOLT'!$C66,IF($D$4=Bron!$C$16,'Bouwkost AK+VERB'!$C66,0))))))</f>
        <v>0</v>
      </c>
      <c r="F54" s="89">
        <f>IF(OR($F$4=Bron!$B$8,$F$4=Bron!$B$9,$F$4=Bron!$B$15),'Bouwkost NB'!$C67,IF($F$4=Bron!$B$10,'Bouwkost UITB'!$C66,IF($F$4=Bron!$B$11,'Bouwkost VERB'!$C66,IF($F$4=Bron!$B$12,'Bouwkost IER'!$C65,IF(OR($F$4=Bron!$B$13,$F$4=Bron!$B$14),'Bouwkost VOLT'!$C66,IF($F$4=Bron!$C$16,'Bouwkost AK+VERB'!$C66,0))))))</f>
        <v>0</v>
      </c>
      <c r="H54" s="89">
        <f>IF(OR($H$4=Bron!$B$8,$H$4=Bron!$B$9,$H$4=Bron!$B$15),'Bouwkost NB'!$C67,IF($H$4=Bron!$B$10,'Bouwkost UITB'!$C66,IF($H$4=Bron!$B$11,'Bouwkost VERB'!$C66,IF($H$4=Bron!$B$12,'Bouwkost IER'!$C65,IF(OR($H$4=Bron!$B$13,$H$4=Bron!$B$14),'Bouwkost VOLT'!$C66,IF($H$4=Bron!$C$16,'Bouwkost AK+VERB'!$C66,0))))))</f>
        <v>0</v>
      </c>
      <c r="J54" s="89">
        <f>IF(OR($J$4=Bron!$B$8,$J$4=Bron!$B$9,$J$4=Bron!$B$15),'Bouwkost NB'!$N67,IF($J$4=Bron!$B$10,'Bouwkost UITB'!$N66,IF($J$4=Bron!$B$11,'Bouwkost VERB'!$N66,IF($J$4=Bron!$B$12,'Bouwkost IER'!$N65,IF(OR($J$4=Bron!$B$13,$J$4=Bron!$B$14),'Bouwkost VOLT'!$N66,IF($J$4=Bron!$C$16,'Bouwkost AK+VERB'!$N66,0))))))</f>
        <v>0</v>
      </c>
      <c r="L54" s="89">
        <f>IF(OR($L$4=Bron!$B$8,$L$4=Bron!$B$9,$L$4=Bron!$B$15),'Bouwkost NB'!$N67,IF($L$4=Bron!$B$10,'Bouwkost UITB'!$N66,IF($L$4=Bron!$B$11,'Bouwkost VERB'!$N66,IF($L$4=Bron!$B$12,'Bouwkost IER'!$N65,IF(OR($L$4=Bron!$B$13,$L$4=Bron!$B$14),'Bouwkost VOLT'!$N66,IF($L$4=Bron!$C$16,'Bouwkost AK+VERB'!$N66,0))))))</f>
        <v>0</v>
      </c>
      <c r="N54" s="89">
        <f>IF(OR($N$4=Bron!$B$8,$N$4=Bron!$B$9,,$N$4=Bron!$B$15),'Bouwkost NB'!$N67,IF($N$4=Bron!$B$10,'Bouwkost UITB'!$N66,IF($N$4=Bron!$B$11,'Bouwkost VERB'!$N66,IF($N$4=Bron!$B$12,'Bouwkost IER'!$N65,IF(OR($N$4=Bron!$B$13,$N$4=Bron!$B$14),'Bouwkost VOLT'!$N66,IF($N$4=Bron!$C$16,'Bouwkost AK+VERB'!$N66,0))))))</f>
        <v>0</v>
      </c>
      <c r="P54" s="89">
        <f>IF(OR($P$4=Bron!$B$8,$P$4=Bron!$B$9,$P$4=Bron!$B$15),'Bouwkost NB'!$N67,IF($P$4=Bron!$B$10,'Bouwkost UITB'!$N66,IF($P$4=Bron!$B$11,'Bouwkost VERB'!$N66,IF($P$4=Bron!$B$12,'Bouwkost IER'!$N65,IF(OR($P$4=Bron!$B$13,$P$4=Bron!$B$14),'Bouwkost VOLT'!$N66,IF($P$4=Bron!$C$16,'Bouwkost AK+VERB'!$N66,0))))))</f>
        <v>0</v>
      </c>
      <c r="R54" s="89">
        <f>IF(OR($R$4=Bron!$B$8,$R$4=Bron!$B$9,$R$4=Bron!$B$15),'Bouwkost NB'!$Y67,IF($R$4=Bron!$B$10,'Bouwkost UITB'!$Y66,IF($R$4=Bron!$B$11,'Bouwkost VERB'!$Y66,IF($R$4=Bron!$B$12,'Bouwkost IER'!$Y65,IF(OR($R$4=Bron!$B$13,$R$4=Bron!$B$14),'Bouwkost VOLT'!$Y66,IF($R$4=Bron!$C$16,'Bouwkost AK+VERB'!$Y66,0))))))</f>
        <v>0</v>
      </c>
      <c r="T54" s="89">
        <f>IF(OR($T$4=Bron!$B$8,$T$4=Bron!$B$9,$T$4=Bron!$B$15),'Bouwkost NB'!$Y67,IF($T$4=Bron!$B$10,'Bouwkost UITB'!$Y66,IF($T$4=Bron!$B$11,'Bouwkost VERB'!$Y66,IF($T$4=Bron!$B$12,'Bouwkost IER'!$Y65,IF(OR($T$4=Bron!$B$13,$T$4=Bron!$B$14),'Bouwkost VOLT'!$Y66,IF($T$4=Bron!$C$16,'Bouwkost AK+VERB'!$Y66,0))))))</f>
        <v>0</v>
      </c>
      <c r="V54" s="89">
        <f>IF(OR($N$4=Bron!$B$8,$N$4=Bron!$B$9,$N$4=Bron!$B$15),'Bouwkost NB'!$Y67,IF($N$4=Bron!$B$10,'Bouwkost UITB'!$Y66,IF($N$4=Bron!$B$11,'Bouwkost VERB'!$Y66,IF($N$4=Bron!$B$12,'Bouwkost IER'!$Y65,IF(OR($N$4=Bron!$B$13,$N$4=Bron!$B$14),'Bouwkost VOLT'!$Y66,IF($N$4=Bron!$C$16,'Bouwkost AK+VERB'!$Y66,0))))))</f>
        <v>0</v>
      </c>
      <c r="X54" s="89">
        <f>IF(OR($X$4=Bron!$B$8,$X$4=Bron!$B$9,$X$4=Bron!$B$15),'Bouwkost NB'!$Y67,IF($X$4=Bron!$B$10,'Bouwkost UITB'!$Y66,IF($X$4=Bron!$B$11,'Bouwkost VERB'!$Y66,IF($X$4=Bron!$B$12,'Bouwkost IER'!$Y65,IF(OR($X$4=Bron!$B$13,$X$4=Bron!$B$14),'Bouwkost VOLT'!$Y66,IF($X$4=Bron!$C$16,'Bouwkost AK+VERB'!$Y66,0))))))</f>
        <v>0</v>
      </c>
    </row>
    <row r="55" spans="1:24" x14ac:dyDescent="0.3">
      <c r="A55" s="636" t="s">
        <v>458</v>
      </c>
      <c r="B55" s="89">
        <f>IF(OR($B$4=Bron!$B$8,$B$4=Bron!$B$9,$B$4=Bron!$B$15),'Bouwkost NB'!$C68,IF($B$4=Bron!$B$10,'Bouwkost UITB'!$C67,IF($B$4=Bron!$B$11,'Bouwkost VERB'!$C67,IF($B$4=Bron!$B$12,'Bouwkost IER'!$C66,IF(OR($B$4=Bron!$B$13,$B$4=Bron!$B$14),'Bouwkost VOLT'!$C67,IF($B$4=Bron!$C$16,'Bouwkost AK+VERB'!$C67,0))))))</f>
        <v>0</v>
      </c>
      <c r="D55" s="89">
        <f>IF(OR($D$4=Bron!$B$8,$D$4=Bron!$B$9,$D$4=Bron!$B$15),'Bouwkost NB'!$C68,IF($D$4=Bron!$B$10,'Bouwkost UITB'!$C67,IF($D$4=Bron!$B$11,'Bouwkost VERB'!$C67,IF($D$4=Bron!$B$12,'Bouwkost IER'!$C66,IF(OR($D$4=Bron!$B$13,$D$4=Bron!$B$14),'Bouwkost VOLT'!$C67,IF($D$4=Bron!$C$16,'Bouwkost AK+VERB'!$C67,0))))))</f>
        <v>0</v>
      </c>
      <c r="F55" s="89">
        <f>IF(OR($F$4=Bron!$B$8,$F$4=Bron!$B$9,$F$4=Bron!$B$15),'Bouwkost NB'!$C68,IF($F$4=Bron!$B$10,'Bouwkost UITB'!$C67,IF($F$4=Bron!$B$11,'Bouwkost VERB'!$C67,IF($F$4=Bron!$B$12,'Bouwkost IER'!$C66,IF(OR($F$4=Bron!$B$13,$F$4=Bron!$B$14),'Bouwkost VOLT'!$C67,IF($F$4=Bron!$C$16,'Bouwkost AK+VERB'!$C67,0))))))</f>
        <v>0</v>
      </c>
      <c r="H55" s="89">
        <f>IF(OR($H$4=Bron!$B$8,$H$4=Bron!$B$9,$H$4=Bron!$B$15),'Bouwkost NB'!$C68,IF($H$4=Bron!$B$10,'Bouwkost UITB'!$C67,IF($H$4=Bron!$B$11,'Bouwkost VERB'!$C67,IF($H$4=Bron!$B$12,'Bouwkost IER'!$C66,IF(OR($H$4=Bron!$B$13,$H$4=Bron!$B$14),'Bouwkost VOLT'!$C67,IF($H$4=Bron!$C$16,'Bouwkost AK+VERB'!$C67,0))))))</f>
        <v>0</v>
      </c>
      <c r="J55" s="89">
        <f>IF(OR($J$4=Bron!$B$8,$J$4=Bron!$B$9,$J$4=Bron!$B$15),'Bouwkost NB'!$N68,IF($J$4=Bron!$B$10,'Bouwkost UITB'!$N67,IF($J$4=Bron!$B$11,'Bouwkost VERB'!$N67,IF($J$4=Bron!$B$12,'Bouwkost IER'!$N66,IF(OR($J$4=Bron!$B$13,$J$4=Bron!$B$14),'Bouwkost VOLT'!$N67,IF($J$4=Bron!$C$16,'Bouwkost AK+VERB'!$N67,0))))))</f>
        <v>0</v>
      </c>
      <c r="L55" s="89">
        <f>IF(OR($L$4=Bron!$B$8,$L$4=Bron!$B$9,$L$4=Bron!$B$15),'Bouwkost NB'!$N68,IF($L$4=Bron!$B$10,'Bouwkost UITB'!$N67,IF($L$4=Bron!$B$11,'Bouwkost VERB'!$N67,IF($L$4=Bron!$B$12,'Bouwkost IER'!$N66,IF(OR($L$4=Bron!$B$13,$L$4=Bron!$B$14),'Bouwkost VOLT'!$N67,IF($L$4=Bron!$C$16,'Bouwkost AK+VERB'!$N67,0))))))</f>
        <v>0</v>
      </c>
      <c r="N55" s="89">
        <f>IF(OR($N$4=Bron!$B$8,$N$4=Bron!$B$9,,$N$4=Bron!$B$15),'Bouwkost NB'!$N68,IF($N$4=Bron!$B$10,'Bouwkost UITB'!$N67,IF($N$4=Bron!$B$11,'Bouwkost VERB'!$N67,IF($N$4=Bron!$B$12,'Bouwkost IER'!$N66,IF(OR($N$4=Bron!$B$13,$N$4=Bron!$B$14),'Bouwkost VOLT'!$N67,IF($N$4=Bron!$C$16,'Bouwkost AK+VERB'!$N67,0))))))</f>
        <v>0</v>
      </c>
      <c r="P55" s="89">
        <f>IF(OR($P$4=Bron!$B$8,$P$4=Bron!$B$9,$P$4=Bron!$B$15),'Bouwkost NB'!$N68,IF($P$4=Bron!$B$10,'Bouwkost UITB'!$N67,IF($P$4=Bron!$B$11,'Bouwkost VERB'!$N67,IF($P$4=Bron!$B$12,'Bouwkost IER'!$N66,IF(OR($P$4=Bron!$B$13,$P$4=Bron!$B$14),'Bouwkost VOLT'!$N67,IF($P$4=Bron!$C$16,'Bouwkost AK+VERB'!$N67,0))))))</f>
        <v>0</v>
      </c>
      <c r="R55" s="89">
        <f>IF(OR($R$4=Bron!$B$8,$R$4=Bron!$B$9,$R$4=Bron!$B$15),'Bouwkost NB'!$Y68,IF($R$4=Bron!$B$10,'Bouwkost UITB'!$Y67,IF($R$4=Bron!$B$11,'Bouwkost VERB'!$Y67,IF($R$4=Bron!$B$12,'Bouwkost IER'!$Y66,IF(OR($R$4=Bron!$B$13,$R$4=Bron!$B$14),'Bouwkost VOLT'!$Y67,IF($R$4=Bron!$C$16,'Bouwkost AK+VERB'!$Y67,0))))))</f>
        <v>0</v>
      </c>
      <c r="T55" s="89">
        <f>IF(OR($T$4=Bron!$B$8,$T$4=Bron!$B$9,$T$4=Bron!$B$15),'Bouwkost NB'!$Y68,IF($T$4=Bron!$B$10,'Bouwkost UITB'!$Y67,IF($T$4=Bron!$B$11,'Bouwkost VERB'!$Y67,IF($T$4=Bron!$B$12,'Bouwkost IER'!$Y66,IF(OR($T$4=Bron!$B$13,$T$4=Bron!$B$14),'Bouwkost VOLT'!$Y67,IF($T$4=Bron!$C$16,'Bouwkost AK+VERB'!$Y67,0))))))</f>
        <v>0</v>
      </c>
      <c r="V55" s="89">
        <f>IF(OR($N$4=Bron!$B$8,$N$4=Bron!$B$9,$N$4=Bron!$B$15),'Bouwkost NB'!$Y68,IF($N$4=Bron!$B$10,'Bouwkost UITB'!$Y67,IF($N$4=Bron!$B$11,'Bouwkost VERB'!$Y67,IF($N$4=Bron!$B$12,'Bouwkost IER'!$Y66,IF(OR($N$4=Bron!$B$13,$N$4=Bron!$B$14),'Bouwkost VOLT'!$Y67,IF($N$4=Bron!$C$16,'Bouwkost AK+VERB'!$Y67,0))))))</f>
        <v>0</v>
      </c>
      <c r="X55" s="89">
        <f>IF(OR($X$4=Bron!$B$8,$X$4=Bron!$B$9,$X$4=Bron!$B$15),'Bouwkost NB'!$Y68,IF($X$4=Bron!$B$10,'Bouwkost UITB'!$Y67,IF($X$4=Bron!$B$11,'Bouwkost VERB'!$Y67,IF($X$4=Bron!$B$12,'Bouwkost IER'!$Y66,IF(OR($X$4=Bron!$B$13,$X$4=Bron!$B$14),'Bouwkost VOLT'!$Y67,IF($X$4=Bron!$C$16,'Bouwkost AK+VERB'!$Y67,0))))))</f>
        <v>0</v>
      </c>
    </row>
    <row r="56" spans="1:24" x14ac:dyDescent="0.3">
      <c r="A56" s="636" t="s">
        <v>459</v>
      </c>
      <c r="B56" s="89">
        <f>IF(OR($B$4=Bron!$B$8,$B$4=Bron!$B$9,$B$4=Bron!$B$15),'Bouwkost NB'!$C69,IF($B$4=Bron!$B$10,'Bouwkost UITB'!$C68,IF($B$4=Bron!$B$11,'Bouwkost VERB'!$C68,IF($B$4=Bron!$B$12,'Bouwkost IER'!$C67,IF(OR($B$4=Bron!$B$13,$B$4=Bron!$B$14),'Bouwkost VOLT'!$C68,IF($B$4=Bron!$C$16,'Bouwkost AK+VERB'!$C68,0))))))</f>
        <v>0</v>
      </c>
      <c r="D56" s="89">
        <f>IF(OR($D$4=Bron!$B$8,$D$4=Bron!$B$9,$D$4=Bron!$B$15),'Bouwkost NB'!$C69,IF($D$4=Bron!$B$10,'Bouwkost UITB'!$C68,IF($D$4=Bron!$B$11,'Bouwkost VERB'!$C68,IF($D$4=Bron!$B$12,'Bouwkost IER'!$C67,IF(OR($D$4=Bron!$B$13,$D$4=Bron!$B$14),'Bouwkost VOLT'!$C68,IF($D$4=Bron!$C$16,'Bouwkost AK+VERB'!$C68,0))))))</f>
        <v>0</v>
      </c>
      <c r="F56" s="89">
        <f>IF(OR($F$4=Bron!$B$8,$F$4=Bron!$B$9,$F$4=Bron!$B$15),'Bouwkost NB'!$C69,IF($F$4=Bron!$B$10,'Bouwkost UITB'!$C68,IF($F$4=Bron!$B$11,'Bouwkost VERB'!$C68,IF($F$4=Bron!$B$12,'Bouwkost IER'!$C67,IF(OR($F$4=Bron!$B$13,$F$4=Bron!$B$14),'Bouwkost VOLT'!$C68,IF($F$4=Bron!$C$16,'Bouwkost AK+VERB'!$C68,0))))))</f>
        <v>0</v>
      </c>
      <c r="H56" s="89">
        <f>IF(OR($H$4=Bron!$B$8,$H$4=Bron!$B$9,$H$4=Bron!$B$15),'Bouwkost NB'!$C69,IF($H$4=Bron!$B$10,'Bouwkost UITB'!$C68,IF($H$4=Bron!$B$11,'Bouwkost VERB'!$C68,IF($H$4=Bron!$B$12,'Bouwkost IER'!$C67,IF(OR($H$4=Bron!$B$13,$H$4=Bron!$B$14),'Bouwkost VOLT'!$C68,IF($H$4=Bron!$C$16,'Bouwkost AK+VERB'!$C68,0))))))</f>
        <v>0</v>
      </c>
      <c r="J56" s="89">
        <f>IF(OR($J$4=Bron!$B$8,$J$4=Bron!$B$9,$J$4=Bron!$B$15),'Bouwkost NB'!$N69,IF($J$4=Bron!$B$10,'Bouwkost UITB'!$N68,IF($J$4=Bron!$B$11,'Bouwkost VERB'!$N68,IF($J$4=Bron!$B$12,'Bouwkost IER'!$N67,IF(OR($J$4=Bron!$B$13,$J$4=Bron!$B$14),'Bouwkost VOLT'!$N68,IF($J$4=Bron!$C$16,'Bouwkost AK+VERB'!$N68,0))))))</f>
        <v>0</v>
      </c>
      <c r="L56" s="89">
        <f>IF(OR($L$4=Bron!$B$8,$L$4=Bron!$B$9,$L$4=Bron!$B$15),'Bouwkost NB'!$N69,IF($L$4=Bron!$B$10,'Bouwkost UITB'!$N68,IF($L$4=Bron!$B$11,'Bouwkost VERB'!$N68,IF($L$4=Bron!$B$12,'Bouwkost IER'!$N67,IF(OR($L$4=Bron!$B$13,$L$4=Bron!$B$14),'Bouwkost VOLT'!$N68,IF($L$4=Bron!$C$16,'Bouwkost AK+VERB'!$N68,0))))))</f>
        <v>0</v>
      </c>
      <c r="N56" s="89">
        <f>IF(OR($N$4=Bron!$B$8,$N$4=Bron!$B$9,,$N$4=Bron!$B$15),'Bouwkost NB'!$N69,IF($N$4=Bron!$B$10,'Bouwkost UITB'!$N68,IF($N$4=Bron!$B$11,'Bouwkost VERB'!$N68,IF($N$4=Bron!$B$12,'Bouwkost IER'!$N67,IF(OR($N$4=Bron!$B$13,$N$4=Bron!$B$14),'Bouwkost VOLT'!$N68,IF($N$4=Bron!$C$16,'Bouwkost AK+VERB'!$N68,0))))))</f>
        <v>0</v>
      </c>
      <c r="P56" s="89">
        <f>IF(OR($P$4=Bron!$B$8,$P$4=Bron!$B$9,$P$4=Bron!$B$15),'Bouwkost NB'!$N69,IF($P$4=Bron!$B$10,'Bouwkost UITB'!$N68,IF($P$4=Bron!$B$11,'Bouwkost VERB'!$N68,IF($P$4=Bron!$B$12,'Bouwkost IER'!$N67,IF(OR($P$4=Bron!$B$13,$P$4=Bron!$B$14),'Bouwkost VOLT'!$N68,IF($P$4=Bron!$C$16,'Bouwkost AK+VERB'!$N68,0))))))</f>
        <v>0</v>
      </c>
      <c r="R56" s="89">
        <f>IF(OR($R$4=Bron!$B$8,$R$4=Bron!$B$9,$R$4=Bron!$B$15),'Bouwkost NB'!$Y69,IF($R$4=Bron!$B$10,'Bouwkost UITB'!$Y68,IF($R$4=Bron!$B$11,'Bouwkost VERB'!$Y68,IF($R$4=Bron!$B$12,'Bouwkost IER'!$Y67,IF(OR($R$4=Bron!$B$13,$R$4=Bron!$B$14),'Bouwkost VOLT'!$Y68,IF($R$4=Bron!$C$16,'Bouwkost AK+VERB'!$Y68,0))))))</f>
        <v>0</v>
      </c>
      <c r="T56" s="89">
        <f>IF(OR($T$4=Bron!$B$8,$T$4=Bron!$B$9,$T$4=Bron!$B$15),'Bouwkost NB'!$Y69,IF($T$4=Bron!$B$10,'Bouwkost UITB'!$Y68,IF($T$4=Bron!$B$11,'Bouwkost VERB'!$Y68,IF($T$4=Bron!$B$12,'Bouwkost IER'!$Y67,IF(OR($T$4=Bron!$B$13,$T$4=Bron!$B$14),'Bouwkost VOLT'!$Y68,IF($T$4=Bron!$C$16,'Bouwkost AK+VERB'!$Y68,0))))))</f>
        <v>0</v>
      </c>
      <c r="V56" s="89">
        <f>IF(OR($N$4=Bron!$B$8,$N$4=Bron!$B$9,$N$4=Bron!$B$15),'Bouwkost NB'!$Y69,IF($N$4=Bron!$B$10,'Bouwkost UITB'!$Y68,IF($N$4=Bron!$B$11,'Bouwkost VERB'!$Y68,IF($N$4=Bron!$B$12,'Bouwkost IER'!$Y67,IF(OR($N$4=Bron!$B$13,$N$4=Bron!$B$14),'Bouwkost VOLT'!$Y68,IF($N$4=Bron!$C$16,'Bouwkost AK+VERB'!$Y68,0))))))</f>
        <v>0</v>
      </c>
      <c r="X56" s="89">
        <f>IF(OR($X$4=Bron!$B$8,$X$4=Bron!$B$9,$X$4=Bron!$B$15),'Bouwkost NB'!$Y69,IF($X$4=Bron!$B$10,'Bouwkost UITB'!$Y68,IF($X$4=Bron!$B$11,'Bouwkost VERB'!$Y68,IF($X$4=Bron!$B$12,'Bouwkost IER'!$Y67,IF(OR($X$4=Bron!$B$13,$X$4=Bron!$B$14),'Bouwkost VOLT'!$Y68,IF($X$4=Bron!$C$16,'Bouwkost AK+VERB'!$Y68,0))))))</f>
        <v>0</v>
      </c>
    </row>
    <row r="57" spans="1:24" x14ac:dyDescent="0.3">
      <c r="A57" s="636" t="s">
        <v>460</v>
      </c>
      <c r="B57" s="89">
        <f>IF(OR($B$4=Bron!$B$8,$B$4=Bron!$B$9,$B$4=Bron!$B$15),'Bouwkost NB'!$C70,IF($B$4=Bron!$B$10,'Bouwkost UITB'!$C69,IF($B$4=Bron!$B$11,'Bouwkost VERB'!$C69,IF($B$4=Bron!$B$12,'Bouwkost IER'!$C68,IF(OR($B$4=Bron!$B$13,$B$4=Bron!$B$14),'Bouwkost VOLT'!$C69,IF($B$4=Bron!$C$16,'Bouwkost AK+VERB'!$C69,0))))))</f>
        <v>0</v>
      </c>
      <c r="D57" s="89">
        <f>IF(OR($D$4=Bron!$B$8,$D$4=Bron!$B$9,$D$4=Bron!$B$15),'Bouwkost NB'!$C70,IF($D$4=Bron!$B$10,'Bouwkost UITB'!$C69,IF($D$4=Bron!$B$11,'Bouwkost VERB'!$C69,IF($D$4=Bron!$B$12,'Bouwkost IER'!$C68,IF(OR($D$4=Bron!$B$13,$D$4=Bron!$B$14),'Bouwkost VOLT'!$C69,IF($D$4=Bron!$C$16,'Bouwkost AK+VERB'!$C69,0))))))</f>
        <v>0</v>
      </c>
      <c r="F57" s="89">
        <f>IF(OR($F$4=Bron!$B$8,$F$4=Bron!$B$9,$F$4=Bron!$B$15),'Bouwkost NB'!$C70,IF($F$4=Bron!$B$10,'Bouwkost UITB'!$C69,IF($F$4=Bron!$B$11,'Bouwkost VERB'!$C69,IF($F$4=Bron!$B$12,'Bouwkost IER'!$C68,IF(OR($F$4=Bron!$B$13,$F$4=Bron!$B$14),'Bouwkost VOLT'!$C69,IF($F$4=Bron!$C$16,'Bouwkost AK+VERB'!$C69,0))))))</f>
        <v>0</v>
      </c>
      <c r="H57" s="89">
        <f>IF(OR($H$4=Bron!$B$8,$H$4=Bron!$B$9,$H$4=Bron!$B$15),'Bouwkost NB'!$C70,IF($H$4=Bron!$B$10,'Bouwkost UITB'!$C69,IF($H$4=Bron!$B$11,'Bouwkost VERB'!$C69,IF($H$4=Bron!$B$12,'Bouwkost IER'!$C68,IF(OR($H$4=Bron!$B$13,$H$4=Bron!$B$14),'Bouwkost VOLT'!$C69,IF($H$4=Bron!$C$16,'Bouwkost AK+VERB'!$C69,0))))))</f>
        <v>0</v>
      </c>
      <c r="J57" s="89">
        <f>IF(OR($J$4=Bron!$B$8,$J$4=Bron!$B$9,$J$4=Bron!$B$15),'Bouwkost NB'!$N70,IF($J$4=Bron!$B$10,'Bouwkost UITB'!$N69,IF($J$4=Bron!$B$11,'Bouwkost VERB'!$N69,IF($J$4=Bron!$B$12,'Bouwkost IER'!$N68,IF(OR($J$4=Bron!$B$13,$J$4=Bron!$B$14),'Bouwkost VOLT'!$N69,IF($J$4=Bron!$C$16,'Bouwkost AK+VERB'!$N69,0))))))</f>
        <v>0</v>
      </c>
      <c r="L57" s="89">
        <f>IF(OR($L$4=Bron!$B$8,$L$4=Bron!$B$9,$L$4=Bron!$B$15),'Bouwkost NB'!$N70,IF($L$4=Bron!$B$10,'Bouwkost UITB'!$N69,IF($L$4=Bron!$B$11,'Bouwkost VERB'!$N69,IF($L$4=Bron!$B$12,'Bouwkost IER'!$N68,IF(OR($L$4=Bron!$B$13,$L$4=Bron!$B$14),'Bouwkost VOLT'!$N69,IF($L$4=Bron!$C$16,'Bouwkost AK+VERB'!$N69,0))))))</f>
        <v>0</v>
      </c>
      <c r="N57" s="89">
        <f>IF(OR($N$4=Bron!$B$8,$N$4=Bron!$B$9,,$N$4=Bron!$B$15),'Bouwkost NB'!$N70,IF($N$4=Bron!$B$10,'Bouwkost UITB'!$N69,IF($N$4=Bron!$B$11,'Bouwkost VERB'!$N69,IF($N$4=Bron!$B$12,'Bouwkost IER'!$N68,IF(OR($N$4=Bron!$B$13,$N$4=Bron!$B$14),'Bouwkost VOLT'!$N69,IF($N$4=Bron!$C$16,'Bouwkost AK+VERB'!$N69,0))))))</f>
        <v>0</v>
      </c>
      <c r="P57" s="89">
        <f>IF(OR($P$4=Bron!$B$8,$P$4=Bron!$B$9,$P$4=Bron!$B$15),'Bouwkost NB'!$N70,IF($P$4=Bron!$B$10,'Bouwkost UITB'!$N69,IF($P$4=Bron!$B$11,'Bouwkost VERB'!$N69,IF($P$4=Bron!$B$12,'Bouwkost IER'!$N68,IF(OR($P$4=Bron!$B$13,$P$4=Bron!$B$14),'Bouwkost VOLT'!$N69,IF($P$4=Bron!$C$16,'Bouwkost AK+VERB'!$N69,0))))))</f>
        <v>0</v>
      </c>
      <c r="R57" s="89">
        <f>IF(OR($R$4=Bron!$B$8,$R$4=Bron!$B$9,$R$4=Bron!$B$15),'Bouwkost NB'!$Y70,IF($R$4=Bron!$B$10,'Bouwkost UITB'!$Y69,IF($R$4=Bron!$B$11,'Bouwkost VERB'!$Y69,IF($R$4=Bron!$B$12,'Bouwkost IER'!$Y68,IF(OR($R$4=Bron!$B$13,$R$4=Bron!$B$14),'Bouwkost VOLT'!$Y69,IF($R$4=Bron!$C$16,'Bouwkost AK+VERB'!$Y69,0))))))</f>
        <v>0</v>
      </c>
      <c r="T57" s="89">
        <f>IF(OR($T$4=Bron!$B$8,$T$4=Bron!$B$9,$T$4=Bron!$B$15),'Bouwkost NB'!$Y70,IF($T$4=Bron!$B$10,'Bouwkost UITB'!$Y69,IF($T$4=Bron!$B$11,'Bouwkost VERB'!$Y69,IF($T$4=Bron!$B$12,'Bouwkost IER'!$Y68,IF(OR($T$4=Bron!$B$13,$T$4=Bron!$B$14),'Bouwkost VOLT'!$Y69,IF($T$4=Bron!$C$16,'Bouwkost AK+VERB'!$Y69,0))))))</f>
        <v>0</v>
      </c>
      <c r="V57" s="89">
        <f>IF(OR($N$4=Bron!$B$8,$N$4=Bron!$B$9,$N$4=Bron!$B$15),'Bouwkost NB'!$Y70,IF($N$4=Bron!$B$10,'Bouwkost UITB'!$Y69,IF($N$4=Bron!$B$11,'Bouwkost VERB'!$Y69,IF($N$4=Bron!$B$12,'Bouwkost IER'!$Y68,IF(OR($N$4=Bron!$B$13,$N$4=Bron!$B$14),'Bouwkost VOLT'!$Y69,IF($N$4=Bron!$C$16,'Bouwkost AK+VERB'!$Y69,0))))))</f>
        <v>0</v>
      </c>
      <c r="X57" s="89">
        <f>IF(OR($X$4=Bron!$B$8,$X$4=Bron!$B$9,$X$4=Bron!$B$15),'Bouwkost NB'!$Y70,IF($X$4=Bron!$B$10,'Bouwkost UITB'!$Y69,IF($X$4=Bron!$B$11,'Bouwkost VERB'!$Y69,IF($X$4=Bron!$B$12,'Bouwkost IER'!$Y68,IF(OR($X$4=Bron!$B$13,$X$4=Bron!$B$14),'Bouwkost VOLT'!$Y69,IF($X$4=Bron!$C$16,'Bouwkost AK+VERB'!$Y69,0))))))</f>
        <v>0</v>
      </c>
    </row>
    <row r="58" spans="1:24" x14ac:dyDescent="0.3">
      <c r="A58" s="657" t="s">
        <v>461</v>
      </c>
      <c r="B58" s="89">
        <f>IF(OR($B$4=Bron!$B$8,$B$4=Bron!$B$9,$B$4=Bron!$B$15),'Bouwkost NB'!$C71,IF($B$4=Bron!$B$10,'Bouwkost UITB'!$C70,IF($B$4=Bron!$B$11,'Bouwkost VERB'!$C70,IF($B$4=Bron!$B$12,'Bouwkost IER'!$C69,IF(OR($B$4=Bron!$B$13,$B$4=Bron!$B$14),'Bouwkost VOLT'!$C70,IF($B$4=Bron!$C$16,'Bouwkost AK+VERB'!$C70,0))))))</f>
        <v>0</v>
      </c>
      <c r="D58" s="89">
        <f>IF(OR($D$4=Bron!$B$8,$D$4=Bron!$B$9,$D$4=Bron!$B$15),'Bouwkost NB'!$C71,IF($D$4=Bron!$B$10,'Bouwkost UITB'!$C70,IF($D$4=Bron!$B$11,'Bouwkost VERB'!$C70,IF($D$4=Bron!$B$12,'Bouwkost IER'!$C69,IF(OR($D$4=Bron!$B$13,$D$4=Bron!$B$14),'Bouwkost VOLT'!$C70,IF($D$4=Bron!$C$16,'Bouwkost AK+VERB'!$C70,0))))))</f>
        <v>0</v>
      </c>
      <c r="F58" s="89">
        <f>IF(OR($F$4=Bron!$B$8,$F$4=Bron!$B$9,$F$4=Bron!$B$15),'Bouwkost NB'!$C71,IF($F$4=Bron!$B$10,'Bouwkost UITB'!$C70,IF($F$4=Bron!$B$11,'Bouwkost VERB'!$C70,IF($F$4=Bron!$B$12,'Bouwkost IER'!$C69,IF(OR($F$4=Bron!$B$13,$F$4=Bron!$B$14),'Bouwkost VOLT'!$C70,IF($F$4=Bron!$C$16,'Bouwkost AK+VERB'!$C70,0))))))</f>
        <v>0</v>
      </c>
      <c r="H58" s="89">
        <f>IF(OR($H$4=Bron!$B$8,$H$4=Bron!$B$9,$H$4=Bron!$B$15),'Bouwkost NB'!$C71,IF($H$4=Bron!$B$10,'Bouwkost UITB'!$C70,IF($H$4=Bron!$B$11,'Bouwkost VERB'!$C70,IF($H$4=Bron!$B$12,'Bouwkost IER'!$C69,IF(OR($H$4=Bron!$B$13,$H$4=Bron!$B$14),'Bouwkost VOLT'!$C70,IF($H$4=Bron!$C$16,'Bouwkost AK+VERB'!$C70,0))))))</f>
        <v>0</v>
      </c>
      <c r="J58" s="89">
        <f>IF(OR($J$4=Bron!$B$8,$J$4=Bron!$B$9,$J$4=Bron!$B$15),'Bouwkost NB'!$N71,IF($J$4=Bron!$B$10,'Bouwkost UITB'!$N70,IF($J$4=Bron!$B$11,'Bouwkost VERB'!$N70,IF($J$4=Bron!$B$12,'Bouwkost IER'!$N69,IF(OR($J$4=Bron!$B$13,$J$4=Bron!$B$14),'Bouwkost VOLT'!$N70,IF($J$4=Bron!$C$16,'Bouwkost AK+VERB'!$N70,0))))))</f>
        <v>0</v>
      </c>
      <c r="L58" s="89">
        <f>IF(OR($L$4=Bron!$B$8,$L$4=Bron!$B$9,$L$4=Bron!$B$15),'Bouwkost NB'!$N71,IF($L$4=Bron!$B$10,'Bouwkost UITB'!$N70,IF($L$4=Bron!$B$11,'Bouwkost VERB'!$N70,IF($L$4=Bron!$B$12,'Bouwkost IER'!$N69,IF(OR($L$4=Bron!$B$13,$L$4=Bron!$B$14),'Bouwkost VOLT'!$N70,IF($L$4=Bron!$C$16,'Bouwkost AK+VERB'!$N70,0))))))</f>
        <v>0</v>
      </c>
      <c r="N58" s="89">
        <f>IF(OR($N$4=Bron!$B$8,$N$4=Bron!$B$9,,$N$4=Bron!$B$15),'Bouwkost NB'!$N71,IF($N$4=Bron!$B$10,'Bouwkost UITB'!$N70,IF($N$4=Bron!$B$11,'Bouwkost VERB'!$N70,IF($N$4=Bron!$B$12,'Bouwkost IER'!$N69,IF(OR($N$4=Bron!$B$13,$N$4=Bron!$B$14),'Bouwkost VOLT'!$N70,IF($N$4=Bron!$C$16,'Bouwkost AK+VERB'!$N70,0))))))</f>
        <v>0</v>
      </c>
      <c r="P58" s="89">
        <f>IF(OR($P$4=Bron!$B$8,$P$4=Bron!$B$9,$P$4=Bron!$B$15),'Bouwkost NB'!$N71,IF($P$4=Bron!$B$10,'Bouwkost UITB'!$N70,IF($P$4=Bron!$B$11,'Bouwkost VERB'!$N70,IF($P$4=Bron!$B$12,'Bouwkost IER'!$N69,IF(OR($P$4=Bron!$B$13,$P$4=Bron!$B$14),'Bouwkost VOLT'!$N70,IF($P$4=Bron!$C$16,'Bouwkost AK+VERB'!$N70,0))))))</f>
        <v>0</v>
      </c>
      <c r="R58" s="89">
        <f>IF(OR($R$4=Bron!$B$8,$R$4=Bron!$B$9,$R$4=Bron!$B$15),'Bouwkost NB'!$Y71,IF($R$4=Bron!$B$10,'Bouwkost UITB'!$Y70,IF($R$4=Bron!$B$11,'Bouwkost VERB'!$Y70,IF($R$4=Bron!$B$12,'Bouwkost IER'!$Y69,IF(OR($R$4=Bron!$B$13,$R$4=Bron!$B$14),'Bouwkost VOLT'!$Y70,IF($R$4=Bron!$C$16,'Bouwkost AK+VERB'!$Y70,0))))))</f>
        <v>0</v>
      </c>
      <c r="T58" s="89">
        <f>IF(OR($T$4=Bron!$B$8,$T$4=Bron!$B$9,$T$4=Bron!$B$15),'Bouwkost NB'!$Y71,IF($T$4=Bron!$B$10,'Bouwkost UITB'!$Y70,IF($T$4=Bron!$B$11,'Bouwkost VERB'!$Y70,IF($T$4=Bron!$B$12,'Bouwkost IER'!$Y69,IF(OR($T$4=Bron!$B$13,$T$4=Bron!$B$14),'Bouwkost VOLT'!$Y70,IF($T$4=Bron!$C$16,'Bouwkost AK+VERB'!$Y70,0))))))</f>
        <v>0</v>
      </c>
      <c r="V58" s="89">
        <f>IF(OR($N$4=Bron!$B$8,$N$4=Bron!$B$9,$N$4=Bron!$B$15),'Bouwkost NB'!$Y71,IF($N$4=Bron!$B$10,'Bouwkost UITB'!$Y70,IF($N$4=Bron!$B$11,'Bouwkost VERB'!$Y70,IF($N$4=Bron!$B$12,'Bouwkost IER'!$Y69,IF(OR($N$4=Bron!$B$13,$N$4=Bron!$B$14),'Bouwkost VOLT'!$Y70,IF($N$4=Bron!$C$16,'Bouwkost AK+VERB'!$Y70,0))))))</f>
        <v>0</v>
      </c>
      <c r="X58" s="89">
        <f>IF(OR($X$4=Bron!$B$8,$X$4=Bron!$B$9,$X$4=Bron!$B$15),'Bouwkost NB'!$Y71,IF($X$4=Bron!$B$10,'Bouwkost UITB'!$Y70,IF($X$4=Bron!$B$11,'Bouwkost VERB'!$Y70,IF($X$4=Bron!$B$12,'Bouwkost IER'!$Y69,IF(OR($X$4=Bron!$B$13,$X$4=Bron!$B$14),'Bouwkost VOLT'!$Y70,IF($X$4=Bron!$C$16,'Bouwkost AK+VERB'!$Y70,0))))))</f>
        <v>0</v>
      </c>
    </row>
    <row r="59" spans="1:24" x14ac:dyDescent="0.3">
      <c r="A59" s="636" t="s">
        <v>462</v>
      </c>
      <c r="B59" s="89">
        <f>IF(OR($B$4=Bron!$B$8,$B$4=Bron!$B$9,$B$4=Bron!$B$15),'Bouwkost NB'!$C72,IF($B$4=Bron!$B$10,'Bouwkost UITB'!$C71,IF($B$4=Bron!$B$11,'Bouwkost VERB'!$C71,IF($B$4=Bron!$B$12,'Bouwkost IER'!$C70,IF(OR($B$4=Bron!$B$13,$B$4=Bron!$B$14),'Bouwkost VOLT'!$C71,IF($B$4=Bron!$C$16,'Bouwkost AK+VERB'!$C71,0))))))</f>
        <v>0</v>
      </c>
      <c r="D59" s="89">
        <f>IF(OR($D$4=Bron!$B$8,$D$4=Bron!$B$9,$D$4=Bron!$B$15),'Bouwkost NB'!$C72,IF($D$4=Bron!$B$10,'Bouwkost UITB'!$C71,IF($D$4=Bron!$B$11,'Bouwkost VERB'!$C71,IF($D$4=Bron!$B$12,'Bouwkost IER'!$C70,IF(OR($D$4=Bron!$B$13,$D$4=Bron!$B$14),'Bouwkost VOLT'!$C71,IF($D$4=Bron!$C$16,'Bouwkost AK+VERB'!$C71,0))))))</f>
        <v>0</v>
      </c>
      <c r="F59" s="89">
        <f>IF(OR($F$4=Bron!$B$8,$F$4=Bron!$B$9,$F$4=Bron!$B$15),'Bouwkost NB'!$C72,IF($F$4=Bron!$B$10,'Bouwkost UITB'!$C71,IF($F$4=Bron!$B$11,'Bouwkost VERB'!$C71,IF($F$4=Bron!$B$12,'Bouwkost IER'!$C70,IF(OR($F$4=Bron!$B$13,$F$4=Bron!$B$14),'Bouwkost VOLT'!$C71,IF($F$4=Bron!$C$16,'Bouwkost AK+VERB'!$C71,0))))))</f>
        <v>0</v>
      </c>
      <c r="H59" s="89">
        <f>IF(OR($H$4=Bron!$B$8,$H$4=Bron!$B$9,$H$4=Bron!$B$15),'Bouwkost NB'!$C72,IF($H$4=Bron!$B$10,'Bouwkost UITB'!$C71,IF($H$4=Bron!$B$11,'Bouwkost VERB'!$C71,IF($H$4=Bron!$B$12,'Bouwkost IER'!$C70,IF(OR($H$4=Bron!$B$13,$H$4=Bron!$B$14),'Bouwkost VOLT'!$C71,IF($H$4=Bron!$C$16,'Bouwkost AK+VERB'!$C71,0))))))</f>
        <v>0</v>
      </c>
      <c r="J59" s="89">
        <f>IF(OR($J$4=Bron!$B$8,$J$4=Bron!$B$9,$J$4=Bron!$B$15),'Bouwkost NB'!$N72,IF($J$4=Bron!$B$10,'Bouwkost UITB'!$N71,IF($J$4=Bron!$B$11,'Bouwkost VERB'!$N71,IF($J$4=Bron!$B$12,'Bouwkost IER'!$N70,IF(OR($J$4=Bron!$B$13,$J$4=Bron!$B$14),'Bouwkost VOLT'!$N71,IF($J$4=Bron!$C$16,'Bouwkost AK+VERB'!$N71,0))))))</f>
        <v>0</v>
      </c>
      <c r="L59" s="89">
        <f>IF(OR($L$4=Bron!$B$8,$L$4=Bron!$B$9,$L$4=Bron!$B$15),'Bouwkost NB'!$N72,IF($L$4=Bron!$B$10,'Bouwkost UITB'!$N71,IF($L$4=Bron!$B$11,'Bouwkost VERB'!$N71,IF($L$4=Bron!$B$12,'Bouwkost IER'!$N70,IF(OR($L$4=Bron!$B$13,$L$4=Bron!$B$14),'Bouwkost VOLT'!$N71,IF($L$4=Bron!$C$16,'Bouwkost AK+VERB'!$N71,0))))))</f>
        <v>0</v>
      </c>
      <c r="N59" s="89">
        <f>IF(OR($N$4=Bron!$B$8,$N$4=Bron!$B$9,,$N$4=Bron!$B$15),'Bouwkost NB'!$N72,IF($N$4=Bron!$B$10,'Bouwkost UITB'!$N71,IF($N$4=Bron!$B$11,'Bouwkost VERB'!$N71,IF($N$4=Bron!$B$12,'Bouwkost IER'!$N70,IF(OR($N$4=Bron!$B$13,$N$4=Bron!$B$14),'Bouwkost VOLT'!$N71,IF($N$4=Bron!$C$16,'Bouwkost AK+VERB'!$N71,0))))))</f>
        <v>0</v>
      </c>
      <c r="P59" s="89">
        <f>IF(OR($P$4=Bron!$B$8,$P$4=Bron!$B$9,$P$4=Bron!$B$15),'Bouwkost NB'!$N72,IF($P$4=Bron!$B$10,'Bouwkost UITB'!$N71,IF($P$4=Bron!$B$11,'Bouwkost VERB'!$N71,IF($P$4=Bron!$B$12,'Bouwkost IER'!$N70,IF(OR($P$4=Bron!$B$13,$P$4=Bron!$B$14),'Bouwkost VOLT'!$N71,IF($P$4=Bron!$C$16,'Bouwkost AK+VERB'!$N71,0))))))</f>
        <v>0</v>
      </c>
      <c r="R59" s="89">
        <f>IF(OR($R$4=Bron!$B$8,$R$4=Bron!$B$9,$R$4=Bron!$B$15),'Bouwkost NB'!$Y72,IF($R$4=Bron!$B$10,'Bouwkost UITB'!$Y71,IF($R$4=Bron!$B$11,'Bouwkost VERB'!$Y71,IF($R$4=Bron!$B$12,'Bouwkost IER'!$Y70,IF(OR($R$4=Bron!$B$13,$R$4=Bron!$B$14),'Bouwkost VOLT'!$Y71,IF($R$4=Bron!$C$16,'Bouwkost AK+VERB'!$Y71,0))))))</f>
        <v>0</v>
      </c>
      <c r="T59" s="89">
        <f>IF(OR($T$4=Bron!$B$8,$T$4=Bron!$B$9,$T$4=Bron!$B$15),'Bouwkost NB'!$Y72,IF($T$4=Bron!$B$10,'Bouwkost UITB'!$Y71,IF($T$4=Bron!$B$11,'Bouwkost VERB'!$Y71,IF($T$4=Bron!$B$12,'Bouwkost IER'!$Y70,IF(OR($T$4=Bron!$B$13,$T$4=Bron!$B$14),'Bouwkost VOLT'!$Y71,IF($T$4=Bron!$C$16,'Bouwkost AK+VERB'!$Y71,0))))))</f>
        <v>0</v>
      </c>
      <c r="V59" s="89">
        <f>IF(OR($N$4=Bron!$B$8,$N$4=Bron!$B$9,$N$4=Bron!$B$15),'Bouwkost NB'!$Y72,IF($N$4=Bron!$B$10,'Bouwkost UITB'!$Y71,IF($N$4=Bron!$B$11,'Bouwkost VERB'!$Y71,IF($N$4=Bron!$B$12,'Bouwkost IER'!$Y70,IF(OR($N$4=Bron!$B$13,$N$4=Bron!$B$14),'Bouwkost VOLT'!$Y71,IF($N$4=Bron!$C$16,'Bouwkost AK+VERB'!$Y71,0))))))</f>
        <v>0</v>
      </c>
      <c r="X59" s="89">
        <f>IF(OR($X$4=Bron!$B$8,$X$4=Bron!$B$9,$X$4=Bron!$B$15),'Bouwkost NB'!$Y72,IF($X$4=Bron!$B$10,'Bouwkost UITB'!$Y71,IF($X$4=Bron!$B$11,'Bouwkost VERB'!$Y71,IF($X$4=Bron!$B$12,'Bouwkost IER'!$Y70,IF(OR($X$4=Bron!$B$13,$X$4=Bron!$B$14),'Bouwkost VOLT'!$Y71,IF($X$4=Bron!$C$16,'Bouwkost AK+VERB'!$Y71,0))))))</f>
        <v>0</v>
      </c>
    </row>
    <row r="60" spans="1:24" x14ac:dyDescent="0.3">
      <c r="A60" s="657" t="s">
        <v>463</v>
      </c>
      <c r="B60" s="89">
        <f>IF(OR($B$4=Bron!$B$8,$B$4=Bron!$B$9,$B$4=Bron!$B$15),'Bouwkost NB'!$C73,IF($B$4=Bron!$B$10,'Bouwkost UITB'!$C72,IF($B$4=Bron!$B$11,'Bouwkost VERB'!$C72,IF($B$4=Bron!$B$12,'Bouwkost IER'!$C71,IF(OR($B$4=Bron!$B$13,$B$4=Bron!$B$14),'Bouwkost VOLT'!$C72,IF($B$4=Bron!$C$16,'Bouwkost AK+VERB'!$C72,0))))))</f>
        <v>0</v>
      </c>
      <c r="D60" s="89">
        <f>IF(OR($D$4=Bron!$B$8,$D$4=Bron!$B$9,$D$4=Bron!$B$15),'Bouwkost NB'!$C73,IF($D$4=Bron!$B$10,'Bouwkost UITB'!$C72,IF($D$4=Bron!$B$11,'Bouwkost VERB'!$C72,IF($D$4=Bron!$B$12,'Bouwkost IER'!$C71,IF(OR($D$4=Bron!$B$13,$D$4=Bron!$B$14),'Bouwkost VOLT'!$C72,IF($D$4=Bron!$C$16,'Bouwkost AK+VERB'!$C72,0))))))</f>
        <v>0</v>
      </c>
      <c r="F60" s="89">
        <f>IF(OR($F$4=Bron!$B$8,$F$4=Bron!$B$9,$F$4=Bron!$B$15),'Bouwkost NB'!$C73,IF($F$4=Bron!$B$10,'Bouwkost UITB'!$C72,IF($F$4=Bron!$B$11,'Bouwkost VERB'!$C72,IF($F$4=Bron!$B$12,'Bouwkost IER'!$C71,IF(OR($F$4=Bron!$B$13,$F$4=Bron!$B$14),'Bouwkost VOLT'!$C72,IF($F$4=Bron!$C$16,'Bouwkost AK+VERB'!$C72,0))))))</f>
        <v>0</v>
      </c>
      <c r="H60" s="89">
        <f>IF(OR($H$4=Bron!$B$8,$H$4=Bron!$B$9,$H$4=Bron!$B$15),'Bouwkost NB'!$C73,IF($H$4=Bron!$B$10,'Bouwkost UITB'!$C72,IF($H$4=Bron!$B$11,'Bouwkost VERB'!$C72,IF($H$4=Bron!$B$12,'Bouwkost IER'!$C71,IF(OR($H$4=Bron!$B$13,$H$4=Bron!$B$14),'Bouwkost VOLT'!$C72,IF($H$4=Bron!$C$16,'Bouwkost AK+VERB'!$C72,0))))))</f>
        <v>0</v>
      </c>
      <c r="J60" s="89">
        <f>IF(OR($J$4=Bron!$B$8,$J$4=Bron!$B$9,$J$4=Bron!$B$15),'Bouwkost NB'!$N73,IF($J$4=Bron!$B$10,'Bouwkost UITB'!$N72,IF($J$4=Bron!$B$11,'Bouwkost VERB'!$N72,IF($J$4=Bron!$B$12,'Bouwkost IER'!$N71,IF(OR($J$4=Bron!$B$13,$J$4=Bron!$B$14),'Bouwkost VOLT'!$N72,IF($J$4=Bron!$C$16,'Bouwkost AK+VERB'!$N72,0))))))</f>
        <v>0</v>
      </c>
      <c r="L60" s="89">
        <f>IF(OR($L$4=Bron!$B$8,$L$4=Bron!$B$9,$L$4=Bron!$B$15),'Bouwkost NB'!$N73,IF($L$4=Bron!$B$10,'Bouwkost UITB'!$N72,IF($L$4=Bron!$B$11,'Bouwkost VERB'!$N72,IF($L$4=Bron!$B$12,'Bouwkost IER'!$N71,IF(OR($L$4=Bron!$B$13,$L$4=Bron!$B$14),'Bouwkost VOLT'!$N72,IF($L$4=Bron!$C$16,'Bouwkost AK+VERB'!$N72,0))))))</f>
        <v>0</v>
      </c>
      <c r="N60" s="89">
        <f>IF(OR($N$4=Bron!$B$8,$N$4=Bron!$B$9,,$N$4=Bron!$B$15),'Bouwkost NB'!$N73,IF($N$4=Bron!$B$10,'Bouwkost UITB'!$N72,IF($N$4=Bron!$B$11,'Bouwkost VERB'!$N72,IF($N$4=Bron!$B$12,'Bouwkost IER'!$N71,IF(OR($N$4=Bron!$B$13,$N$4=Bron!$B$14),'Bouwkost VOLT'!$N72,IF($N$4=Bron!$C$16,'Bouwkost AK+VERB'!$N72,0))))))</f>
        <v>0</v>
      </c>
      <c r="P60" s="89">
        <f>IF(OR($P$4=Bron!$B$8,$P$4=Bron!$B$9,$P$4=Bron!$B$15),'Bouwkost NB'!$N73,IF($P$4=Bron!$B$10,'Bouwkost UITB'!$N72,IF($P$4=Bron!$B$11,'Bouwkost VERB'!$N72,IF($P$4=Bron!$B$12,'Bouwkost IER'!$N71,IF(OR($P$4=Bron!$B$13,$P$4=Bron!$B$14),'Bouwkost VOLT'!$N72,IF($P$4=Bron!$C$16,'Bouwkost AK+VERB'!$N72,0))))))</f>
        <v>0</v>
      </c>
      <c r="R60" s="89">
        <f>IF(OR($R$4=Bron!$B$8,$R$4=Bron!$B$9,$R$4=Bron!$B$15),'Bouwkost NB'!$Y73,IF($R$4=Bron!$B$10,'Bouwkost UITB'!$Y72,IF($R$4=Bron!$B$11,'Bouwkost VERB'!$Y72,IF($R$4=Bron!$B$12,'Bouwkost IER'!$Y71,IF(OR($R$4=Bron!$B$13,$R$4=Bron!$B$14),'Bouwkost VOLT'!$Y72,IF($R$4=Bron!$C$16,'Bouwkost AK+VERB'!$Y72,0))))))</f>
        <v>0</v>
      </c>
      <c r="T60" s="89">
        <f>IF(OR($T$4=Bron!$B$8,$T$4=Bron!$B$9,$T$4=Bron!$B$15),'Bouwkost NB'!$Y73,IF($T$4=Bron!$B$10,'Bouwkost UITB'!$Y72,IF($T$4=Bron!$B$11,'Bouwkost VERB'!$Y72,IF($T$4=Bron!$B$12,'Bouwkost IER'!$Y71,IF(OR($T$4=Bron!$B$13,$T$4=Bron!$B$14),'Bouwkost VOLT'!$Y72,IF($T$4=Bron!$C$16,'Bouwkost AK+VERB'!$Y72,0))))))</f>
        <v>0</v>
      </c>
      <c r="V60" s="89">
        <f>IF(OR($N$4=Bron!$B$8,$N$4=Bron!$B$9,$N$4=Bron!$B$15),'Bouwkost NB'!$Y73,IF($N$4=Bron!$B$10,'Bouwkost UITB'!$Y72,IF($N$4=Bron!$B$11,'Bouwkost VERB'!$Y72,IF($N$4=Bron!$B$12,'Bouwkost IER'!$Y71,IF(OR($N$4=Bron!$B$13,$N$4=Bron!$B$14),'Bouwkost VOLT'!$Y72,IF($N$4=Bron!$C$16,'Bouwkost AK+VERB'!$Y72,0))))))</f>
        <v>0</v>
      </c>
      <c r="X60" s="89">
        <f>IF(OR($X$4=Bron!$B$8,$X$4=Bron!$B$9,$X$4=Bron!$B$15),'Bouwkost NB'!$Y73,IF($X$4=Bron!$B$10,'Bouwkost UITB'!$Y72,IF($X$4=Bron!$B$11,'Bouwkost VERB'!$Y72,IF($X$4=Bron!$B$12,'Bouwkost IER'!$Y71,IF(OR($X$4=Bron!$B$13,$X$4=Bron!$B$14),'Bouwkost VOLT'!$Y72,IF($X$4=Bron!$C$16,'Bouwkost AK+VERB'!$Y72,0))))))</f>
        <v>0</v>
      </c>
    </row>
    <row r="61" spans="1:24" x14ac:dyDescent="0.3">
      <c r="A61" s="657" t="s">
        <v>464</v>
      </c>
      <c r="B61" s="89">
        <f>IF(OR($B$4=Bron!$B$8,$B$4=Bron!$B$9,$B$4=Bron!$B$15),'Bouwkost NB'!$C74,IF($B$4=Bron!$B$10,'Bouwkost UITB'!$C73,IF($B$4=Bron!$B$11,'Bouwkost VERB'!$C73,IF($B$4=Bron!$B$12,'Bouwkost IER'!$C72,IF(OR($B$4=Bron!$B$13,$B$4=Bron!$B$14),'Bouwkost VOLT'!$C73,IF($B$4=Bron!$C$16,'Bouwkost AK+VERB'!$C73,0))))))</f>
        <v>0</v>
      </c>
      <c r="D61" s="89">
        <f>IF(OR($D$4=Bron!$B$8,$D$4=Bron!$B$9,$D$4=Bron!$B$15),'Bouwkost NB'!$C74,IF($D$4=Bron!$B$10,'Bouwkost UITB'!$C73,IF($D$4=Bron!$B$11,'Bouwkost VERB'!$C73,IF($D$4=Bron!$B$12,'Bouwkost IER'!$C72,IF(OR($D$4=Bron!$B$13,$D$4=Bron!$B$14),'Bouwkost VOLT'!$C73,IF($D$4=Bron!$C$16,'Bouwkost AK+VERB'!$C73,0))))))</f>
        <v>0</v>
      </c>
      <c r="F61" s="89">
        <f>IF(OR($F$4=Bron!$B$8,$F$4=Bron!$B$9,$F$4=Bron!$B$15),'Bouwkost NB'!$C74,IF($F$4=Bron!$B$10,'Bouwkost UITB'!$C73,IF($F$4=Bron!$B$11,'Bouwkost VERB'!$C73,IF($F$4=Bron!$B$12,'Bouwkost IER'!$C72,IF(OR($F$4=Bron!$B$13,$F$4=Bron!$B$14),'Bouwkost VOLT'!$C73,IF($F$4=Bron!$C$16,'Bouwkost AK+VERB'!$C73,0))))))</f>
        <v>0</v>
      </c>
      <c r="H61" s="89">
        <f>IF(OR($H$4=Bron!$B$8,$H$4=Bron!$B$9,$H$4=Bron!$B$15),'Bouwkost NB'!$C74,IF($H$4=Bron!$B$10,'Bouwkost UITB'!$C73,IF($H$4=Bron!$B$11,'Bouwkost VERB'!$C73,IF($H$4=Bron!$B$12,'Bouwkost IER'!$C72,IF(OR($H$4=Bron!$B$13,$H$4=Bron!$B$14),'Bouwkost VOLT'!$C73,IF($H$4=Bron!$C$16,'Bouwkost AK+VERB'!$C73,0))))))</f>
        <v>0</v>
      </c>
      <c r="J61" s="89">
        <f>IF(OR($J$4=Bron!$B$8,$J$4=Bron!$B$9,$J$4=Bron!$B$15),'Bouwkost NB'!$N74,IF($J$4=Bron!$B$10,'Bouwkost UITB'!$N73,IF($J$4=Bron!$B$11,'Bouwkost VERB'!$N73,IF($J$4=Bron!$B$12,'Bouwkost IER'!$N72,IF(OR($J$4=Bron!$B$13,$J$4=Bron!$B$14),'Bouwkost VOLT'!$N73,IF($J$4=Bron!$C$16,'Bouwkost AK+VERB'!$N73,0))))))</f>
        <v>0</v>
      </c>
      <c r="L61" s="89">
        <f>IF(OR($L$4=Bron!$B$8,$L$4=Bron!$B$9,$L$4=Bron!$B$15),'Bouwkost NB'!$N74,IF($L$4=Bron!$B$10,'Bouwkost UITB'!$N73,IF($L$4=Bron!$B$11,'Bouwkost VERB'!$N73,IF($L$4=Bron!$B$12,'Bouwkost IER'!$N72,IF(OR($L$4=Bron!$B$13,$L$4=Bron!$B$14),'Bouwkost VOLT'!$N73,IF($L$4=Bron!$C$16,'Bouwkost AK+VERB'!$N73,0))))))</f>
        <v>0</v>
      </c>
      <c r="N61" s="89">
        <f>IF(OR($N$4=Bron!$B$8,$N$4=Bron!$B$9,,$N$4=Bron!$B$15),'Bouwkost NB'!$N74,IF($N$4=Bron!$B$10,'Bouwkost UITB'!$N73,IF($N$4=Bron!$B$11,'Bouwkost VERB'!$N73,IF($N$4=Bron!$B$12,'Bouwkost IER'!$N72,IF(OR($N$4=Bron!$B$13,$N$4=Bron!$B$14),'Bouwkost VOLT'!$N73,IF($N$4=Bron!$C$16,'Bouwkost AK+VERB'!$N73,0))))))</f>
        <v>0</v>
      </c>
      <c r="P61" s="89">
        <f>IF(OR($P$4=Bron!$B$8,$P$4=Bron!$B$9,$P$4=Bron!$B$15),'Bouwkost NB'!$N74,IF($P$4=Bron!$B$10,'Bouwkost UITB'!$N73,IF($P$4=Bron!$B$11,'Bouwkost VERB'!$N73,IF($P$4=Bron!$B$12,'Bouwkost IER'!$N72,IF(OR($P$4=Bron!$B$13,$P$4=Bron!$B$14),'Bouwkost VOLT'!$N73,IF($P$4=Bron!$C$16,'Bouwkost AK+VERB'!$N73,0))))))</f>
        <v>0</v>
      </c>
      <c r="R61" s="89">
        <f>IF(OR($R$4=Bron!$B$8,$R$4=Bron!$B$9,$R$4=Bron!$B$15),'Bouwkost NB'!$Y74,IF($R$4=Bron!$B$10,'Bouwkost UITB'!$Y73,IF($R$4=Bron!$B$11,'Bouwkost VERB'!$Y73,IF($R$4=Bron!$B$12,'Bouwkost IER'!$Y72,IF(OR($R$4=Bron!$B$13,$R$4=Bron!$B$14),'Bouwkost VOLT'!$Y73,IF($R$4=Bron!$C$16,'Bouwkost AK+VERB'!$Y73,0))))))</f>
        <v>0</v>
      </c>
      <c r="T61" s="89">
        <f>IF(OR($T$4=Bron!$B$8,$T$4=Bron!$B$9,$T$4=Bron!$B$15),'Bouwkost NB'!$Y74,IF($T$4=Bron!$B$10,'Bouwkost UITB'!$Y73,IF($T$4=Bron!$B$11,'Bouwkost VERB'!$Y73,IF($T$4=Bron!$B$12,'Bouwkost IER'!$Y72,IF(OR($T$4=Bron!$B$13,$T$4=Bron!$B$14),'Bouwkost VOLT'!$Y73,IF($T$4=Bron!$C$16,'Bouwkost AK+VERB'!$Y73,0))))))</f>
        <v>0</v>
      </c>
      <c r="V61" s="89">
        <f>IF(OR($N$4=Bron!$B$8,$N$4=Bron!$B$9,$N$4=Bron!$B$15),'Bouwkost NB'!$Y74,IF($N$4=Bron!$B$10,'Bouwkost UITB'!$Y73,IF($N$4=Bron!$B$11,'Bouwkost VERB'!$Y73,IF($N$4=Bron!$B$12,'Bouwkost IER'!$Y72,IF(OR($N$4=Bron!$B$13,$N$4=Bron!$B$14),'Bouwkost VOLT'!$Y73,IF($N$4=Bron!$C$16,'Bouwkost AK+VERB'!$Y73,0))))))</f>
        <v>0</v>
      </c>
      <c r="X61" s="89">
        <f>IF(OR($X$4=Bron!$B$8,$X$4=Bron!$B$9,$X$4=Bron!$B$15),'Bouwkost NB'!$Y74,IF($X$4=Bron!$B$10,'Bouwkost UITB'!$Y73,IF($X$4=Bron!$B$11,'Bouwkost VERB'!$Y73,IF($X$4=Bron!$B$12,'Bouwkost IER'!$Y72,IF(OR($X$4=Bron!$B$13,$X$4=Bron!$B$14),'Bouwkost VOLT'!$Y73,IF($X$4=Bron!$C$16,'Bouwkost AK+VERB'!$Y73,0))))))</f>
        <v>0</v>
      </c>
    </row>
    <row r="62" spans="1:24" x14ac:dyDescent="0.3">
      <c r="A62" s="636" t="s">
        <v>465</v>
      </c>
      <c r="B62" s="89">
        <f>IF(OR($B$4=Bron!$B$8,$B$4=Bron!$B$9,$B$4=Bron!$B$15),'Bouwkost NB'!$C75,IF($B$4=Bron!$B$10,'Bouwkost UITB'!$C74,IF($B$4=Bron!$B$11,'Bouwkost VERB'!$C74,IF($B$4=Bron!$B$12,'Bouwkost IER'!$C73,IF(OR($B$4=Bron!$B$13,$B$4=Bron!$B$14),'Bouwkost VOLT'!$C74,IF($B$4=Bron!$C$16,'Bouwkost AK+VERB'!$C74,0))))))</f>
        <v>0</v>
      </c>
      <c r="D62" s="89">
        <f>IF(OR($D$4=Bron!$B$8,$D$4=Bron!$B$9,$D$4=Bron!$B$15),'Bouwkost NB'!$C75,IF($D$4=Bron!$B$10,'Bouwkost UITB'!$C74,IF($D$4=Bron!$B$11,'Bouwkost VERB'!$C74,IF($D$4=Bron!$B$12,'Bouwkost IER'!$C73,IF(OR($D$4=Bron!$B$13,$D$4=Bron!$B$14),'Bouwkost VOLT'!$C74,IF($D$4=Bron!$C$16,'Bouwkost AK+VERB'!$C74,0))))))</f>
        <v>0</v>
      </c>
      <c r="F62" s="89">
        <f>IF(OR($F$4=Bron!$B$8,$F$4=Bron!$B$9,$F$4=Bron!$B$15),'Bouwkost NB'!$C75,IF($F$4=Bron!$B$10,'Bouwkost UITB'!$C74,IF($F$4=Bron!$B$11,'Bouwkost VERB'!$C74,IF($F$4=Bron!$B$12,'Bouwkost IER'!$C73,IF(OR($F$4=Bron!$B$13,$F$4=Bron!$B$14),'Bouwkost VOLT'!$C74,IF($F$4=Bron!$C$16,'Bouwkost AK+VERB'!$C74,0))))))</f>
        <v>0</v>
      </c>
      <c r="H62" s="89">
        <f>IF(OR($H$4=Bron!$B$8,$H$4=Bron!$B$9,$H$4=Bron!$B$15),'Bouwkost NB'!$C75,IF($H$4=Bron!$B$10,'Bouwkost UITB'!$C74,IF($H$4=Bron!$B$11,'Bouwkost VERB'!$C74,IF($H$4=Bron!$B$12,'Bouwkost IER'!$C73,IF(OR($H$4=Bron!$B$13,$H$4=Bron!$B$14),'Bouwkost VOLT'!$C74,IF($H$4=Bron!$C$16,'Bouwkost AK+VERB'!$C74,0))))))</f>
        <v>0</v>
      </c>
      <c r="J62" s="89">
        <f>IF(OR($J$4=Bron!$B$8,$J$4=Bron!$B$9,$J$4=Bron!$B$15),'Bouwkost NB'!$N75,IF($J$4=Bron!$B$10,'Bouwkost UITB'!$N74,IF($J$4=Bron!$B$11,'Bouwkost VERB'!$N74,IF($J$4=Bron!$B$12,'Bouwkost IER'!$N73,IF(OR($J$4=Bron!$B$13,$J$4=Bron!$B$14),'Bouwkost VOLT'!$N74,IF($J$4=Bron!$C$16,'Bouwkost AK+VERB'!$N74,0))))))</f>
        <v>0</v>
      </c>
      <c r="L62" s="89">
        <f>IF(OR($L$4=Bron!$B$8,$L$4=Bron!$B$9,$L$4=Bron!$B$15),'Bouwkost NB'!$N75,IF($L$4=Bron!$B$10,'Bouwkost UITB'!$N74,IF($L$4=Bron!$B$11,'Bouwkost VERB'!$N74,IF($L$4=Bron!$B$12,'Bouwkost IER'!$N73,IF(OR($L$4=Bron!$B$13,$L$4=Bron!$B$14),'Bouwkost VOLT'!$N74,IF($L$4=Bron!$C$16,'Bouwkost AK+VERB'!$N74,0))))))</f>
        <v>0</v>
      </c>
      <c r="N62" s="89">
        <f>IF(OR($N$4=Bron!$B$8,$N$4=Bron!$B$9,,$N$4=Bron!$B$15),'Bouwkost NB'!$N75,IF($N$4=Bron!$B$10,'Bouwkost UITB'!$N74,IF($N$4=Bron!$B$11,'Bouwkost VERB'!$N74,IF($N$4=Bron!$B$12,'Bouwkost IER'!$N73,IF(OR($N$4=Bron!$B$13,$N$4=Bron!$B$14),'Bouwkost VOLT'!$N74,IF($N$4=Bron!$C$16,'Bouwkost AK+VERB'!$N74,0))))))</f>
        <v>0</v>
      </c>
      <c r="P62" s="89">
        <f>IF(OR($P$4=Bron!$B$8,$P$4=Bron!$B$9,$P$4=Bron!$B$15),'Bouwkost NB'!$N75,IF($P$4=Bron!$B$10,'Bouwkost UITB'!$N74,IF($P$4=Bron!$B$11,'Bouwkost VERB'!$N74,IF($P$4=Bron!$B$12,'Bouwkost IER'!$N73,IF(OR($P$4=Bron!$B$13,$P$4=Bron!$B$14),'Bouwkost VOLT'!$N74,IF($P$4=Bron!$C$16,'Bouwkost AK+VERB'!$N74,0))))))</f>
        <v>0</v>
      </c>
      <c r="R62" s="89">
        <f>IF(OR($R$4=Bron!$B$8,$R$4=Bron!$B$9,$R$4=Bron!$B$15),'Bouwkost NB'!$Y75,IF($R$4=Bron!$B$10,'Bouwkost UITB'!$Y74,IF($R$4=Bron!$B$11,'Bouwkost VERB'!$Y74,IF($R$4=Bron!$B$12,'Bouwkost IER'!$Y73,IF(OR($R$4=Bron!$B$13,$R$4=Bron!$B$14),'Bouwkost VOLT'!$Y74,IF($R$4=Bron!$C$16,'Bouwkost AK+VERB'!$Y74,0))))))</f>
        <v>0</v>
      </c>
      <c r="T62" s="89">
        <f>IF(OR($T$4=Bron!$B$8,$T$4=Bron!$B$9,$T$4=Bron!$B$15),'Bouwkost NB'!$Y75,IF($T$4=Bron!$B$10,'Bouwkost UITB'!$Y74,IF($T$4=Bron!$B$11,'Bouwkost VERB'!$Y74,IF($T$4=Bron!$B$12,'Bouwkost IER'!$Y73,IF(OR($T$4=Bron!$B$13,$T$4=Bron!$B$14),'Bouwkost VOLT'!$Y74,IF($T$4=Bron!$C$16,'Bouwkost AK+VERB'!$Y74,0))))))</f>
        <v>0</v>
      </c>
      <c r="V62" s="89">
        <f>IF(OR($N$4=Bron!$B$8,$N$4=Bron!$B$9,$N$4=Bron!$B$15),'Bouwkost NB'!$Y75,IF($N$4=Bron!$B$10,'Bouwkost UITB'!$Y74,IF($N$4=Bron!$B$11,'Bouwkost VERB'!$Y74,IF($N$4=Bron!$B$12,'Bouwkost IER'!$Y73,IF(OR($N$4=Bron!$B$13,$N$4=Bron!$B$14),'Bouwkost VOLT'!$Y74,IF($N$4=Bron!$C$16,'Bouwkost AK+VERB'!$Y74,0))))))</f>
        <v>0</v>
      </c>
      <c r="X62" s="89">
        <f>IF(OR($X$4=Bron!$B$8,$X$4=Bron!$B$9,$X$4=Bron!$B$15),'Bouwkost NB'!$Y75,IF($X$4=Bron!$B$10,'Bouwkost UITB'!$Y74,IF($X$4=Bron!$B$11,'Bouwkost VERB'!$Y74,IF($X$4=Bron!$B$12,'Bouwkost IER'!$Y73,IF(OR($X$4=Bron!$B$13,$X$4=Bron!$B$14),'Bouwkost VOLT'!$Y74,IF($X$4=Bron!$C$16,'Bouwkost AK+VERB'!$Y74,0))))))</f>
        <v>0</v>
      </c>
    </row>
    <row r="63" spans="1:24" x14ac:dyDescent="0.3">
      <c r="A63" s="636" t="s">
        <v>466</v>
      </c>
      <c r="B63" s="89">
        <f>IF(OR($B$4=Bron!$B$8,$B$4=Bron!$B$9,$B$4=Bron!$B$15),'Bouwkost NB'!$C76,IF($B$4=Bron!$B$10,'Bouwkost UITB'!$C75,IF($B$4=Bron!$B$11,'Bouwkost VERB'!$C75,IF($B$4=Bron!$B$12,'Bouwkost IER'!$C74,IF(OR($B$4=Bron!$B$13,$B$4=Bron!$B$14),'Bouwkost VOLT'!$C75,IF($B$4=Bron!$C$16,'Bouwkost AK+VERB'!$C75,0))))))</f>
        <v>0</v>
      </c>
      <c r="D63" s="89">
        <f>IF(OR($D$4=Bron!$B$8,$D$4=Bron!$B$9,$D$4=Bron!$B$15),'Bouwkost NB'!$C76,IF($D$4=Bron!$B$10,'Bouwkost UITB'!$C75,IF($D$4=Bron!$B$11,'Bouwkost VERB'!$C75,IF($D$4=Bron!$B$12,'Bouwkost IER'!$C74,IF(OR($D$4=Bron!$B$13,$D$4=Bron!$B$14),'Bouwkost VOLT'!$C75,IF($D$4=Bron!$C$16,'Bouwkost AK+VERB'!$C75,0))))))</f>
        <v>0</v>
      </c>
      <c r="F63" s="89">
        <f>IF(OR($F$4=Bron!$B$8,$F$4=Bron!$B$9,$F$4=Bron!$B$15),'Bouwkost NB'!$C76,IF($F$4=Bron!$B$10,'Bouwkost UITB'!$C75,IF($F$4=Bron!$B$11,'Bouwkost VERB'!$C75,IF($F$4=Bron!$B$12,'Bouwkost IER'!$C74,IF(OR($F$4=Bron!$B$13,$F$4=Bron!$B$14),'Bouwkost VOLT'!$C75,IF($F$4=Bron!$C$16,'Bouwkost AK+VERB'!$C75,0))))))</f>
        <v>0</v>
      </c>
      <c r="H63" s="89">
        <f>IF(OR($H$4=Bron!$B$8,$H$4=Bron!$B$9,$H$4=Bron!$B$15),'Bouwkost NB'!$C76,IF($H$4=Bron!$B$10,'Bouwkost UITB'!$C75,IF($H$4=Bron!$B$11,'Bouwkost VERB'!$C75,IF($H$4=Bron!$B$12,'Bouwkost IER'!$C74,IF(OR($H$4=Bron!$B$13,$H$4=Bron!$B$14),'Bouwkost VOLT'!$C75,IF($H$4=Bron!$C$16,'Bouwkost AK+VERB'!$C75,0))))))</f>
        <v>0</v>
      </c>
      <c r="J63" s="89">
        <f>IF(OR($J$4=Bron!$B$8,$J$4=Bron!$B$9,$J$4=Bron!$B$15),'Bouwkost NB'!$N76,IF($J$4=Bron!$B$10,'Bouwkost UITB'!$N75,IF($J$4=Bron!$B$11,'Bouwkost VERB'!$N75,IF($J$4=Bron!$B$12,'Bouwkost IER'!$N74,IF(OR($J$4=Bron!$B$13,$J$4=Bron!$B$14),'Bouwkost VOLT'!$N75,IF($J$4=Bron!$C$16,'Bouwkost AK+VERB'!$N75,0))))))</f>
        <v>0</v>
      </c>
      <c r="L63" s="89">
        <f>IF(OR($L$4=Bron!$B$8,$L$4=Bron!$B$9,$L$4=Bron!$B$15),'Bouwkost NB'!$N76,IF($L$4=Bron!$B$10,'Bouwkost UITB'!$N75,IF($L$4=Bron!$B$11,'Bouwkost VERB'!$N75,IF($L$4=Bron!$B$12,'Bouwkost IER'!$N74,IF(OR($L$4=Bron!$B$13,$L$4=Bron!$B$14),'Bouwkost VOLT'!$N75,IF($L$4=Bron!$C$16,'Bouwkost AK+VERB'!$N75,0))))))</f>
        <v>0</v>
      </c>
      <c r="N63" s="89">
        <f>IF(OR($N$4=Bron!$B$8,$N$4=Bron!$B$9,,$N$4=Bron!$B$15),'Bouwkost NB'!$N76,IF($N$4=Bron!$B$10,'Bouwkost UITB'!$N75,IF($N$4=Bron!$B$11,'Bouwkost VERB'!$N75,IF($N$4=Bron!$B$12,'Bouwkost IER'!$N74,IF(OR($N$4=Bron!$B$13,$N$4=Bron!$B$14),'Bouwkost VOLT'!$N75,IF($N$4=Bron!$C$16,'Bouwkost AK+VERB'!$N75,0))))))</f>
        <v>0</v>
      </c>
      <c r="P63" s="89">
        <f>IF(OR($P$4=Bron!$B$8,$P$4=Bron!$B$9,$P$4=Bron!$B$15),'Bouwkost NB'!$N76,IF($P$4=Bron!$B$10,'Bouwkost UITB'!$N75,IF($P$4=Bron!$B$11,'Bouwkost VERB'!$N75,IF($P$4=Bron!$B$12,'Bouwkost IER'!$N74,IF(OR($P$4=Bron!$B$13,$P$4=Bron!$B$14),'Bouwkost VOLT'!$N75,IF($P$4=Bron!$C$16,'Bouwkost AK+VERB'!$N75,0))))))</f>
        <v>0</v>
      </c>
      <c r="R63" s="89">
        <f>IF(OR($R$4=Bron!$B$8,$R$4=Bron!$B$9,$R$4=Bron!$B$15),'Bouwkost NB'!$Y76,IF($R$4=Bron!$B$10,'Bouwkost UITB'!$Y75,IF($R$4=Bron!$B$11,'Bouwkost VERB'!$Y75,IF($R$4=Bron!$B$12,'Bouwkost IER'!$Y74,IF(OR($R$4=Bron!$B$13,$R$4=Bron!$B$14),'Bouwkost VOLT'!$Y75,IF($R$4=Bron!$C$16,'Bouwkost AK+VERB'!$Y75,0))))))</f>
        <v>0</v>
      </c>
      <c r="T63" s="89">
        <f>IF(OR($T$4=Bron!$B$8,$T$4=Bron!$B$9,$T$4=Bron!$B$15),'Bouwkost NB'!$Y76,IF($T$4=Bron!$B$10,'Bouwkost UITB'!$Y75,IF($T$4=Bron!$B$11,'Bouwkost VERB'!$Y75,IF($T$4=Bron!$B$12,'Bouwkost IER'!$Y74,IF(OR($T$4=Bron!$B$13,$T$4=Bron!$B$14),'Bouwkost VOLT'!$Y75,IF($T$4=Bron!$C$16,'Bouwkost AK+VERB'!$Y75,0))))))</f>
        <v>0</v>
      </c>
      <c r="V63" s="89">
        <f>IF(OR($N$4=Bron!$B$8,$N$4=Bron!$B$9,$N$4=Bron!$B$15),'Bouwkost NB'!$Y76,IF($N$4=Bron!$B$10,'Bouwkost UITB'!$Y75,IF($N$4=Bron!$B$11,'Bouwkost VERB'!$Y75,IF($N$4=Bron!$B$12,'Bouwkost IER'!$Y74,IF(OR($N$4=Bron!$B$13,$N$4=Bron!$B$14),'Bouwkost VOLT'!$Y75,IF($N$4=Bron!$C$16,'Bouwkost AK+VERB'!$Y75,0))))))</f>
        <v>0</v>
      </c>
      <c r="X63" s="89">
        <f>IF(OR($X$4=Bron!$B$8,$X$4=Bron!$B$9,$X$4=Bron!$B$15),'Bouwkost NB'!$Y76,IF($X$4=Bron!$B$10,'Bouwkost UITB'!$Y75,IF($X$4=Bron!$B$11,'Bouwkost VERB'!$Y75,IF($X$4=Bron!$B$12,'Bouwkost IER'!$Y74,IF(OR($X$4=Bron!$B$13,$X$4=Bron!$B$14),'Bouwkost VOLT'!$Y75,IF($X$4=Bron!$C$16,'Bouwkost AK+VERB'!$Y75,0))))))</f>
        <v>0</v>
      </c>
    </row>
    <row r="64" spans="1:24" x14ac:dyDescent="0.3">
      <c r="A64" s="636" t="s">
        <v>467</v>
      </c>
      <c r="B64" s="89">
        <f>IF(OR($B$4=Bron!$B$8,$B$4=Bron!$B$9,$B$4=Bron!$B$15),'Bouwkost NB'!$C77,IF($B$4=Bron!$B$10,'Bouwkost UITB'!$C76,IF($B$4=Bron!$B$11,'Bouwkost VERB'!$C76,IF($B$4=Bron!$B$12,'Bouwkost IER'!$C75,IF(OR($B$4=Bron!$B$13,$B$4=Bron!$B$14),'Bouwkost VOLT'!$C76,IF($B$4=Bron!$C$16,'Bouwkost AK+VERB'!$C76,0))))))</f>
        <v>0</v>
      </c>
      <c r="D64" s="89">
        <f>IF(OR($D$4=Bron!$B$8,$D$4=Bron!$B$9,$D$4=Bron!$B$15),'Bouwkost NB'!$C77,IF($D$4=Bron!$B$10,'Bouwkost UITB'!$C76,IF($D$4=Bron!$B$11,'Bouwkost VERB'!$C76,IF($D$4=Bron!$B$12,'Bouwkost IER'!$C75,IF(OR($D$4=Bron!$B$13,$D$4=Bron!$B$14),'Bouwkost VOLT'!$C76,IF($D$4=Bron!$C$16,'Bouwkost AK+VERB'!$C76,0))))))</f>
        <v>0</v>
      </c>
      <c r="F64" s="89">
        <f>IF(OR($F$4=Bron!$B$8,$F$4=Bron!$B$9,$F$4=Bron!$B$15),'Bouwkost NB'!$C77,IF($F$4=Bron!$B$10,'Bouwkost UITB'!$C76,IF($F$4=Bron!$B$11,'Bouwkost VERB'!$C76,IF($F$4=Bron!$B$12,'Bouwkost IER'!$C75,IF(OR($F$4=Bron!$B$13,$F$4=Bron!$B$14),'Bouwkost VOLT'!$C76,IF($F$4=Bron!$C$16,'Bouwkost AK+VERB'!$C76,0))))))</f>
        <v>0</v>
      </c>
      <c r="H64" s="89">
        <f>IF(OR($H$4=Bron!$B$8,$H$4=Bron!$B$9,$H$4=Bron!$B$15),'Bouwkost NB'!$C77,IF($H$4=Bron!$B$10,'Bouwkost UITB'!$C76,IF($H$4=Bron!$B$11,'Bouwkost VERB'!$C76,IF($H$4=Bron!$B$12,'Bouwkost IER'!$C75,IF(OR($H$4=Bron!$B$13,$H$4=Bron!$B$14),'Bouwkost VOLT'!$C76,IF($H$4=Bron!$C$16,'Bouwkost AK+VERB'!$C76,0))))))</f>
        <v>0</v>
      </c>
      <c r="J64" s="89">
        <f>IF(OR($J$4=Bron!$B$8,$J$4=Bron!$B$9,$J$4=Bron!$B$15),'Bouwkost NB'!$N77,IF($J$4=Bron!$B$10,'Bouwkost UITB'!$N76,IF($J$4=Bron!$B$11,'Bouwkost VERB'!$N76,IF($J$4=Bron!$B$12,'Bouwkost IER'!$N75,IF(OR($J$4=Bron!$B$13,$J$4=Bron!$B$14),'Bouwkost VOLT'!$N76,IF($J$4=Bron!$C$16,'Bouwkost AK+VERB'!$N76,0))))))</f>
        <v>0</v>
      </c>
      <c r="L64" s="89">
        <f>IF(OR($L$4=Bron!$B$8,$L$4=Bron!$B$9,$L$4=Bron!$B$15),'Bouwkost NB'!$N77,IF($L$4=Bron!$B$10,'Bouwkost UITB'!$N76,IF($L$4=Bron!$B$11,'Bouwkost VERB'!$N76,IF($L$4=Bron!$B$12,'Bouwkost IER'!$N75,IF(OR($L$4=Bron!$B$13,$L$4=Bron!$B$14),'Bouwkost VOLT'!$N76,IF($L$4=Bron!$C$16,'Bouwkost AK+VERB'!$N76,0))))))</f>
        <v>0</v>
      </c>
      <c r="N64" s="89">
        <f>IF(OR($N$4=Bron!$B$8,$N$4=Bron!$B$9,,$N$4=Bron!$B$15),'Bouwkost NB'!$N77,IF($N$4=Bron!$B$10,'Bouwkost UITB'!$N76,IF($N$4=Bron!$B$11,'Bouwkost VERB'!$N76,IF($N$4=Bron!$B$12,'Bouwkost IER'!$N75,IF(OR($N$4=Bron!$B$13,$N$4=Bron!$B$14),'Bouwkost VOLT'!$N76,IF($N$4=Bron!$C$16,'Bouwkost AK+VERB'!$N76,0))))))</f>
        <v>0</v>
      </c>
      <c r="P64" s="89">
        <f>IF(OR($P$4=Bron!$B$8,$P$4=Bron!$B$9,$P$4=Bron!$B$15),'Bouwkost NB'!$N77,IF($P$4=Bron!$B$10,'Bouwkost UITB'!$N76,IF($P$4=Bron!$B$11,'Bouwkost VERB'!$N76,IF($P$4=Bron!$B$12,'Bouwkost IER'!$N75,IF(OR($P$4=Bron!$B$13,$P$4=Bron!$B$14),'Bouwkost VOLT'!$N76,IF($P$4=Bron!$C$16,'Bouwkost AK+VERB'!$N76,0))))))</f>
        <v>0</v>
      </c>
      <c r="R64" s="89">
        <f>IF(OR($R$4=Bron!$B$8,$R$4=Bron!$B$9,$R$4=Bron!$B$15),'Bouwkost NB'!$Y77,IF($R$4=Bron!$B$10,'Bouwkost UITB'!$Y76,IF($R$4=Bron!$B$11,'Bouwkost VERB'!$Y76,IF($R$4=Bron!$B$12,'Bouwkost IER'!$Y75,IF(OR($R$4=Bron!$B$13,$R$4=Bron!$B$14),'Bouwkost VOLT'!$Y76,IF($R$4=Bron!$C$16,'Bouwkost AK+VERB'!$Y76,0))))))</f>
        <v>0</v>
      </c>
      <c r="T64" s="89">
        <f>IF(OR($T$4=Bron!$B$8,$T$4=Bron!$B$9,$T$4=Bron!$B$15),'Bouwkost NB'!$Y77,IF($T$4=Bron!$B$10,'Bouwkost UITB'!$Y76,IF($T$4=Bron!$B$11,'Bouwkost VERB'!$Y76,IF($T$4=Bron!$B$12,'Bouwkost IER'!$Y75,IF(OR($T$4=Bron!$B$13,$T$4=Bron!$B$14),'Bouwkost VOLT'!$Y76,IF($T$4=Bron!$C$16,'Bouwkost AK+VERB'!$Y76,0))))))</f>
        <v>0</v>
      </c>
      <c r="V64" s="89">
        <f>IF(OR($N$4=Bron!$B$8,$N$4=Bron!$B$9,$N$4=Bron!$B$15),'Bouwkost NB'!$Y77,IF($N$4=Bron!$B$10,'Bouwkost UITB'!$Y76,IF($N$4=Bron!$B$11,'Bouwkost VERB'!$Y76,IF($N$4=Bron!$B$12,'Bouwkost IER'!$Y75,IF(OR($N$4=Bron!$B$13,$N$4=Bron!$B$14),'Bouwkost VOLT'!$Y76,IF($N$4=Bron!$C$16,'Bouwkost AK+VERB'!$Y76,0))))))</f>
        <v>0</v>
      </c>
      <c r="X64" s="89">
        <f>IF(OR($X$4=Bron!$B$8,$X$4=Bron!$B$9,$X$4=Bron!$B$15),'Bouwkost NB'!$Y77,IF($X$4=Bron!$B$10,'Bouwkost UITB'!$Y76,IF($X$4=Bron!$B$11,'Bouwkost VERB'!$Y76,IF($X$4=Bron!$B$12,'Bouwkost IER'!$Y75,IF(OR($X$4=Bron!$B$13,$X$4=Bron!$B$14),'Bouwkost VOLT'!$Y76,IF($X$4=Bron!$C$16,'Bouwkost AK+VERB'!$Y76,0))))))</f>
        <v>0</v>
      </c>
    </row>
    <row r="65" spans="1:26" x14ac:dyDescent="0.3">
      <c r="A65" s="637" t="s">
        <v>468</v>
      </c>
      <c r="B65" s="89">
        <f>IF(OR($B$4=Bron!$B$8,$B$4=Bron!$B$9,$B$4=Bron!$B$15),'Bouwkost NB'!$C78,IF($B$4=Bron!$B$10,'Bouwkost UITB'!$C77,IF($B$4=Bron!$B$11,'Bouwkost VERB'!$C77,IF($B$4=Bron!$B$12,'Bouwkost IER'!$C76,IF(OR($B$4=Bron!$B$13,$B$4=Bron!$B$14),'Bouwkost VOLT'!$C77,IF($B$4=Bron!$C$16,'Bouwkost AK+VERB'!$C77,0))))))</f>
        <v>0</v>
      </c>
      <c r="D65" s="89">
        <f>IF(OR($D$4=Bron!$B$8,$D$4=Bron!$B$9,$D$4=Bron!$B$15),'Bouwkost NB'!$C78,IF($D$4=Bron!$B$10,'Bouwkost UITB'!$C77,IF($D$4=Bron!$B$11,'Bouwkost VERB'!$C77,IF($D$4=Bron!$B$12,'Bouwkost IER'!$C76,IF(OR($D$4=Bron!$B$13,$D$4=Bron!$B$14),'Bouwkost VOLT'!$C77,IF($D$4=Bron!$C$16,'Bouwkost AK+VERB'!$C77,0))))))</f>
        <v>0</v>
      </c>
      <c r="F65" s="89">
        <f>IF(OR($F$4=Bron!$B$8,$F$4=Bron!$B$9,$F$4=Bron!$B$15),'Bouwkost NB'!$C78,IF($F$4=Bron!$B$10,'Bouwkost UITB'!$C77,IF($F$4=Bron!$B$11,'Bouwkost VERB'!$C77,IF($F$4=Bron!$B$12,'Bouwkost IER'!$C76,IF(OR($F$4=Bron!$B$13,$F$4=Bron!$B$14),'Bouwkost VOLT'!$C77,IF($F$4=Bron!$C$16,'Bouwkost AK+VERB'!$C77,0))))))</f>
        <v>0</v>
      </c>
      <c r="H65" s="89">
        <f>IF(OR($H$4=Bron!$B$8,$H$4=Bron!$B$9,$H$4=Bron!$B$15),'Bouwkost NB'!$C78,IF($H$4=Bron!$B$10,'Bouwkost UITB'!$C77,IF($H$4=Bron!$B$11,'Bouwkost VERB'!$C77,IF($H$4=Bron!$B$12,'Bouwkost IER'!$C76,IF(OR($H$4=Bron!$B$13,$H$4=Bron!$B$14),'Bouwkost VOLT'!$C77,IF($H$4=Bron!$C$16,'Bouwkost AK+VERB'!$C77,0))))))</f>
        <v>0</v>
      </c>
      <c r="J65" s="89">
        <f>IF(OR($J$4=Bron!$B$8,$J$4=Bron!$B$9,$J$4=Bron!$B$15),'Bouwkost NB'!$N78,IF($J$4=Bron!$B$10,'Bouwkost UITB'!$N77,IF($J$4=Bron!$B$11,'Bouwkost VERB'!$N77,IF($J$4=Bron!$B$12,'Bouwkost IER'!$N76,IF(OR($J$4=Bron!$B$13,$J$4=Bron!$B$14),'Bouwkost VOLT'!$N77,IF($J$4=Bron!$C$16,'Bouwkost AK+VERB'!$N77,0))))))</f>
        <v>0</v>
      </c>
      <c r="L65" s="89">
        <f>IF(OR($L$4=Bron!$B$8,$L$4=Bron!$B$9,$L$4=Bron!$B$15),'Bouwkost NB'!$N78,IF($L$4=Bron!$B$10,'Bouwkost UITB'!$N77,IF($L$4=Bron!$B$11,'Bouwkost VERB'!$N77,IF($L$4=Bron!$B$12,'Bouwkost IER'!$N76,IF(OR($L$4=Bron!$B$13,$L$4=Bron!$B$14),'Bouwkost VOLT'!$N77,IF($L$4=Bron!$C$16,'Bouwkost AK+VERB'!$N77,0))))))</f>
        <v>0</v>
      </c>
      <c r="N65" s="89">
        <f>IF(OR($N$4=Bron!$B$8,$N$4=Bron!$B$9,,$N$4=Bron!$B$15),'Bouwkost NB'!$N78,IF($N$4=Bron!$B$10,'Bouwkost UITB'!$N77,IF($N$4=Bron!$B$11,'Bouwkost VERB'!$N77,IF($N$4=Bron!$B$12,'Bouwkost IER'!$N76,IF(OR($N$4=Bron!$B$13,$N$4=Bron!$B$14),'Bouwkost VOLT'!$N77,IF($N$4=Bron!$C$16,'Bouwkost AK+VERB'!$N77,0))))))</f>
        <v>0</v>
      </c>
      <c r="P65" s="89">
        <f>IF(OR($P$4=Bron!$B$8,$P$4=Bron!$B$9,$P$4=Bron!$B$15),'Bouwkost NB'!$N78,IF($P$4=Bron!$B$10,'Bouwkost UITB'!$N77,IF($P$4=Bron!$B$11,'Bouwkost VERB'!$N77,IF($P$4=Bron!$B$12,'Bouwkost IER'!$N76,IF(OR($P$4=Bron!$B$13,$P$4=Bron!$B$14),'Bouwkost VOLT'!$N77,IF($P$4=Bron!$C$16,'Bouwkost AK+VERB'!$N77,0))))))</f>
        <v>0</v>
      </c>
      <c r="R65" s="89">
        <f>IF(OR($R$4=Bron!$B$8,$R$4=Bron!$B$9,$R$4=Bron!$B$15),'Bouwkost NB'!$Y78,IF($R$4=Bron!$B$10,'Bouwkost UITB'!$Y77,IF($R$4=Bron!$B$11,'Bouwkost VERB'!$Y77,IF($R$4=Bron!$B$12,'Bouwkost IER'!$Y76,IF(OR($R$4=Bron!$B$13,$R$4=Bron!$B$14),'Bouwkost VOLT'!$Y77,IF($R$4=Bron!$C$16,'Bouwkost AK+VERB'!$Y77,0))))))</f>
        <v>0</v>
      </c>
      <c r="T65" s="89">
        <f>IF(OR($T$4=Bron!$B$8,$T$4=Bron!$B$9,$T$4=Bron!$B$15),'Bouwkost NB'!$Y78,IF($T$4=Bron!$B$10,'Bouwkost UITB'!$Y77,IF($T$4=Bron!$B$11,'Bouwkost VERB'!$Y77,IF($T$4=Bron!$B$12,'Bouwkost IER'!$Y76,IF(OR($T$4=Bron!$B$13,$T$4=Bron!$B$14),'Bouwkost VOLT'!$Y77,IF($T$4=Bron!$C$16,'Bouwkost AK+VERB'!$Y77,0))))))</f>
        <v>0</v>
      </c>
      <c r="V65" s="89">
        <f>IF(OR($N$4=Bron!$B$8,$N$4=Bron!$B$9,$N$4=Bron!$B$15),'Bouwkost NB'!$Y78,IF($N$4=Bron!$B$10,'Bouwkost UITB'!$Y77,IF($N$4=Bron!$B$11,'Bouwkost VERB'!$Y77,IF($N$4=Bron!$B$12,'Bouwkost IER'!$Y76,IF(OR($N$4=Bron!$B$13,$N$4=Bron!$B$14),'Bouwkost VOLT'!$Y77,IF($N$4=Bron!$C$16,'Bouwkost AK+VERB'!$Y77,0))))))</f>
        <v>0</v>
      </c>
      <c r="X65" s="89">
        <f>IF(OR($X$4=Bron!$B$8,$X$4=Bron!$B$9,$X$4=Bron!$B$15),'Bouwkost NB'!$Y78,IF($X$4=Bron!$B$10,'Bouwkost UITB'!$Y77,IF($X$4=Bron!$B$11,'Bouwkost VERB'!$Y77,IF($X$4=Bron!$B$12,'Bouwkost IER'!$Y76,IF(OR($X$4=Bron!$B$13,$X$4=Bron!$B$14),'Bouwkost VOLT'!$Y77,IF($X$4=Bron!$C$16,'Bouwkost AK+VERB'!$Y77,0))))))</f>
        <v>0</v>
      </c>
    </row>
    <row r="66" spans="1:26" x14ac:dyDescent="0.3">
      <c r="A66" s="637" t="s">
        <v>469</v>
      </c>
      <c r="B66" s="89">
        <f>IF(OR($B$4=Bron!$B$8,$B$4=Bron!$B$9,$B$4=Bron!$B$15),'Bouwkost NB'!$C79,IF($B$4=Bron!$B$10,'Bouwkost UITB'!$C78,IF($B$4=Bron!$B$11,'Bouwkost VERB'!$C78,IF($B$4=Bron!$B$12,'Bouwkost IER'!$C77,IF(OR($B$4=Bron!$B$13,$B$4=Bron!$B$14),'Bouwkost VOLT'!$C78,IF($B$4=Bron!$C$16,'Bouwkost AK+VERB'!$C78,0))))))</f>
        <v>0</v>
      </c>
      <c r="D66" s="89">
        <f>IF(OR($D$4=Bron!$B$8,$D$4=Bron!$B$9,$D$4=Bron!$B$15),'Bouwkost NB'!$C79,IF($D$4=Bron!$B$10,'Bouwkost UITB'!$C78,IF($D$4=Bron!$B$11,'Bouwkost VERB'!$C78,IF($D$4=Bron!$B$12,'Bouwkost IER'!$C77,IF(OR($D$4=Bron!$B$13,$D$4=Bron!$B$14),'Bouwkost VOLT'!$C78,IF($D$4=Bron!$C$16,'Bouwkost AK+VERB'!$C78,0))))))</f>
        <v>0</v>
      </c>
      <c r="F66" s="89">
        <f>IF(OR($F$4=Bron!$B$8,$F$4=Bron!$B$9,$F$4=Bron!$B$15),'Bouwkost NB'!$C79,IF($F$4=Bron!$B$10,'Bouwkost UITB'!$C78,IF($F$4=Bron!$B$11,'Bouwkost VERB'!$C78,IF($F$4=Bron!$B$12,'Bouwkost IER'!$C77,IF(OR($F$4=Bron!$B$13,$F$4=Bron!$B$14),'Bouwkost VOLT'!$C78,IF($F$4=Bron!$C$16,'Bouwkost AK+VERB'!$C78,0))))))</f>
        <v>0</v>
      </c>
      <c r="H66" s="89">
        <f>IF(OR($H$4=Bron!$B$8,$H$4=Bron!$B$9,$H$4=Bron!$B$15),'Bouwkost NB'!$C79,IF($H$4=Bron!$B$10,'Bouwkost UITB'!$C78,IF($H$4=Bron!$B$11,'Bouwkost VERB'!$C78,IF($H$4=Bron!$B$12,'Bouwkost IER'!$C77,IF(OR($H$4=Bron!$B$13,$H$4=Bron!$B$14),'Bouwkost VOLT'!$C78,IF($H$4=Bron!$C$16,'Bouwkost AK+VERB'!$C78,0))))))</f>
        <v>0</v>
      </c>
      <c r="J66" s="89">
        <f>IF(OR($J$4=Bron!$B$8,$J$4=Bron!$B$9,$J$4=Bron!$B$15),'Bouwkost NB'!$N79,IF($J$4=Bron!$B$10,'Bouwkost UITB'!$N78,IF($J$4=Bron!$B$11,'Bouwkost VERB'!$N78,IF($J$4=Bron!$B$12,'Bouwkost IER'!$N77,IF(OR($J$4=Bron!$B$13,$J$4=Bron!$B$14),'Bouwkost VOLT'!$N78,IF($J$4=Bron!$C$16,'Bouwkost AK+VERB'!$N78,0))))))</f>
        <v>0</v>
      </c>
      <c r="L66" s="89">
        <f>IF(OR($L$4=Bron!$B$8,$L$4=Bron!$B$9,$L$4=Bron!$B$15),'Bouwkost NB'!$N79,IF($L$4=Bron!$B$10,'Bouwkost UITB'!$N78,IF($L$4=Bron!$B$11,'Bouwkost VERB'!$N78,IF($L$4=Bron!$B$12,'Bouwkost IER'!$N77,IF(OR($L$4=Bron!$B$13,$L$4=Bron!$B$14),'Bouwkost VOLT'!$N78,IF($L$4=Bron!$C$16,'Bouwkost AK+VERB'!$N78,0))))))</f>
        <v>0</v>
      </c>
      <c r="N66" s="89">
        <f>IF(OR($N$4=Bron!$B$8,$N$4=Bron!$B$9,,$N$4=Bron!$B$15),'Bouwkost NB'!$N79,IF($N$4=Bron!$B$10,'Bouwkost UITB'!$N78,IF($N$4=Bron!$B$11,'Bouwkost VERB'!$N78,IF($N$4=Bron!$B$12,'Bouwkost IER'!$N77,IF(OR($N$4=Bron!$B$13,$N$4=Bron!$B$14),'Bouwkost VOLT'!$N78,IF($N$4=Bron!$C$16,'Bouwkost AK+VERB'!$N78,0))))))</f>
        <v>0</v>
      </c>
      <c r="P66" s="89">
        <f>IF(OR($P$4=Bron!$B$8,$P$4=Bron!$B$9,$P$4=Bron!$B$15),'Bouwkost NB'!$N79,IF($P$4=Bron!$B$10,'Bouwkost UITB'!$N78,IF($P$4=Bron!$B$11,'Bouwkost VERB'!$N78,IF($P$4=Bron!$B$12,'Bouwkost IER'!$N77,IF(OR($P$4=Bron!$B$13,$P$4=Bron!$B$14),'Bouwkost VOLT'!$N78,IF($P$4=Bron!$C$16,'Bouwkost AK+VERB'!$N78,0))))))</f>
        <v>0</v>
      </c>
      <c r="R66" s="89">
        <f>IF(OR($R$4=Bron!$B$8,$R$4=Bron!$B$9,$R$4=Bron!$B$15),'Bouwkost NB'!$Y79,IF($R$4=Bron!$B$10,'Bouwkost UITB'!$Y78,IF($R$4=Bron!$B$11,'Bouwkost VERB'!$Y78,IF($R$4=Bron!$B$12,'Bouwkost IER'!$Y77,IF(OR($R$4=Bron!$B$13,$R$4=Bron!$B$14),'Bouwkost VOLT'!$Y78,IF($R$4=Bron!$C$16,'Bouwkost AK+VERB'!$Y78,0))))))</f>
        <v>0</v>
      </c>
      <c r="T66" s="89">
        <f>IF(OR($T$4=Bron!$B$8,$T$4=Bron!$B$9,$T$4=Bron!$B$15),'Bouwkost NB'!$Y79,IF($T$4=Bron!$B$10,'Bouwkost UITB'!$Y78,IF($T$4=Bron!$B$11,'Bouwkost VERB'!$Y78,IF($T$4=Bron!$B$12,'Bouwkost IER'!$Y77,IF(OR($T$4=Bron!$B$13,$T$4=Bron!$B$14),'Bouwkost VOLT'!$Y78,IF($T$4=Bron!$C$16,'Bouwkost AK+VERB'!$Y78,0))))))</f>
        <v>0</v>
      </c>
      <c r="V66" s="89">
        <f>IF(OR($N$4=Bron!$B$8,$N$4=Bron!$B$9,$N$4=Bron!$B$15),'Bouwkost NB'!$Y79,IF($N$4=Bron!$B$10,'Bouwkost UITB'!$Y78,IF($N$4=Bron!$B$11,'Bouwkost VERB'!$Y78,IF($N$4=Bron!$B$12,'Bouwkost IER'!$Y77,IF(OR($N$4=Bron!$B$13,$N$4=Bron!$B$14),'Bouwkost VOLT'!$Y78,IF($N$4=Bron!$C$16,'Bouwkost AK+VERB'!$Y78,0))))))</f>
        <v>0</v>
      </c>
      <c r="X66" s="89">
        <f>IF(OR($X$4=Bron!$B$8,$X$4=Bron!$B$9,$X$4=Bron!$B$15),'Bouwkost NB'!$Y79,IF($X$4=Bron!$B$10,'Bouwkost UITB'!$Y78,IF($X$4=Bron!$B$11,'Bouwkost VERB'!$Y78,IF($X$4=Bron!$B$12,'Bouwkost IER'!$Y77,IF(OR($X$4=Bron!$B$13,$X$4=Bron!$B$14),'Bouwkost VOLT'!$Y78,IF($X$4=Bron!$C$16,'Bouwkost AK+VERB'!$Y78,0))))))</f>
        <v>0</v>
      </c>
    </row>
    <row r="67" spans="1:26" x14ac:dyDescent="0.3">
      <c r="A67" s="638" t="s">
        <v>431</v>
      </c>
      <c r="B67" s="89">
        <f>IF(OR($B$4=Bron!$B$8,$B$4=Bron!$B$9,$B$4=Bron!$B$15),'Bouwkost NB'!$C80,IF($B$4=Bron!$B$10,'Bouwkost UITB'!$C79,IF($B$4=Bron!$B$11,'Bouwkost VERB'!$C79,IF($B$4=Bron!$B$12,'Bouwkost IER'!$C78,IF(OR($B$4=Bron!$B$13,$B$4=Bron!$B$14),'Bouwkost VOLT'!$C79,IF($B$4=Bron!$C$16,'Bouwkost AK+VERB'!$C79,0))))))</f>
        <v>0</v>
      </c>
      <c r="D67" s="89">
        <f>IF(OR($D$4=Bron!$B$8,$D$4=Bron!$B$9,$D$4=Bron!$B$15),'Bouwkost NB'!$C80,IF($D$4=Bron!$B$10,'Bouwkost UITB'!$C79,IF($D$4=Bron!$B$11,'Bouwkost VERB'!$C79,IF($D$4=Bron!$B$12,'Bouwkost IER'!$C78,IF(OR($D$4=Bron!$B$13,$D$4=Bron!$B$14),'Bouwkost VOLT'!$C79,IF($D$4=Bron!$C$16,'Bouwkost AK+VERB'!$C79,0))))))</f>
        <v>0</v>
      </c>
      <c r="F67" s="89">
        <f>IF(OR($F$4=Bron!$B$8,$F$4=Bron!$B$9,$F$4=Bron!$B$15),'Bouwkost NB'!$C80,IF($F$4=Bron!$B$10,'Bouwkost UITB'!$C79,IF($F$4=Bron!$B$11,'Bouwkost VERB'!$C79,IF($F$4=Bron!$B$12,'Bouwkost IER'!$C78,IF(OR($F$4=Bron!$B$13,$F$4=Bron!$B$14),'Bouwkost VOLT'!$C79,IF($F$4=Bron!$C$16,'Bouwkost AK+VERB'!$C79,0))))))</f>
        <v>0</v>
      </c>
      <c r="H67" s="89">
        <f>IF(OR($H$4=Bron!$B$8,$H$4=Bron!$B$9,$H$4=Bron!$B$15),'Bouwkost NB'!$C80,IF($H$4=Bron!$B$10,'Bouwkost UITB'!$C79,IF($H$4=Bron!$B$11,'Bouwkost VERB'!$C79,IF($H$4=Bron!$B$12,'Bouwkost IER'!$C78,IF(OR($H$4=Bron!$B$13,$H$4=Bron!$B$14),'Bouwkost VOLT'!$C79,IF($H$4=Bron!$C$16,'Bouwkost AK+VERB'!$C79,0))))))</f>
        <v>0</v>
      </c>
      <c r="J67" s="89">
        <f>IF(OR($J$4=Bron!$B$8,$J$4=Bron!$B$9,$J$4=Bron!$B$15),'Bouwkost NB'!$N80,IF($J$4=Bron!$B$10,'Bouwkost UITB'!$N79,IF($J$4=Bron!$B$11,'Bouwkost VERB'!$N79,IF($J$4=Bron!$B$12,'Bouwkost IER'!$N78,IF(OR($J$4=Bron!$B$13,$J$4=Bron!$B$14),'Bouwkost VOLT'!$N79,IF($J$4=Bron!$C$16,'Bouwkost AK+VERB'!$N79,0))))))</f>
        <v>0</v>
      </c>
      <c r="L67" s="89">
        <f>IF(OR($L$4=Bron!$B$8,$L$4=Bron!$B$9,$L$4=Bron!$B$15),'Bouwkost NB'!$N80,IF($L$4=Bron!$B$10,'Bouwkost UITB'!$N79,IF($L$4=Bron!$B$11,'Bouwkost VERB'!$N79,IF($L$4=Bron!$B$12,'Bouwkost IER'!$N78,IF(OR($L$4=Bron!$B$13,$L$4=Bron!$B$14),'Bouwkost VOLT'!$N79,IF($L$4=Bron!$C$16,'Bouwkost AK+VERB'!$N79,0))))))</f>
        <v>0</v>
      </c>
      <c r="N67" s="89">
        <f>IF(OR($N$4=Bron!$B$8,$N$4=Bron!$B$9,,$N$4=Bron!$B$15),'Bouwkost NB'!$N80,IF($N$4=Bron!$B$10,'Bouwkost UITB'!$N79,IF($N$4=Bron!$B$11,'Bouwkost VERB'!$N79,IF($N$4=Bron!$B$12,'Bouwkost IER'!$N78,IF(OR($N$4=Bron!$B$13,$N$4=Bron!$B$14),'Bouwkost VOLT'!$N79,IF($N$4=Bron!$C$16,'Bouwkost AK+VERB'!$N79,0))))))</f>
        <v>0</v>
      </c>
      <c r="P67" s="89">
        <f>IF(OR($P$4=Bron!$B$8,$P$4=Bron!$B$9,$P$4=Bron!$B$15),'Bouwkost NB'!$N80,IF($P$4=Bron!$B$10,'Bouwkost UITB'!$N79,IF($P$4=Bron!$B$11,'Bouwkost VERB'!$N79,IF($P$4=Bron!$B$12,'Bouwkost IER'!$N78,IF(OR($P$4=Bron!$B$13,$P$4=Bron!$B$14),'Bouwkost VOLT'!$N79,IF($P$4=Bron!$C$16,'Bouwkost AK+VERB'!$N79,0))))))</f>
        <v>0</v>
      </c>
      <c r="R67" s="89">
        <f>IF(OR($R$4=Bron!$B$8,$R$4=Bron!$B$9,$R$4=Bron!$B$15),'Bouwkost NB'!$Y80,IF($R$4=Bron!$B$10,'Bouwkost UITB'!$Y79,IF($R$4=Bron!$B$11,'Bouwkost VERB'!$Y79,IF($R$4=Bron!$B$12,'Bouwkost IER'!$Y78,IF(OR($R$4=Bron!$B$13,$R$4=Bron!$B$14),'Bouwkost VOLT'!$Y79,IF($R$4=Bron!$C$16,'Bouwkost AK+VERB'!$Y79,0))))))</f>
        <v>0</v>
      </c>
      <c r="T67" s="89">
        <f>IF(OR($T$4=Bron!$B$8,$T$4=Bron!$B$9,$T$4=Bron!$B$15),'Bouwkost NB'!$Y80,IF($T$4=Bron!$B$10,'Bouwkost UITB'!$Y79,IF($T$4=Bron!$B$11,'Bouwkost VERB'!$Y79,IF($T$4=Bron!$B$12,'Bouwkost IER'!$Y78,IF(OR($T$4=Bron!$B$13,$T$4=Bron!$B$14),'Bouwkost VOLT'!$Y79,IF($T$4=Bron!$C$16,'Bouwkost AK+VERB'!$Y79,0))))))</f>
        <v>0</v>
      </c>
      <c r="V67" s="89">
        <f>IF(OR($N$4=Bron!$B$8,$N$4=Bron!$B$9,$N$4=Bron!$B$15),'Bouwkost NB'!$Y80,IF($N$4=Bron!$B$10,'Bouwkost UITB'!$Y79,IF($N$4=Bron!$B$11,'Bouwkost VERB'!$Y79,IF($N$4=Bron!$B$12,'Bouwkost IER'!$Y78,IF(OR($N$4=Bron!$B$13,$N$4=Bron!$B$14),'Bouwkost VOLT'!$Y79,IF($N$4=Bron!$C$16,'Bouwkost AK+VERB'!$Y79,0))))))</f>
        <v>0</v>
      </c>
      <c r="X67" s="89">
        <f>IF(OR($X$4=Bron!$B$8,$X$4=Bron!$B$9,$X$4=Bron!$B$15),'Bouwkost NB'!$Y80,IF($X$4=Bron!$B$10,'Bouwkost UITB'!$Y79,IF($X$4=Bron!$B$11,'Bouwkost VERB'!$Y79,IF($X$4=Bron!$B$12,'Bouwkost IER'!$Y78,IF(OR($X$4=Bron!$B$13,$X$4=Bron!$B$14),'Bouwkost VOLT'!$Y79,IF($X$4=Bron!$C$16,'Bouwkost AK+VERB'!$Y79,0))))))</f>
        <v>0</v>
      </c>
    </row>
    <row r="68" spans="1:26" ht="15" thickBot="1" x14ac:dyDescent="0.35">
      <c r="A68" s="18"/>
    </row>
    <row r="69" spans="1:26" ht="15" thickBot="1" x14ac:dyDescent="0.35">
      <c r="A69" s="307" t="s">
        <v>471</v>
      </c>
      <c r="B69" s="597">
        <f>SUM(B47:B49)+B5+B9</f>
        <v>0</v>
      </c>
      <c r="C69" s="597"/>
      <c r="D69" s="597">
        <f>IF(OR($D$4=Bron!$B$8,$D$4=Bron!$B$9,$D$4=Bron!$B$15),'Bouwkost NB'!$C82,IF($D$4=Bron!$B$10,'Bouwkost UITB'!$C81,IF($D$4=Bron!$B$11,'Bouwkost VERB'!$C81,IF($D$4=Bron!$B$12,'Bouwkost IER'!$C80,IF(OR($D$4=Bron!$B$13,$D$4=Bron!$B$14),'Bouwkost VOLT'!$C81,IF($D$4=Bron!$C$16,'Bouwkost AK+VERB'!$C81,0))))))</f>
        <v>0</v>
      </c>
      <c r="E69" s="597"/>
      <c r="F69" s="597">
        <f>IF(OR($F$4=Bron!$B$8,$F$4=Bron!$B$9,$F$4=Bron!$B$15),'Bouwkost NB'!$C82,IF($F$4=Bron!$B$10,'Bouwkost UITB'!$C81,IF($F$4=Bron!$B$11,'Bouwkost VERB'!$C81,IF($F$4=Bron!$B$12,'Bouwkost IER'!$C80,IF(OR($F$4=Bron!$B$13,$F$4=Bron!$B$14),'Bouwkost VOLT'!$C81,IF($F$4=Bron!$C$16,'Bouwkost AK+VERB'!$C81,0))))))</f>
        <v>0</v>
      </c>
      <c r="G69" s="597"/>
      <c r="H69" s="597">
        <f>IF(OR($H$4=Bron!$B$8,$H$4=Bron!$B$9,$H$4=Bron!$B$15),'Bouwkost NB'!$C82,IF($H$4=Bron!$B$10,'Bouwkost UITB'!$C81,IF($H$4=Bron!$B$11,'Bouwkost VERB'!$C81,IF($H$4=Bron!$B$12,'Bouwkost IER'!$C80,IF(OR($H$4=Bron!$B$13,$H$4=Bron!$B$14),'Bouwkost VOLT'!$C81,IF($H$4=Bron!$C$16,'Bouwkost AK+VERB'!$C81,0))))))</f>
        <v>0</v>
      </c>
      <c r="I69" s="597"/>
      <c r="J69" s="597">
        <f>IF(OR($J$4=Bron!$B$8,$J$4=Bron!$B$9,$J$4=Bron!$B$15),'Bouwkost NB'!$N82,IF($J$4=Bron!$B$10,'Bouwkost UITB'!$N81,IF($J$4=Bron!$B$11,'Bouwkost VERB'!$N81,IF($J$4=Bron!$B$12,'Bouwkost IER'!$N80,IF(OR($J$4=Bron!$B$13,$J$4=Bron!$B$14),'Bouwkost VOLT'!$N81,IF($J$4=Bron!$C$16,'Bouwkost AK+VERB'!$N81,0))))))</f>
        <v>0</v>
      </c>
      <c r="K69" s="597"/>
      <c r="L69" s="597">
        <f>IF(OR($L$4=Bron!$B$8,$L$4=Bron!$B$9,$L$4=Bron!$B$15),'Bouwkost NB'!$N82,IF($L$4=Bron!$B$10,'Bouwkost UITB'!$N81,IF($L$4=Bron!$B$11,'Bouwkost VERB'!$N81,IF($L$4=Bron!$B$12,'Bouwkost IER'!$N80,IF(OR($L$4=Bron!$B$13,$L$4=Bron!$B$14),'Bouwkost VOLT'!$N81,IF($L$4=Bron!$C$16,'Bouwkost AK+VERB'!$N81,0))))))</f>
        <v>0</v>
      </c>
      <c r="M69" s="597"/>
      <c r="N69" s="597">
        <f>IF(OR($N$4=Bron!$B$8,$N$4=Bron!$B$9,,$N$4=Bron!$B$15),'Bouwkost NB'!$N82,IF($N$4=Bron!$B$10,'Bouwkost UITB'!$N81,IF($N$4=Bron!$B$11,'Bouwkost VERB'!$N81,IF($N$4=Bron!$B$12,'Bouwkost IER'!$N80,IF(OR($N$4=Bron!$B$13,$N$4=Bron!$B$14),'Bouwkost VOLT'!$N81,IF($N$4=Bron!$C$16,'Bouwkost AK+VERB'!$N81,0))))))</f>
        <v>0</v>
      </c>
      <c r="O69" s="597"/>
      <c r="P69" s="597">
        <f>IF(OR($P$4=Bron!$B$8,$P$4=Bron!$B$9,$P$4=Bron!$B$15),'Bouwkost NB'!$N82,IF($P$4=Bron!$B$10,'Bouwkost UITB'!$N81,IF($P$4=Bron!$B$11,'Bouwkost VERB'!$N81,IF($P$4=Bron!$B$12,'Bouwkost IER'!$N80,IF(OR($P$4=Bron!$B$13,$P$4=Bron!$B$14),'Bouwkost VOLT'!$N81,IF($P$4=Bron!$C$16,'Bouwkost AK+VERB'!$N81,0))))))</f>
        <v>0</v>
      </c>
      <c r="Q69" s="597"/>
      <c r="R69" s="597">
        <f>IF(OR($R$4=Bron!$B$8,$R$4=Bron!$B$9,$R$4=Bron!$B$15),'Bouwkost NB'!$Y82,IF($R$4=Bron!$B$10,'Bouwkost UITB'!$Y81,IF($R$4=Bron!$B$11,'Bouwkost VERB'!$Y81,IF($R$4=Bron!$B$12,'Bouwkost IER'!$Y80,IF(OR($R$4=Bron!$B$13,$R$4=Bron!$B$14),'Bouwkost VOLT'!$Y81,IF($R$4=Bron!$C$16,'Bouwkost AK+VERB'!$Y81,0))))))</f>
        <v>0</v>
      </c>
      <c r="S69" s="597"/>
      <c r="T69" s="597">
        <f>IF(OR($T$4=Bron!$B$8,$T$4=Bron!$B$9,$T$4=Bron!$B$15),'Bouwkost NB'!$Y82,IF($T$4=Bron!$B$10,'Bouwkost UITB'!$Y81,IF($T$4=Bron!$B$11,'Bouwkost VERB'!$Y81,IF($T$4=Bron!$B$12,'Bouwkost IER'!$Y80,IF(OR($T$4=Bron!$B$13,$T$4=Bron!$B$14),'Bouwkost VOLT'!$Y81,IF($T$4=Bron!$C$16,'Bouwkost AK+VERB'!$Y81,0))))))</f>
        <v>0</v>
      </c>
      <c r="U69" s="597"/>
      <c r="V69" s="597">
        <f>IF(OR($N$4=Bron!$B$8,$N$4=Bron!$B$9,$N$4=Bron!$B$15),'Bouwkost NB'!$Y82,IF($N$4=Bron!$B$10,'Bouwkost UITB'!$Y81,IF($N$4=Bron!$B$11,'Bouwkost VERB'!$Y81,IF($N$4=Bron!$B$12,'Bouwkost IER'!$Y80,IF(OR($N$4=Bron!$B$13,$N$4=Bron!$B$14),'Bouwkost VOLT'!$Y81,IF($N$4=Bron!$C$16,'Bouwkost AK+VERB'!$Y81,0))))))</f>
        <v>0</v>
      </c>
      <c r="W69" s="597"/>
      <c r="X69" s="597">
        <f>IF(OR($X$4=Bron!$B$8,$X$4=Bron!$B$9,$X$4=Bron!$B$15),'Bouwkost NB'!$Y82,IF($X$4=Bron!$B$10,'Bouwkost UITB'!$Y81,IF($X$4=Bron!$B$11,'Bouwkost VERB'!$Y81,IF($X$4=Bron!$B$12,'Bouwkost IER'!$Y80,IF(OR($X$4=Bron!$B$13,$X$4=Bron!$B$14),'Bouwkost VOLT'!$Y81,IF($X$4=Bron!$C$16,'Bouwkost AK+VERB'!$Y81,0))))))</f>
        <v>0</v>
      </c>
      <c r="Y69" s="819">
        <f>SUM(B69:X69)</f>
        <v>0</v>
      </c>
    </row>
    <row r="70" spans="1:26" x14ac:dyDescent="0.3">
      <c r="A70" s="307" t="s">
        <v>503</v>
      </c>
      <c r="B70" s="51">
        <f>'uitgebreide raming_gewijzigd'!B26</f>
        <v>0</v>
      </c>
      <c r="C70" s="51"/>
      <c r="D70" s="51">
        <f>'uitgebreide raming_gewijzigd'!D26</f>
        <v>0</v>
      </c>
      <c r="E70" s="51"/>
      <c r="F70" s="51">
        <f>'uitgebreide raming_gewijzigd'!F26</f>
        <v>0</v>
      </c>
      <c r="G70" s="51"/>
      <c r="H70" s="51">
        <f>'uitgebreide raming_gewijzigd'!H26</f>
        <v>0</v>
      </c>
      <c r="I70" s="51"/>
      <c r="J70" s="51">
        <f>'uitgebreide raming_gewijzigd'!B53</f>
        <v>0</v>
      </c>
      <c r="K70" s="51"/>
      <c r="L70" s="51">
        <f>'uitgebreide raming_gewijzigd'!D53</f>
        <v>0</v>
      </c>
      <c r="M70" s="51"/>
      <c r="N70" s="51">
        <f>'uitgebreide raming_gewijzigd'!F53</f>
        <v>0</v>
      </c>
      <c r="O70" s="51"/>
      <c r="P70" s="51">
        <f>'uitgebreide raming_gewijzigd'!H53</f>
        <v>0</v>
      </c>
      <c r="Q70" s="51"/>
      <c r="R70" s="51">
        <f>'uitgebreide raming_gewijzigd'!B80</f>
        <v>0</v>
      </c>
      <c r="S70" s="51"/>
      <c r="T70" s="51">
        <f>'uitgebreide raming_gewijzigd'!D80</f>
        <v>0</v>
      </c>
      <c r="U70" s="51"/>
      <c r="V70" s="51">
        <f>'uitgebreide raming_gewijzigd'!F80</f>
        <v>0</v>
      </c>
      <c r="W70" s="51"/>
      <c r="X70" s="51">
        <f>'uitgebreide raming_gewijzigd'!H80</f>
        <v>0</v>
      </c>
      <c r="Y70" s="819">
        <f>SUM(B70:X70)</f>
        <v>0</v>
      </c>
    </row>
    <row r="71" spans="1:26" x14ac:dyDescent="0.3">
      <c r="A71" s="380" t="s">
        <v>134</v>
      </c>
      <c r="B71" s="301">
        <f>ROUND((B13+B20+B28)*C71,2)</f>
        <v>0</v>
      </c>
      <c r="C71" s="803">
        <f>IF(ISNUMBER(MATCH(B4,'Overzicht BTA'!$B$13:$B$19,0)),VLOOKUP(B4,'Overzicht BTA'!$B$13:$C$19,2,FALSE),0.21)</f>
        <v>0.21</v>
      </c>
      <c r="D71" s="301">
        <f>ROUND((D13+D20+D28)*E71,2)</f>
        <v>0</v>
      </c>
      <c r="E71" s="803">
        <f>IF(ISNUMBER(MATCH(D4,'Overzicht BTA'!$B$13:$B$19,0)),VLOOKUP(D4,'Overzicht BTA'!$B$13:$C$19,2,FALSE),0.21)</f>
        <v>0.21</v>
      </c>
      <c r="F71" s="301">
        <f>ROUND((F13+F20+F28)*G71,2)</f>
        <v>0</v>
      </c>
      <c r="G71" s="803">
        <f>IF(ISNUMBER(MATCH(F4,'Overzicht BTA'!$B$13:$B$19,0)),VLOOKUP(F4,'Overzicht BTA'!$B$13:$C$19,2,FALSE),0.21)</f>
        <v>0.21</v>
      </c>
      <c r="H71" s="301">
        <f>ROUND((H13+H20+H28)*I71,2)</f>
        <v>0</v>
      </c>
      <c r="I71" s="803">
        <f>IF(ISNUMBER(MATCH(H4,'Overzicht BTA'!$B$13:$B$19,0)),VLOOKUP(H4,'Overzicht BTA'!$B$13:$C$19,2,FALSE),0.21)</f>
        <v>0.21</v>
      </c>
      <c r="J71" s="301">
        <f>ROUND((J13+J20+J28)*K71,2)</f>
        <v>0</v>
      </c>
      <c r="K71" s="803">
        <f>IF(ISNUMBER(MATCH(J4,'Overzicht BTA'!$H$13:$H$19,0)),VLOOKUP(J4,'Overzicht BTA'!$H$13:$I$19,2,FALSE),0.21)</f>
        <v>0.21</v>
      </c>
      <c r="L71" s="301">
        <f>ROUND((L13+L20+L28)*M71,2)</f>
        <v>0</v>
      </c>
      <c r="M71" s="803">
        <f>IF(ISNUMBER(MATCH(L4,'Overzicht BTA'!$H$13:$H$19,0)),VLOOKUP(L4,'Overzicht BTA'!$H$13:$I$19,2,FALSE),0.21)</f>
        <v>0.21</v>
      </c>
      <c r="N71" s="301">
        <f>ROUND((N13+N20+N28)*O71,2)</f>
        <v>0</v>
      </c>
      <c r="O71" s="803">
        <f>IF(ISNUMBER(MATCH(N4,'Overzicht BTA'!$H$13:$H$19,0)),VLOOKUP(N4,'Overzicht BTA'!$H$13:$I$19,2,FALSE),0.21)</f>
        <v>0.21</v>
      </c>
      <c r="P71" s="301">
        <f>ROUND((P13+P20+P28)*Q71,2)</f>
        <v>0</v>
      </c>
      <c r="Q71" s="803">
        <f>IF(ISNUMBER(MATCH(P4,'Overzicht BTA'!$H$13:$H$19,0)),VLOOKUP(P4,'Overzicht BTA'!$H$13:$I$19,2,FALSE),0.21)</f>
        <v>0.21</v>
      </c>
      <c r="R71" s="301">
        <f>ROUND((R13+R20+R28)*S71,2)</f>
        <v>0</v>
      </c>
      <c r="S71" s="803">
        <f>IF(ISNUMBER(MATCH(R4,'Overzicht BTA'!$N$13:$N$19,0)),VLOOKUP(R4,'Overzicht BTA'!$N$13:$O$19,2,FALSE),0.21)</f>
        <v>0.21</v>
      </c>
      <c r="T71" s="301">
        <f>ROUND((T13+T20+T28)*U71,2)</f>
        <v>0</v>
      </c>
      <c r="U71" s="803">
        <f>IF(ISNUMBER(MATCH(T4,'Overzicht BTA'!$N$13:$N$19,0)),VLOOKUP(T4,'Overzicht BTA'!$N$13:$O$19,2,FALSE),0.21)</f>
        <v>0.21</v>
      </c>
      <c r="V71" s="301">
        <f>ROUND((V13+V20+V28)*W71,2)</f>
        <v>0</v>
      </c>
      <c r="W71" s="803">
        <f>IF(ISNUMBER(MATCH(V4,'Overzicht BTA'!$N$13:$N$19,0)),VLOOKUP(V4,'Overzicht BTA'!$N$13:$O$19,2,FALSE),0.21)</f>
        <v>0.21</v>
      </c>
      <c r="X71" s="301">
        <f>ROUND((X13+X20+X28)*Y71,2)</f>
        <v>0</v>
      </c>
      <c r="Y71" s="803">
        <f>IF(ISNUMBER(MATCH(X4,'Overzicht BTA'!$N$13:$N$19,0)),VLOOKUP(X4,'Overzicht BTA'!$N$13:$O$19,2,FALSE),0.21)</f>
        <v>0.21</v>
      </c>
    </row>
    <row r="72" spans="1:26" x14ac:dyDescent="0.3">
      <c r="A72" s="380" t="s">
        <v>135</v>
      </c>
      <c r="B72" s="301">
        <f>'uitgebreide raming'!B20</f>
        <v>0</v>
      </c>
      <c r="C72" s="35">
        <v>0.06</v>
      </c>
      <c r="D72" s="301">
        <f>'uitgebreide raming'!D20</f>
        <v>0</v>
      </c>
      <c r="E72" s="35">
        <v>0.06</v>
      </c>
      <c r="F72" s="301">
        <f>'uitgebreide raming'!F20</f>
        <v>0</v>
      </c>
      <c r="G72" s="35">
        <v>0.06</v>
      </c>
      <c r="H72" s="301">
        <f>'uitgebreide raming'!H20</f>
        <v>0</v>
      </c>
      <c r="I72" s="35">
        <v>0.06</v>
      </c>
      <c r="J72" s="301">
        <f>J44*K72</f>
        <v>0</v>
      </c>
      <c r="K72" s="35">
        <v>0.06</v>
      </c>
      <c r="L72" s="301">
        <f>L44*M72</f>
        <v>0</v>
      </c>
      <c r="M72" s="35">
        <v>0.06</v>
      </c>
      <c r="N72" s="301">
        <f>N44*O72</f>
        <v>0</v>
      </c>
      <c r="O72" s="35">
        <v>0.06</v>
      </c>
      <c r="P72" s="301">
        <f>P44*Q72</f>
        <v>0</v>
      </c>
      <c r="Q72" s="35">
        <v>0.06</v>
      </c>
      <c r="R72" s="301">
        <f>R44*S72</f>
        <v>0</v>
      </c>
      <c r="S72" s="35">
        <v>0.06</v>
      </c>
      <c r="T72" s="301">
        <f>T44*U72</f>
        <v>0</v>
      </c>
      <c r="U72" s="35">
        <v>0.06</v>
      </c>
      <c r="V72" s="301">
        <f>V44*W72</f>
        <v>0</v>
      </c>
      <c r="W72" s="35">
        <v>0.06</v>
      </c>
      <c r="X72" s="301">
        <f>X44*Y72</f>
        <v>0</v>
      </c>
      <c r="Y72" s="35">
        <v>0.06</v>
      </c>
    </row>
    <row r="73" spans="1:26" x14ac:dyDescent="0.3">
      <c r="A73" s="380" t="s">
        <v>136</v>
      </c>
      <c r="B73" s="301">
        <f>'uitgebreide raming'!B21</f>
        <v>0</v>
      </c>
      <c r="C73" s="35">
        <v>0.21</v>
      </c>
      <c r="D73" s="301">
        <f>'uitgebreide raming'!D21</f>
        <v>0</v>
      </c>
      <c r="E73" s="35">
        <v>0.21</v>
      </c>
      <c r="F73" s="301">
        <f>'uitgebreide raming'!F21</f>
        <v>0</v>
      </c>
      <c r="G73" s="35">
        <v>0.21</v>
      </c>
      <c r="H73" s="301">
        <f>'uitgebreide raming'!H21</f>
        <v>0</v>
      </c>
      <c r="I73" s="35">
        <v>0.21</v>
      </c>
      <c r="J73" s="301">
        <f>ROUND((J40+J38)*K73,2)</f>
        <v>0</v>
      </c>
      <c r="K73" s="35">
        <v>0.21</v>
      </c>
      <c r="L73" s="301">
        <f>ROUND((L40+L38)*M73,2)</f>
        <v>0</v>
      </c>
      <c r="M73" s="35">
        <v>0.21</v>
      </c>
      <c r="N73" s="301">
        <f>ROUND((N40+N38)*O73,2)</f>
        <v>0</v>
      </c>
      <c r="O73" s="35">
        <v>0.21</v>
      </c>
      <c r="P73" s="301">
        <f>ROUND((P40+P38)*Q73,2)</f>
        <v>0</v>
      </c>
      <c r="Q73" s="35">
        <v>0.21</v>
      </c>
      <c r="R73" s="301">
        <f>ROUND((R40+R38)*S73,2)</f>
        <v>0</v>
      </c>
      <c r="S73" s="35">
        <v>0.21</v>
      </c>
      <c r="T73" s="301">
        <f>ROUND((T40+T38)*U73,2)</f>
        <v>0</v>
      </c>
      <c r="U73" s="35">
        <v>0.21</v>
      </c>
      <c r="V73" s="301">
        <f>ROUND((V40+V38)*W73,2)</f>
        <v>0</v>
      </c>
      <c r="W73" s="35">
        <v>0.21</v>
      </c>
      <c r="X73" s="301">
        <f>ROUND((X40+X38)*Y73,2)</f>
        <v>0</v>
      </c>
      <c r="Y73" s="35">
        <v>0.21</v>
      </c>
    </row>
    <row r="74" spans="1:26" x14ac:dyDescent="0.3">
      <c r="A74" s="380" t="s">
        <v>137</v>
      </c>
      <c r="B74" s="798">
        <f>'uitgebreide raming'!B22</f>
        <v>0</v>
      </c>
      <c r="C74" s="634">
        <f>IFERROR(B74/(B69-B65-B63),0)</f>
        <v>0</v>
      </c>
      <c r="D74" s="798">
        <f>'uitgebreide raming'!D22</f>
        <v>0</v>
      </c>
      <c r="E74" s="634">
        <f>IFERROR(D74/(D69-D65-D63),0)</f>
        <v>0</v>
      </c>
      <c r="F74" s="798">
        <f>'uitgebreide raming'!F22</f>
        <v>0</v>
      </c>
      <c r="G74" s="634">
        <f>IFERROR(F74/(F69-F65-F63),0)</f>
        <v>0</v>
      </c>
      <c r="H74" s="798">
        <f>'uitgebreide raming'!H22</f>
        <v>0</v>
      </c>
      <c r="I74" s="634">
        <f>IFERROR(H74/(H69-H65-H63),0)</f>
        <v>0</v>
      </c>
      <c r="J74" s="798">
        <f>J51</f>
        <v>0</v>
      </c>
      <c r="K74" s="634">
        <f>IFERROR(J74/(J69-J65-J63),0)</f>
        <v>0</v>
      </c>
      <c r="L74" s="798">
        <f>L51</f>
        <v>0</v>
      </c>
      <c r="M74" s="634">
        <f>IFERROR(L74/(L69-L65-L63),0)</f>
        <v>0</v>
      </c>
      <c r="N74" s="798">
        <f>N51</f>
        <v>0</v>
      </c>
      <c r="O74" s="634">
        <f>IFERROR(N74/(N69-N65-N63),0)</f>
        <v>0</v>
      </c>
      <c r="P74" s="798">
        <f>P51</f>
        <v>0</v>
      </c>
      <c r="Q74" s="634">
        <f>IFERROR(P74/(P69-P65-P63),0)</f>
        <v>0</v>
      </c>
      <c r="R74" s="798">
        <f>R51</f>
        <v>0</v>
      </c>
      <c r="S74" s="634">
        <f>IFERROR(R74/(R69-R65-R63),0)</f>
        <v>0</v>
      </c>
      <c r="T74" s="798">
        <f>T51</f>
        <v>0</v>
      </c>
      <c r="U74" s="634">
        <f>IFERROR(T74/(T69-T65-T63),0)</f>
        <v>0</v>
      </c>
      <c r="V74" s="798">
        <f>V51</f>
        <v>0</v>
      </c>
      <c r="W74" s="634">
        <f>IFERROR(V74/(V69-V65-V63),0)</f>
        <v>0</v>
      </c>
      <c r="X74" s="798">
        <f>X51</f>
        <v>0</v>
      </c>
      <c r="Y74" s="634">
        <f>IFERROR(X74/(X69-X65-X63),0)</f>
        <v>0</v>
      </c>
    </row>
    <row r="75" spans="1:26" x14ac:dyDescent="0.3">
      <c r="A75" s="380" t="s">
        <v>138</v>
      </c>
      <c r="B75" s="798">
        <f>'uitgebreide raming'!B23</f>
        <v>0</v>
      </c>
      <c r="C75" s="35">
        <v>0.21</v>
      </c>
      <c r="D75" s="798">
        <f>'uitgebreide raming'!D23</f>
        <v>0</v>
      </c>
      <c r="E75" s="35">
        <v>0.21</v>
      </c>
      <c r="F75" s="798">
        <f>'uitgebreide raming'!F23</f>
        <v>0</v>
      </c>
      <c r="G75" s="35">
        <v>0.21</v>
      </c>
      <c r="H75" s="798">
        <f>'uitgebreide raming'!H23</f>
        <v>0</v>
      </c>
      <c r="I75" s="35">
        <v>0.21</v>
      </c>
      <c r="J75" s="301">
        <f>ROUND(J74*K75,2)</f>
        <v>0</v>
      </c>
      <c r="K75" s="35">
        <v>0.21</v>
      </c>
      <c r="L75" s="301">
        <f>ROUND(L74*M75,2)</f>
        <v>0</v>
      </c>
      <c r="M75" s="35">
        <v>0.21</v>
      </c>
      <c r="N75" s="301">
        <f>ROUND(N74*O75,2)</f>
        <v>0</v>
      </c>
      <c r="O75" s="35">
        <v>0.21</v>
      </c>
      <c r="P75" s="301">
        <f>ROUND(P74*Q75,2)</f>
        <v>0</v>
      </c>
      <c r="Q75" s="35">
        <v>0.21</v>
      </c>
      <c r="R75" s="301">
        <f>ROUND(R74*S75,2)</f>
        <v>0</v>
      </c>
      <c r="S75" s="35">
        <v>0.21</v>
      </c>
      <c r="T75" s="301">
        <f>ROUND(T74*U75,2)</f>
        <v>0</v>
      </c>
      <c r="U75" s="35">
        <v>0.21</v>
      </c>
      <c r="V75" s="301">
        <f>ROUND(V74*W75,2)</f>
        <v>0</v>
      </c>
      <c r="W75" s="35">
        <v>0.21</v>
      </c>
      <c r="X75" s="301">
        <f>ROUND(X74*Y75,2)</f>
        <v>0</v>
      </c>
      <c r="Y75" s="35">
        <v>0.21</v>
      </c>
    </row>
    <row r="76" spans="1:26" x14ac:dyDescent="0.3">
      <c r="A76" s="383" t="s">
        <v>139</v>
      </c>
      <c r="B76" s="804">
        <f>SUM(B71:B75)</f>
        <v>0</v>
      </c>
      <c r="C76" s="35"/>
      <c r="D76" s="804">
        <f>SUM(D71:D75)</f>
        <v>0</v>
      </c>
      <c r="E76" s="35"/>
      <c r="F76" s="804">
        <f>SUM(F71:F75)</f>
        <v>0</v>
      </c>
      <c r="G76" s="35"/>
      <c r="H76" s="804">
        <f>SUM(H71:H75)</f>
        <v>0</v>
      </c>
      <c r="I76" s="35"/>
      <c r="J76" s="804">
        <f>SUM(J71:J75)</f>
        <v>0</v>
      </c>
      <c r="K76" s="35"/>
      <c r="L76" s="804">
        <f>SUM(L71:L75)</f>
        <v>0</v>
      </c>
      <c r="M76" s="35"/>
      <c r="N76" s="804">
        <f>SUM(N71:N75)</f>
        <v>0</v>
      </c>
      <c r="O76" s="35"/>
      <c r="P76" s="804">
        <f>SUM(P71:P75)</f>
        <v>0</v>
      </c>
      <c r="Q76" s="35"/>
      <c r="R76" s="804">
        <f>SUM(R71:R75)</f>
        <v>0</v>
      </c>
      <c r="S76" s="35"/>
      <c r="T76" s="804">
        <f>SUM(T71:T75)</f>
        <v>0</v>
      </c>
      <c r="U76" s="35"/>
      <c r="V76" s="804">
        <f>SUM(V71:V75)</f>
        <v>0</v>
      </c>
      <c r="W76" s="35"/>
      <c r="X76" s="804">
        <f>SUM(X71:X75)</f>
        <v>0</v>
      </c>
      <c r="Y76" s="35"/>
    </row>
    <row r="77" spans="1:26" x14ac:dyDescent="0.3">
      <c r="A77" s="582" t="s">
        <v>140</v>
      </c>
      <c r="B77" s="583">
        <f>B9+B5</f>
        <v>0</v>
      </c>
      <c r="C77" s="51"/>
      <c r="D77" s="583">
        <f>D9+D5</f>
        <v>0</v>
      </c>
      <c r="E77" s="51"/>
      <c r="F77" s="583">
        <f>F9+F5</f>
        <v>0</v>
      </c>
      <c r="G77" s="51"/>
      <c r="H77" s="583">
        <f>H9+H5</f>
        <v>0</v>
      </c>
      <c r="I77" s="51"/>
      <c r="J77" s="583">
        <f>J9+J5</f>
        <v>0</v>
      </c>
      <c r="K77" s="51"/>
      <c r="L77" s="583">
        <f>L9+L5</f>
        <v>0</v>
      </c>
      <c r="M77" s="51"/>
      <c r="N77" s="583">
        <f>N9+N5</f>
        <v>0</v>
      </c>
      <c r="O77" s="51"/>
      <c r="P77" s="583">
        <f>P9+P5</f>
        <v>0</v>
      </c>
      <c r="Q77" s="51"/>
      <c r="R77" s="583">
        <f>R9+R5</f>
        <v>0</v>
      </c>
      <c r="S77" s="51"/>
      <c r="T77" s="583">
        <f>T9+T5</f>
        <v>0</v>
      </c>
      <c r="U77" s="51"/>
      <c r="V77" s="583">
        <f>V9+V5</f>
        <v>0</v>
      </c>
      <c r="W77" s="51"/>
      <c r="X77" s="583">
        <f>X9+X5</f>
        <v>0</v>
      </c>
      <c r="Y77" s="51"/>
    </row>
    <row r="78" spans="1:26" ht="28.8" x14ac:dyDescent="0.3">
      <c r="A78" s="381" t="s">
        <v>141</v>
      </c>
      <c r="B78" s="801">
        <f>B69+B76</f>
        <v>0</v>
      </c>
      <c r="D78" s="801">
        <f>D69+D76</f>
        <v>0</v>
      </c>
      <c r="F78" s="801">
        <f>F69+F76</f>
        <v>0</v>
      </c>
      <c r="H78" s="801">
        <f>H69+H76</f>
        <v>0</v>
      </c>
      <c r="J78" s="801">
        <f>J69+J76</f>
        <v>0</v>
      </c>
      <c r="L78" s="801">
        <f>L69+L76</f>
        <v>0</v>
      </c>
      <c r="N78" s="801">
        <f>N69+N76</f>
        <v>0</v>
      </c>
      <c r="P78" s="801">
        <f>P69+P76</f>
        <v>0</v>
      </c>
      <c r="R78" s="801">
        <f>R69+R76</f>
        <v>0</v>
      </c>
      <c r="T78" s="801">
        <f>T69+T76</f>
        <v>0</v>
      </c>
      <c r="V78" s="801">
        <f>V69+V76</f>
        <v>0</v>
      </c>
      <c r="X78" s="801">
        <f>X69+X76</f>
        <v>0</v>
      </c>
      <c r="Y78" s="599">
        <f>SUM(B78:X78)</f>
        <v>0</v>
      </c>
      <c r="Z78" s="680" t="s">
        <v>504</v>
      </c>
    </row>
    <row r="79" spans="1:26" ht="43.2" x14ac:dyDescent="0.3">
      <c r="A79" s="307" t="s">
        <v>61</v>
      </c>
      <c r="Y79" s="963">
        <f>IFERROR((Y78-Y69)/Y69,0)</f>
        <v>0</v>
      </c>
      <c r="Z79" s="681" t="s">
        <v>505</v>
      </c>
    </row>
    <row r="80" spans="1:26" x14ac:dyDescent="0.3">
      <c r="A80" s="22" t="s">
        <v>475</v>
      </c>
      <c r="B80" s="89">
        <f>IF(OR($B$4=Bron!$B$8,$B$4=Bron!$B$9,$B$4=Bron!$B$15),'Bouwkost NB'!$C87,IF($B$4=Bron!$B$10,'Bouwkost UITB'!$C86,IF($B$4=Bron!$B$11,'Bouwkost VERB'!$C86,IF($B$4=Bron!$B$12,'Bouwkost IER'!$C85,IF(OR($B$4=Bron!$B$13,$B$4=Bron!$B$14),'Bouwkost VOLT'!$C86,IF($B$4=Bron!$C$16,'Bouwkost AK+VERB'!$C86,0))))))</f>
        <v>0</v>
      </c>
      <c r="D80" s="89">
        <f>IF(OR($D$4=Bron!$B$8,$D$4=Bron!$B$9,$D$4=Bron!$B$15),'Bouwkost NB'!$C87,IF($D$4=Bron!$B$10,'Bouwkost UITB'!$C86,IF($D$4=Bron!$B$11,'Bouwkost VERB'!$C86,IF($D$4=Bron!$B$12,'Bouwkost IER'!$C85,IF(OR($D$4=Bron!$B$13,$D$4=Bron!$B$14),'Bouwkost VOLT'!$C86,IF($D$4=Bron!$C$16,'Bouwkost AK+VERB'!$C86,0))))))</f>
        <v>0</v>
      </c>
      <c r="F80" s="89">
        <f>IF(OR($F$4=Bron!$B$8,$F$4=Bron!$B$9,$F$4=Bron!$B$15),'Bouwkost NB'!$C87,IF($F$4=Bron!$B$10,'Bouwkost UITB'!$C86,IF($F$4=Bron!$B$11,'Bouwkost VERB'!$C86,IF($F$4=Bron!$B$12,'Bouwkost IER'!$C85,IF(OR($F$4=Bron!$B$13,$F$4=Bron!$B$14),'Bouwkost VOLT'!$C86,IF($F$4=Bron!$C$16,'Bouwkost AK+VERB'!$C86,0))))))</f>
        <v>0</v>
      </c>
      <c r="H80" s="89">
        <f>IF(OR($H$4=Bron!$B$8,$H$4=Bron!$B$9,$H$4=Bron!$B$15),'Bouwkost NB'!$C87,IF($H$4=Bron!$B$10,'Bouwkost UITB'!$C86,IF($H$4=Bron!$B$11,'Bouwkost VERB'!$C86,IF($H$4=Bron!$B$12,'Bouwkost IER'!$C85,IF(OR($H$4=Bron!$B$13,$H$4=Bron!$B$14),'Bouwkost VOLT'!$C86,IF($H$4=Bron!$C$16,'Bouwkost AK+VERB'!$C86,0))))))</f>
        <v>0</v>
      </c>
      <c r="J80" s="89">
        <f>IF(OR($J$4=Bron!$B$8,$J$4=Bron!$B$9,$J$4=Bron!$B$15),'Bouwkost NB'!$N87,IF($J$4=Bron!$B$10,'Bouwkost UITB'!$N86,IF($J$4=Bron!$B$11,'Bouwkost VERB'!$N86,IF($J$4=Bron!$B$12,'Bouwkost IER'!$N85,IF(OR($J$4=Bron!$B$13,$J$4=Bron!$B$14),'Bouwkost VOLT'!$N86,IF($J$4=Bron!$C$16,'Bouwkost AK+VERB'!$N86,0))))))</f>
        <v>0</v>
      </c>
      <c r="L80" s="89">
        <f>IF(OR($L$4=Bron!$B$8,$L$4=Bron!$B$9,$L$4=Bron!$B$15),'Bouwkost NB'!$N87,IF($L$4=Bron!$B$10,'Bouwkost UITB'!$N86,IF($L$4=Bron!$B$11,'Bouwkost VERB'!$N86,IF($L$4=Bron!$B$12,'Bouwkost IER'!$N85,IF(OR($L$4=Bron!$B$13,$L$4=Bron!$B$14),'Bouwkost VOLT'!$N86,IF($L$4=Bron!$C$16,'Bouwkost AK+VERB'!$N86,0))))))</f>
        <v>0</v>
      </c>
      <c r="N80" s="89">
        <f>IF(OR($N$4=Bron!$B$8,$N$4=Bron!$B$9,,$N$4=Bron!$B$15),'Bouwkost NB'!$N87,IF($N$4=Bron!$B$10,'Bouwkost UITB'!$N86,IF($N$4=Bron!$B$11,'Bouwkost VERB'!$N86,IF($N$4=Bron!$B$12,'Bouwkost IER'!$N85,IF(OR($N$4=Bron!$B$13,$N$4=Bron!$B$14),'Bouwkost VOLT'!$N86,IF($N$4=Bron!$C$16,'Bouwkost AK+VERB'!$N86,0))))))</f>
        <v>0</v>
      </c>
      <c r="P80" s="89">
        <f>IF(OR($P$4=Bron!$B$8,$P$4=Bron!$B$9,$P$4=Bron!$B$15),'Bouwkost NB'!$N87,IF($P$4=Bron!$B$10,'Bouwkost UITB'!$N86,IF($P$4=Bron!$B$11,'Bouwkost VERB'!$N86,IF($P$4=Bron!$B$12,'Bouwkost IER'!$N85,IF(OR($P$4=Bron!$B$13,$P$4=Bron!$B$14),'Bouwkost VOLT'!$N86,IF($P$4=Bron!$C$16,'Bouwkost AK+VERB'!$N86,0))))))</f>
        <v>0</v>
      </c>
      <c r="R80" s="89">
        <f>IF(OR($R$4=Bron!$B$8,$R$4=Bron!$B$9,$R$4=Bron!$B$15),'Bouwkost NB'!$Y87,IF($R$4=Bron!$B$10,'Bouwkost UITB'!$Y86,IF($R$4=Bron!$B$11,'Bouwkost VERB'!$Y86,IF($R$4=Bron!$B$12,'Bouwkost IER'!$Y85,IF(OR($R$4=Bron!$B$13,$R$4=Bron!$B$14),'Bouwkost VOLT'!$Y86,IF($R$4=Bron!$C$16,'Bouwkost AK+VERB'!$Y86,0))))))</f>
        <v>0</v>
      </c>
      <c r="T80" s="89">
        <f>IF(OR($T$4=Bron!$B$8,$T$4=Bron!$B$9,$T$4=Bron!$B$15),'Bouwkost NB'!$Y87,IF($T$4=Bron!$B$10,'Bouwkost UITB'!$Y86,IF($T$4=Bron!$B$11,'Bouwkost VERB'!$Y86,IF($T$4=Bron!$B$12,'Bouwkost IER'!$Y85,IF(OR($T$4=Bron!$B$13,$T$4=Bron!$B$14),'Bouwkost VOLT'!$Y86,IF($T$4=Bron!$C$16,'Bouwkost AK+VERB'!$Y86,0))))))</f>
        <v>0</v>
      </c>
      <c r="V80" s="89">
        <f>IF(OR($N$4=Bron!$B$8,$N$4=Bron!$B$9,$N$4=Bron!$B$15),'Bouwkost NB'!$Y87,IF($N$4=Bron!$B$10,'Bouwkost UITB'!$Y86,IF($N$4=Bron!$B$11,'Bouwkost VERB'!$Y86,IF($N$4=Bron!$B$12,'Bouwkost IER'!$Y85,IF(OR($N$4=Bron!$B$13,$N$4=Bron!$B$14),'Bouwkost VOLT'!$Y86,IF($N$4=Bron!$C$16,'Bouwkost AK+VERB'!$Y86,0))))))</f>
        <v>0</v>
      </c>
      <c r="X80" s="89">
        <f>IF(OR($X$4=Bron!$B$8,$X$4=Bron!$B$9,$X$4=Bron!$B$15),'Bouwkost NB'!$Y87,IF($X$4=Bron!$B$10,'Bouwkost UITB'!$Y86,IF($X$4=Bron!$B$11,'Bouwkost VERB'!$Y86,IF($X$4=Bron!$B$12,'Bouwkost IER'!$Y85,IF(OR($X$4=Bron!$B$13,$X$4=Bron!$B$14),'Bouwkost VOLT'!$Y86,IF($X$4=Bron!$C$16,'Bouwkost AK+VERB'!$Y86,0))))))</f>
        <v>0</v>
      </c>
    </row>
    <row r="81" spans="1:25" x14ac:dyDescent="0.3">
      <c r="A81" s="916" t="s">
        <v>477</v>
      </c>
      <c r="B81" s="89">
        <f>IF(OR($B$4=Bron!$B$8,$B$4=Bron!$B$9,$B$4=Bron!$B$15),'Bouwkost NB'!$C88,IF($B$4=Bron!$B$10,'Bouwkost UITB'!$C87,IF($B$4=Bron!$B$11,'Bouwkost VERB'!$C87,IF($B$4=Bron!$B$12,'Bouwkost IER'!$C86,IF(OR($B$4=Bron!$B$13,$B$4=Bron!$B$14),'Bouwkost VOLT'!$C87,IF($B$4=Bron!$C$16,'Bouwkost AK+VERB'!$C87,0))))))</f>
        <v>0</v>
      </c>
      <c r="D81" s="89">
        <f>IF(OR($D$4=Bron!$B$8,$D$4=Bron!$B$9,$D$4=Bron!$B$15),'Bouwkost NB'!$C88,IF($D$4=Bron!$B$10,'Bouwkost UITB'!$C87,IF($D$4=Bron!$B$11,'Bouwkost VERB'!$C87,IF($D$4=Bron!$B$12,'Bouwkost IER'!$C86,IF(OR($D$4=Bron!$B$13,$D$4=Bron!$B$14),'Bouwkost VOLT'!$C87,IF($D$4=Bron!$C$16,'Bouwkost AK+VERB'!$C87,0))))))</f>
        <v>0</v>
      </c>
      <c r="F81" s="89">
        <f>IF(OR($F$4=Bron!$B$8,$F$4=Bron!$B$9,$F$4=Bron!$B$15),'Bouwkost NB'!$C88,IF($F$4=Bron!$B$10,'Bouwkost UITB'!$C87,IF($F$4=Bron!$B$11,'Bouwkost VERB'!$C87,IF($F$4=Bron!$B$12,'Bouwkost IER'!$C86,IF(OR($F$4=Bron!$B$13,$F$4=Bron!$B$14),'Bouwkost VOLT'!$C87,IF($F$4=Bron!$C$16,'Bouwkost AK+VERB'!$C87,0))))))</f>
        <v>0</v>
      </c>
      <c r="H81" s="89">
        <f>IF(OR($H$4=Bron!$B$8,$H$4=Bron!$B$9,$H$4=Bron!$B$15),'Bouwkost NB'!$C88,IF($H$4=Bron!$B$10,'Bouwkost UITB'!$C87,IF($H$4=Bron!$B$11,'Bouwkost VERB'!$C87,IF($H$4=Bron!$B$12,'Bouwkost IER'!$C86,IF(OR($H$4=Bron!$B$13,$H$4=Bron!$B$14),'Bouwkost VOLT'!$C87,IF($H$4=Bron!$C$16,'Bouwkost AK+VERB'!$C87,0))))))</f>
        <v>0</v>
      </c>
      <c r="J81" s="89">
        <f>IF(OR($J$4=Bron!$B$8,$J$4=Bron!$B$9,$J$4=Bron!$B$15),'Bouwkost NB'!$N88,IF($J$4=Bron!$B$10,'Bouwkost UITB'!$N87,IF($J$4=Bron!$B$11,'Bouwkost VERB'!$N87,IF($J$4=Bron!$B$12,'Bouwkost IER'!$N86,IF(OR($J$4=Bron!$B$13,$J$4=Bron!$B$14),'Bouwkost VOLT'!$N87,IF($J$4=Bron!$C$16,'Bouwkost AK+VERB'!$N87,0))))))</f>
        <v>0</v>
      </c>
      <c r="L81" s="89">
        <f>IF(OR($L$4=Bron!$B$8,$L$4=Bron!$B$9,$L$4=Bron!$B$15),'Bouwkost NB'!$N88,IF($L$4=Bron!$B$10,'Bouwkost UITB'!$N87,IF($L$4=Bron!$B$11,'Bouwkost VERB'!$N87,IF($L$4=Bron!$B$12,'Bouwkost IER'!$N86,IF(OR($L$4=Bron!$B$13,$L$4=Bron!$B$14),'Bouwkost VOLT'!$N87,IF($L$4=Bron!$C$16,'Bouwkost AK+VERB'!$N87,0))))))</f>
        <v>0</v>
      </c>
      <c r="N81" s="89">
        <f>IF(OR($N$4=Bron!$B$8,$N$4=Bron!$B$9,,$N$4=Bron!$B$15),'Bouwkost NB'!$N88,IF($N$4=Bron!$B$10,'Bouwkost UITB'!$N87,IF($N$4=Bron!$B$11,'Bouwkost VERB'!$N87,IF($N$4=Bron!$B$12,'Bouwkost IER'!$N86,IF(OR($N$4=Bron!$B$13,$N$4=Bron!$B$14),'Bouwkost VOLT'!$N87,IF($N$4=Bron!$C$16,'Bouwkost AK+VERB'!$N87,0))))))</f>
        <v>0</v>
      </c>
      <c r="P81" s="89">
        <f>IF(OR($P$4=Bron!$B$8,$P$4=Bron!$B$9,$P$4=Bron!$B$15),'Bouwkost NB'!$N88,IF($P$4=Bron!$B$10,'Bouwkost UITB'!$N87,IF($P$4=Bron!$B$11,'Bouwkost VERB'!$N87,IF($P$4=Bron!$B$12,'Bouwkost IER'!$N86,IF(OR($P$4=Bron!$B$13,$P$4=Bron!$B$14),'Bouwkost VOLT'!$N87,IF($P$4=Bron!$C$16,'Bouwkost AK+VERB'!$N87,0))))))</f>
        <v>0</v>
      </c>
      <c r="R81" s="89">
        <f>IF(OR($R$4=Bron!$B$8,$R$4=Bron!$B$9,$R$4=Bron!$B$15),'Bouwkost NB'!$Y88,IF($R$4=Bron!$B$10,'Bouwkost UITB'!$Y87,IF($R$4=Bron!$B$11,'Bouwkost VERB'!$Y87,IF($R$4=Bron!$B$12,'Bouwkost IER'!$Y86,IF(OR($R$4=Bron!$B$13,$R$4=Bron!$B$14),'Bouwkost VOLT'!$Y87,IF($R$4=Bron!$C$16,'Bouwkost AK+VERB'!$Y87,0))))))</f>
        <v>0</v>
      </c>
      <c r="T81" s="89">
        <f>IF(OR($T$4=Bron!$B$8,$T$4=Bron!$B$9,$T$4=Bron!$B$15),'Bouwkost NB'!$Y88,IF($T$4=Bron!$B$10,'Bouwkost UITB'!$Y87,IF($T$4=Bron!$B$11,'Bouwkost VERB'!$Y87,IF($T$4=Bron!$B$12,'Bouwkost IER'!$Y86,IF(OR($T$4=Bron!$B$13,$T$4=Bron!$B$14),'Bouwkost VOLT'!$Y87,IF($T$4=Bron!$C$16,'Bouwkost AK+VERB'!$Y87,0))))))</f>
        <v>0</v>
      </c>
      <c r="V81" s="89">
        <f>IF(OR($N$4=Bron!$B$8,$N$4=Bron!$B$9,$N$4=Bron!$B$15),'Bouwkost NB'!$Y88,IF($N$4=Bron!$B$10,'Bouwkost UITB'!$Y87,IF($N$4=Bron!$B$11,'Bouwkost VERB'!$Y87,IF($N$4=Bron!$B$12,'Bouwkost IER'!$Y86,IF(OR($N$4=Bron!$B$13,$N$4=Bron!$B$14),'Bouwkost VOLT'!$Y87,IF($N$4=Bron!$C$16,'Bouwkost AK+VERB'!$Y87,0))))))</f>
        <v>0</v>
      </c>
      <c r="X81" s="89">
        <f>IF(OR($X$4=Bron!$B$8,$X$4=Bron!$B$9,$X$4=Bron!$B$15),'Bouwkost NB'!$Y88,IF($X$4=Bron!$B$10,'Bouwkost UITB'!$Y87,IF($X$4=Bron!$B$11,'Bouwkost VERB'!$Y87,IF($X$4=Bron!$B$12,'Bouwkost IER'!$Y86,IF(OR($X$4=Bron!$B$13,$X$4=Bron!$B$14),'Bouwkost VOLT'!$Y87,IF($X$4=Bron!$C$16,'Bouwkost AK+VERB'!$Y87,0))))))</f>
        <v>0</v>
      </c>
    </row>
    <row r="82" spans="1:25" x14ac:dyDescent="0.3">
      <c r="A82" s="917" t="s">
        <v>130</v>
      </c>
      <c r="B82" s="89">
        <f>IF(OR($B$4=Bron!$B$8,$B$4=Bron!$B$9,$B$4=Bron!$B$15),'Bouwkost NB'!$C90,IF($B$4=Bron!$B$10,'Bouwkost UITB'!$C89,IF($B$4=Bron!$B$11,'Bouwkost VERB'!$C89,IF($B$4=Bron!$B$12,'Bouwkost IER'!$C88,IF(OR($B$4=Bron!$B$13,$B$4=Bron!$B$14),'Bouwkost VOLT'!$C89,IF($B$4=Bron!$C$16,'Bouwkost AK+VERB'!$C89,0))))))</f>
        <v>0</v>
      </c>
      <c r="D82" s="89">
        <f>IF(OR($D$4=Bron!$B$8,$D$4=Bron!$B$9,$D$4=Bron!$B$15),'Bouwkost NB'!$C90,IF($D$4=Bron!$B$10,'Bouwkost UITB'!$C89,IF($D$4=Bron!$B$11,'Bouwkost VERB'!$C89,IF($D$4=Bron!$B$12,'Bouwkost IER'!$C88,IF(OR($D$4=Bron!$B$13,$D$4=Bron!$B$14),'Bouwkost VOLT'!$C89,IF($D$4=Bron!$C$16,'Bouwkost AK+VERB'!$C89,0))))))</f>
        <v>0</v>
      </c>
      <c r="F82" s="89">
        <f>IF(OR($F$4=Bron!$B$8,$F$4=Bron!$B$9,$F$4=Bron!$B$15),'Bouwkost NB'!$C90,IF($F$4=Bron!$B$10,'Bouwkost UITB'!$C89,IF($F$4=Bron!$B$11,'Bouwkost VERB'!$C89,IF($F$4=Bron!$B$12,'Bouwkost IER'!$C88,IF(OR($F$4=Bron!$B$13,$F$4=Bron!$B$14),'Bouwkost VOLT'!$C89,IF($F$4=Bron!$C$16,'Bouwkost AK+VERB'!$C89,0))))))</f>
        <v>0</v>
      </c>
      <c r="H82" s="89">
        <f>IF(OR($H$4=Bron!$B$8,$H$4=Bron!$B$9,$H$4=Bron!$B$15),'Bouwkost NB'!$C90,IF($H$4=Bron!$B$10,'Bouwkost UITB'!$C89,IF($H$4=Bron!$B$11,'Bouwkost VERB'!$C89,IF($H$4=Bron!$B$12,'Bouwkost IER'!$C88,IF(OR($H$4=Bron!$B$13,$H$4=Bron!$B$14),'Bouwkost VOLT'!$C89,IF($H$4=Bron!$C$16,'Bouwkost AK+VERB'!$C89,0))))))</f>
        <v>0</v>
      </c>
      <c r="J82" s="89">
        <f>IF(OR($J$4=Bron!$B$8,$J$4=Bron!$B$9,$J$4=Bron!$B$15),'Bouwkost NB'!$N90,IF($J$4=Bron!$B$10,'Bouwkost UITB'!$N89,IF($J$4=Bron!$B$11,'Bouwkost VERB'!$N89,IF($J$4=Bron!$B$12,'Bouwkost IER'!$N88,IF(OR($J$4=Bron!$B$13,$J$4=Bron!$B$14),'Bouwkost VOLT'!$N89,IF($J$4=Bron!$C$16,'Bouwkost AK+VERB'!$N89,0))))))</f>
        <v>0</v>
      </c>
      <c r="L82" s="89">
        <f>IF(OR($L$4=Bron!$B$8,$L$4=Bron!$B$9,$L$4=Bron!$B$15),'Bouwkost NB'!$N90,IF($L$4=Bron!$B$10,'Bouwkost UITB'!$N89,IF($L$4=Bron!$B$11,'Bouwkost VERB'!$N89,IF($L$4=Bron!$B$12,'Bouwkost IER'!$N88,IF(OR($L$4=Bron!$B$13,$L$4=Bron!$B$14),'Bouwkost VOLT'!$N89,IF($L$4=Bron!$C$16,'Bouwkost AK+VERB'!$N89,0))))))</f>
        <v>0</v>
      </c>
      <c r="N82" s="89">
        <f>IF(OR($N$4=Bron!$B$8,$N$4=Bron!$B$9,,$N$4=Bron!$B$15),'Bouwkost NB'!$N90,IF($N$4=Bron!$B$10,'Bouwkost UITB'!$N89,IF($N$4=Bron!$B$11,'Bouwkost VERB'!$N89,IF($N$4=Bron!$B$12,'Bouwkost IER'!$N88,IF(OR($N$4=Bron!$B$13,$N$4=Bron!$B$14),'Bouwkost VOLT'!$N89,IF($N$4=Bron!$C$16,'Bouwkost AK+VERB'!$N89,0))))))</f>
        <v>0</v>
      </c>
      <c r="P82" s="89">
        <f>IF(OR($P$4=Bron!$B$8,$P$4=Bron!$B$9,$P$4=Bron!$B$15),'Bouwkost NB'!$N90,IF($P$4=Bron!$B$10,'Bouwkost UITB'!$N89,IF($P$4=Bron!$B$11,'Bouwkost VERB'!$N89,IF($P$4=Bron!$B$12,'Bouwkost IER'!$N88,IF(OR($P$4=Bron!$B$13,$P$4=Bron!$B$14),'Bouwkost VOLT'!$N89,IF($P$4=Bron!$C$16,'Bouwkost AK+VERB'!$N89,0))))))</f>
        <v>0</v>
      </c>
      <c r="R82" s="89">
        <f>IF(OR($R$4=Bron!$B$8,$R$4=Bron!$B$9,$R$4=Bron!$B$15),'Bouwkost NB'!$Y90,IF($R$4=Bron!$B$10,'Bouwkost UITB'!$Y89,IF($R$4=Bron!$B$11,'Bouwkost VERB'!$Y89,IF($R$4=Bron!$B$12,'Bouwkost IER'!$Y88,IF(OR($R$4=Bron!$B$13,$R$4=Bron!$B$14),'Bouwkost VOLT'!$Y89,IF($R$4=Bron!$C$16,'Bouwkost AK+VERB'!$Y89,0))))))</f>
        <v>0</v>
      </c>
      <c r="T82" s="89">
        <f>IF(OR($T$4=Bron!$B$8,$T$4=Bron!$B$9,$T$4=Bron!$B$15),'Bouwkost NB'!$Y90,IF($T$4=Bron!$B$10,'Bouwkost UITB'!$Y89,IF($T$4=Bron!$B$11,'Bouwkost VERB'!$Y89,IF($T$4=Bron!$B$12,'Bouwkost IER'!$Y88,IF(OR($T$4=Bron!$B$13,$T$4=Bron!$B$14),'Bouwkost VOLT'!$Y89,IF($T$4=Bron!$C$16,'Bouwkost AK+VERB'!$Y89,0))))))</f>
        <v>0</v>
      </c>
      <c r="V82" s="89">
        <f>IF(OR($N$4=Bron!$B$8,$N$4=Bron!$B$9,$N$4=Bron!$B$15),'Bouwkost NB'!$Y90,IF($N$4=Bron!$B$10,'Bouwkost UITB'!$Y89,IF($N$4=Bron!$B$11,'Bouwkost VERB'!$Y89,IF($N$4=Bron!$B$12,'Bouwkost IER'!$Y88,IF(OR($N$4=Bron!$B$13,$N$4=Bron!$B$14),'Bouwkost VOLT'!$Y89,IF($N$4=Bron!$C$16,'Bouwkost AK+VERB'!$Y89,0))))))</f>
        <v>0</v>
      </c>
      <c r="X82" s="89">
        <f>IF(OR($X$4=Bron!$B$8,$X$4=Bron!$B$9,$X$4=Bron!$B$15),'Bouwkost NB'!$Y90,IF($X$4=Bron!$B$10,'Bouwkost UITB'!$Y89,IF($X$4=Bron!$B$11,'Bouwkost VERB'!$Y89,IF($X$4=Bron!$B$12,'Bouwkost IER'!$Y88,IF(OR($X$4=Bron!$B$13,$X$4=Bron!$B$14),'Bouwkost VOLT'!$Y89,IF($X$4=Bron!$C$16,'Bouwkost AK+VERB'!$Y89,0))))))</f>
        <v>0</v>
      </c>
    </row>
    <row r="83" spans="1:25" x14ac:dyDescent="0.3">
      <c r="A83" s="22" t="s">
        <v>479</v>
      </c>
      <c r="B83" s="89">
        <f>IF(OR($B$4=Bron!$B$8,$B$4=Bron!$B$9,$B$4=Bron!$B$15),'Bouwkost NB'!$C91,IF($B$4=Bron!$B$10,'Bouwkost UITB'!$C90,IF($B$4=Bron!$B$11,'Bouwkost VERB'!$C90,IF($B$4=Bron!$B$12,'Bouwkost IER'!$C89,IF(OR($B$4=Bron!$B$13,$B$4=Bron!$B$14),'Bouwkost VOLT'!$C90,IF($B$4=Bron!$C$16,'Bouwkost AK+VERB'!$C90,0))))))</f>
        <v>0</v>
      </c>
      <c r="D83" s="89">
        <f>IF(OR($D$4=Bron!$B$8,$D$4=Bron!$B$9,$D$4=Bron!$B$15),'Bouwkost NB'!$C91,IF($D$4=Bron!$B$10,'Bouwkost UITB'!$C90,IF($D$4=Bron!$B$11,'Bouwkost VERB'!$C90,IF($D$4=Bron!$B$12,'Bouwkost IER'!$C89,IF(OR($D$4=Bron!$B$13,$D$4=Bron!$B$14),'Bouwkost VOLT'!$C90,IF($D$4=Bron!$C$16,'Bouwkost AK+VERB'!$C90,0))))))</f>
        <v>0</v>
      </c>
      <c r="F83" s="89">
        <f>IF(OR($F$4=Bron!$B$8,$F$4=Bron!$B$9,$F$4=Bron!$B$15),'Bouwkost NB'!$C91,IF($F$4=Bron!$B$10,'Bouwkost UITB'!$C90,IF($F$4=Bron!$B$11,'Bouwkost VERB'!$C90,IF($F$4=Bron!$B$12,'Bouwkost IER'!$C89,IF(OR($F$4=Bron!$B$13,$F$4=Bron!$B$14),'Bouwkost VOLT'!$C90,IF($F$4=Bron!$C$16,'Bouwkost AK+VERB'!$C90,0))))))</f>
        <v>0</v>
      </c>
      <c r="H83" s="89">
        <f>IF(OR($H$4=Bron!$B$8,$H$4=Bron!$B$9,$H$4=Bron!$B$15),'Bouwkost NB'!$C91,IF($H$4=Bron!$B$10,'Bouwkost UITB'!$C90,IF($H$4=Bron!$B$11,'Bouwkost VERB'!$C90,IF($H$4=Bron!$B$12,'Bouwkost IER'!$C89,IF(OR($H$4=Bron!$B$13,$H$4=Bron!$B$14),'Bouwkost VOLT'!$C90,IF($H$4=Bron!$C$16,'Bouwkost AK+VERB'!$C90,0))))))</f>
        <v>0</v>
      </c>
      <c r="J83" s="89">
        <f>IF(OR($J$4=Bron!$B$8,$J$4=Bron!$B$9,$J$4=Bron!$B$15),'Bouwkost NB'!$N91,IF($J$4=Bron!$B$10,'Bouwkost UITB'!$N90,IF($J$4=Bron!$B$11,'Bouwkost VERB'!$N90,IF($J$4=Bron!$B$12,'Bouwkost IER'!$N89,IF(OR($J$4=Bron!$B$13,$J$4=Bron!$B$14),'Bouwkost VOLT'!$N90,IF($J$4=Bron!$C$16,'Bouwkost AK+VERB'!$N90,0))))))</f>
        <v>0</v>
      </c>
      <c r="L83" s="89">
        <f>IF(OR($L$4=Bron!$B$8,$L$4=Bron!$B$9,$L$4=Bron!$B$15),'Bouwkost NB'!$N91,IF($L$4=Bron!$B$10,'Bouwkost UITB'!$N90,IF($L$4=Bron!$B$11,'Bouwkost VERB'!$N90,IF($L$4=Bron!$B$12,'Bouwkost IER'!$N89,IF(OR($L$4=Bron!$B$13,$L$4=Bron!$B$14),'Bouwkost VOLT'!$N90,IF($L$4=Bron!$C$16,'Bouwkost AK+VERB'!$N90,0))))))</f>
        <v>0</v>
      </c>
      <c r="N83" s="89">
        <f>IF(OR($N$4=Bron!$B$8,$N$4=Bron!$B$9,,$N$4=Bron!$B$15),'Bouwkost NB'!$N91,IF($N$4=Bron!$B$10,'Bouwkost UITB'!$N90,IF($N$4=Bron!$B$11,'Bouwkost VERB'!$N90,IF($N$4=Bron!$B$12,'Bouwkost IER'!$N89,IF(OR($N$4=Bron!$B$13,$N$4=Bron!$B$14),'Bouwkost VOLT'!$N90,IF($N$4=Bron!$C$16,'Bouwkost AK+VERB'!$N90,0))))))</f>
        <v>0</v>
      </c>
      <c r="P83" s="89">
        <f>IF(OR($P$4=Bron!$B$8,$P$4=Bron!$B$9,$P$4=Bron!$B$15),'Bouwkost NB'!$N91,IF($P$4=Bron!$B$10,'Bouwkost UITB'!$N90,IF($P$4=Bron!$B$11,'Bouwkost VERB'!$N90,IF($P$4=Bron!$B$12,'Bouwkost IER'!$N89,IF(OR($P$4=Bron!$B$13,$P$4=Bron!$B$14),'Bouwkost VOLT'!$N90,IF($P$4=Bron!$C$16,'Bouwkost AK+VERB'!$N90,0))))))</f>
        <v>0</v>
      </c>
      <c r="R83" s="89">
        <f>IF(OR($R$4=Bron!$B$8,$R$4=Bron!$B$9,$R$4=Bron!$B$15),'Bouwkost NB'!$Y91,IF($R$4=Bron!$B$10,'Bouwkost UITB'!$Y90,IF($R$4=Bron!$B$11,'Bouwkost VERB'!$Y90,IF($R$4=Bron!$B$12,'Bouwkost IER'!$Y89,IF(OR($R$4=Bron!$B$13,$R$4=Bron!$B$14),'Bouwkost VOLT'!$Y90,IF($R$4=Bron!$C$16,'Bouwkost AK+VERB'!$Y90,0))))))</f>
        <v>0</v>
      </c>
      <c r="T83" s="89">
        <f>IF(OR($T$4=Bron!$B$8,$T$4=Bron!$B$9,$T$4=Bron!$B$15),'Bouwkost NB'!$Y91,IF($T$4=Bron!$B$10,'Bouwkost UITB'!$Y90,IF($T$4=Bron!$B$11,'Bouwkost VERB'!$Y90,IF($T$4=Bron!$B$12,'Bouwkost IER'!$Y89,IF(OR($T$4=Bron!$B$13,$T$4=Bron!$B$14),'Bouwkost VOLT'!$Y90,IF($T$4=Bron!$C$16,'Bouwkost AK+VERB'!$Y90,0))))))</f>
        <v>0</v>
      </c>
      <c r="V83" s="89">
        <f>IF(OR($N$4=Bron!$B$8,$N$4=Bron!$B$9,$N$4=Bron!$B$15),'Bouwkost NB'!$Y91,IF($N$4=Bron!$B$10,'Bouwkost UITB'!$Y90,IF($N$4=Bron!$B$11,'Bouwkost VERB'!$Y90,IF($N$4=Bron!$B$12,'Bouwkost IER'!$Y89,IF(OR($N$4=Bron!$B$13,$N$4=Bron!$B$14),'Bouwkost VOLT'!$Y90,IF($N$4=Bron!$C$16,'Bouwkost AK+VERB'!$Y90,0))))))</f>
        <v>0</v>
      </c>
      <c r="X83" s="89">
        <f>IF(OR($X$4=Bron!$B$8,$X$4=Bron!$B$9,$X$4=Bron!$B$15),'Bouwkost NB'!$Y91,IF($X$4=Bron!$B$10,'Bouwkost UITB'!$Y90,IF($X$4=Bron!$B$11,'Bouwkost VERB'!$Y90,IF($X$4=Bron!$B$12,'Bouwkost IER'!$Y89,IF(OR($X$4=Bron!$B$13,$X$4=Bron!$B$14),'Bouwkost VOLT'!$Y90,IF($X$4=Bron!$C$16,'Bouwkost AK+VERB'!$Y90,0))))))</f>
        <v>0</v>
      </c>
    </row>
    <row r="84" spans="1:25" x14ac:dyDescent="0.3">
      <c r="A84" s="18"/>
    </row>
    <row r="85" spans="1:25" x14ac:dyDescent="0.3">
      <c r="A85" s="22" t="s">
        <v>88</v>
      </c>
      <c r="B85" s="89">
        <f>IF(OR($B$4=Bron!$B$8,$B$4=Bron!$B$9,$B$4=Bron!$B$15),'Bouwkost NB'!$C93,IF($B$4=Bron!$B$10,'Bouwkost UITB'!$C92,IF($B$4=Bron!$B$11,'Bouwkost VERB'!$C92,IF($B$4=Bron!$B$12,'Bouwkost IER'!$C91,IF(OR($B$4=Bron!$B$13,$B$4=Bron!$B$14),'Bouwkost VOLT'!$C92,IF($B$4=Bron!$C$16,'Bouwkost AK+VERB'!$C92,0))))))</f>
        <v>0</v>
      </c>
      <c r="D85" s="89">
        <f>IF(OR($D$4=Bron!$B$8,$D$4=Bron!$B$9,$D$4=Bron!$B$15),'Bouwkost NB'!$C93,IF($D$4=Bron!$B$10,'Bouwkost UITB'!$C92,IF($D$4=Bron!$B$11,'Bouwkost VERB'!$C92,IF($D$4=Bron!$B$12,'Bouwkost IER'!$C91,IF(OR($D$4=Bron!$B$13,$D$4=Bron!$B$14),'Bouwkost VOLT'!$C92,IF($D$4=Bron!$C$16,'Bouwkost AK+VERB'!$C92,0))))))</f>
        <v>0</v>
      </c>
      <c r="F85" s="89">
        <f>IF(OR($F$4=Bron!$B$8,$F$4=Bron!$B$9,$F$4=Bron!$B$15),'Bouwkost NB'!$C93,IF($F$4=Bron!$B$10,'Bouwkost UITB'!$C92,IF($F$4=Bron!$B$11,'Bouwkost VERB'!$C92,IF($F$4=Bron!$B$12,'Bouwkost IER'!$C91,IF(OR($F$4=Bron!$B$13,$F$4=Bron!$B$14),'Bouwkost VOLT'!$C92,IF($F$4=Bron!$C$16,'Bouwkost AK+VERB'!$C92,0))))))</f>
        <v>0</v>
      </c>
      <c r="H85" s="89">
        <f>IF(OR($H$4=Bron!$B$8,$H$4=Bron!$B$9,$H$4=Bron!$B$15),'Bouwkost NB'!$C93,IF($H$4=Bron!$B$10,'Bouwkost UITB'!$C92,IF($H$4=Bron!$B$11,'Bouwkost VERB'!$C92,IF($H$4=Bron!$B$12,'Bouwkost IER'!$C91,IF(OR($H$4=Bron!$B$13,$H$4=Bron!$B$14),'Bouwkost VOLT'!$C92,IF($H$4=Bron!$C$16,'Bouwkost AK+VERB'!$C92,0))))))</f>
        <v>0</v>
      </c>
      <c r="J85" s="89">
        <f>IF(OR($J$4=Bron!$B$8,$J$4=Bron!$B$9,$J$4=Bron!$B$15),'Bouwkost NB'!$N93,IF($J$4=Bron!$B$10,'Bouwkost UITB'!$N92,IF($J$4=Bron!$B$11,'Bouwkost VERB'!$N92,IF($J$4=Bron!$B$12,'Bouwkost IER'!$N91,IF(OR($J$4=Bron!$B$13,$J$4=Bron!$B$14),'Bouwkost VOLT'!$N92,IF($J$4=Bron!$C$16,'Bouwkost AK+VERB'!$N92,0))))))</f>
        <v>0</v>
      </c>
      <c r="L85" s="89">
        <f>IF(OR($L$4=Bron!$B$8,$L$4=Bron!$B$9,$L$4=Bron!$B$15),'Bouwkost NB'!$N93,IF($L$4=Bron!$B$10,'Bouwkost UITB'!$N92,IF($L$4=Bron!$B$11,'Bouwkost VERB'!$N92,IF($L$4=Bron!$B$12,'Bouwkost IER'!$N91,IF(OR($L$4=Bron!$B$13,$L$4=Bron!$B$14),'Bouwkost VOLT'!$N92,IF($L$4=Bron!$C$16,'Bouwkost AK+VERB'!$N92,0))))))</f>
        <v>0</v>
      </c>
      <c r="N85" s="89">
        <f>IF(OR($N$4=Bron!$B$8,$N$4=Bron!$B$9,,$N$4=Bron!$B$15),'Bouwkost NB'!$N93,IF($N$4=Bron!$B$10,'Bouwkost UITB'!$N92,IF($N$4=Bron!$B$11,'Bouwkost VERB'!$N92,IF($N$4=Bron!$B$12,'Bouwkost IER'!$N91,IF(OR($N$4=Bron!$B$13,$N$4=Bron!$B$14),'Bouwkost VOLT'!$N92,IF($N$4=Bron!$C$16,'Bouwkost AK+VERB'!$N92,0))))))</f>
        <v>0</v>
      </c>
      <c r="P85" s="89">
        <f>IF(OR($P$4=Bron!$B$8,$P$4=Bron!$B$9,$P$4=Bron!$B$15),'Bouwkost NB'!$N93,IF($P$4=Bron!$B$10,'Bouwkost UITB'!$N92,IF($P$4=Bron!$B$11,'Bouwkost VERB'!$N92,IF($P$4=Bron!$B$12,'Bouwkost IER'!$N91,IF(OR($P$4=Bron!$B$13,$P$4=Bron!$B$14),'Bouwkost VOLT'!$N92,IF($P$4=Bron!$C$16,'Bouwkost AK+VERB'!$N92,0))))))</f>
        <v>0</v>
      </c>
      <c r="R85" s="89">
        <f>IF(OR($R$4=Bron!$B$8,$R$4=Bron!$B$9,$R$4=Bron!$B$15),'Bouwkost NB'!$Y93,IF($R$4=Bron!$B$10,'Bouwkost UITB'!$Y92,IF($R$4=Bron!$B$11,'Bouwkost VERB'!$Y92,IF($R$4=Bron!$B$12,'Bouwkost IER'!$Y91,IF(OR($R$4=Bron!$B$13,$R$4=Bron!$B$14),'Bouwkost VOLT'!$Y92,IF($R$4=Bron!$C$16,'Bouwkost AK+VERB'!$Y92,0))))))</f>
        <v>0</v>
      </c>
      <c r="T85" s="89">
        <f>IF(OR($T$4=Bron!$B$8,$T$4=Bron!$B$9,$T$4=Bron!$B$15),'Bouwkost NB'!$Y93,IF($T$4=Bron!$B$10,'Bouwkost UITB'!$Y92,IF($T$4=Bron!$B$11,'Bouwkost VERB'!$Y92,IF($T$4=Bron!$B$12,'Bouwkost IER'!$Y91,IF(OR($T$4=Bron!$B$13,$T$4=Bron!$B$14),'Bouwkost VOLT'!$Y92,IF($T$4=Bron!$C$16,'Bouwkost AK+VERB'!$Y92,0))))))</f>
        <v>0</v>
      </c>
      <c r="V85" s="89">
        <f>IF(OR($N$4=Bron!$B$8,$N$4=Bron!$B$9,$N$4=Bron!$B$15),'Bouwkost NB'!$Y93,IF($N$4=Bron!$B$10,'Bouwkost UITB'!$Y92,IF($N$4=Bron!$B$11,'Bouwkost VERB'!$Y92,IF($N$4=Bron!$B$12,'Bouwkost IER'!$Y91,IF(OR($N$4=Bron!$B$13,$N$4=Bron!$B$14),'Bouwkost VOLT'!$Y92,IF($N$4=Bron!$C$16,'Bouwkost AK+VERB'!$Y92,0))))))</f>
        <v>0</v>
      </c>
      <c r="X85" s="89">
        <f>IF(OR($X$4=Bron!$B$8,$X$4=Bron!$B$9,$X$4=Bron!$B$15),'Bouwkost NB'!$Y93,IF($X$4=Bron!$B$10,'Bouwkost UITB'!$Y92,IF($X$4=Bron!$B$11,'Bouwkost VERB'!$Y92,IF($X$4=Bron!$B$12,'Bouwkost IER'!$Y91,IF(OR($X$4=Bron!$B$13,$X$4=Bron!$B$14),'Bouwkost VOLT'!$Y92,IF($X$4=Bron!$C$16,'Bouwkost AK+VERB'!$Y92,0))))))</f>
        <v>0</v>
      </c>
    </row>
    <row r="86" spans="1:25" x14ac:dyDescent="0.3">
      <c r="A86" s="18"/>
    </row>
    <row r="87" spans="1:25" x14ac:dyDescent="0.3">
      <c r="A87" s="249" t="s">
        <v>481</v>
      </c>
      <c r="B87" s="89">
        <f>IF(OR($B$4=Bron!$B$8,$B$4=Bron!$B$9,$B$4=Bron!$B$15),'Bouwkost NB'!$C95,IF($B$4=Bron!$B$10,'Bouwkost UITB'!$C94,IF($B$4=Bron!$B$11,'Bouwkost VERB'!$C94,IF($B$4=Bron!$B$12,'Bouwkost IER'!$C93,IF(OR($B$4=Bron!$B$13,$B$4=Bron!$B$14),'Bouwkost VOLT'!$C94,IF($B$4=Bron!$C$16,'Bouwkost AK+VERB'!$C94,0))))))</f>
        <v>0</v>
      </c>
      <c r="D87" s="89">
        <f>IF(OR($D$4=Bron!$B$8,$D$4=Bron!$B$9,$D$4=Bron!$B$15),'Bouwkost NB'!$C95,IF($D$4=Bron!$B$10,'Bouwkost UITB'!$C94,IF($D$4=Bron!$B$11,'Bouwkost VERB'!$C94,IF($D$4=Bron!$B$12,'Bouwkost IER'!$C93,IF(OR($D$4=Bron!$B$13,$D$4=Bron!$B$14),'Bouwkost VOLT'!$C94,IF($D$4=Bron!$C$16,'Bouwkost AK+VERB'!$C94,0))))))</f>
        <v>0</v>
      </c>
      <c r="F87" s="89">
        <f>IF(OR($F$4=Bron!$B$8,$F$4=Bron!$B$9,$F$4=Bron!$B$15),'Bouwkost NB'!$C95,IF($F$4=Bron!$B$10,'Bouwkost UITB'!$C94,IF($F$4=Bron!$B$11,'Bouwkost VERB'!$C94,IF($F$4=Bron!$B$12,'Bouwkost IER'!$C93,IF(OR($F$4=Bron!$B$13,$F$4=Bron!$B$14),'Bouwkost VOLT'!$C94,IF($F$4=Bron!$C$16,'Bouwkost AK+VERB'!$C94,0))))))</f>
        <v>0</v>
      </c>
      <c r="H87" s="89">
        <f>IF(OR($H$4=Bron!$B$8,$H$4=Bron!$B$9,$H$4=Bron!$B$15),'Bouwkost NB'!$C95,IF($H$4=Bron!$B$10,'Bouwkost UITB'!$C94,IF($H$4=Bron!$B$11,'Bouwkost VERB'!$C94,IF($H$4=Bron!$B$12,'Bouwkost IER'!$C93,IF(OR($H$4=Bron!$B$13,$H$4=Bron!$B$14),'Bouwkost VOLT'!$C94,IF($H$4=Bron!$C$16,'Bouwkost AK+VERB'!$C94,0))))))</f>
        <v>0</v>
      </c>
      <c r="J87" s="89">
        <f>IF(OR($J$4=Bron!$B$8,$J$4=Bron!$B$9,$J$4=Bron!$B$15),'Bouwkost NB'!$N95,IF($J$4=Bron!$B$10,'Bouwkost UITB'!$N94,IF($J$4=Bron!$B$11,'Bouwkost VERB'!$N94,IF($J$4=Bron!$B$12,'Bouwkost IER'!$N93,IF(OR($J$4=Bron!$B$13,$J$4=Bron!$B$14),'Bouwkost VOLT'!$N94,IF($J$4=Bron!$C$16,'Bouwkost AK+VERB'!$N94,0))))))</f>
        <v>0</v>
      </c>
      <c r="L87" s="89">
        <f>IF(OR($L$4=Bron!$B$8,$L$4=Bron!$B$9,$L$4=Bron!$B$15),'Bouwkost NB'!$N95,IF($L$4=Bron!$B$10,'Bouwkost UITB'!$N94,IF($L$4=Bron!$B$11,'Bouwkost VERB'!$N94,IF($L$4=Bron!$B$12,'Bouwkost IER'!$N93,IF(OR($L$4=Bron!$B$13,$L$4=Bron!$B$14),'Bouwkost VOLT'!$N94,IF($L$4=Bron!$C$16,'Bouwkost AK+VERB'!$N94,0))))))</f>
        <v>0</v>
      </c>
      <c r="N87" s="89">
        <f>IF(OR($N$4=Bron!$B$8,$N$4=Bron!$B$9,,$N$4=Bron!$B$15),'Bouwkost NB'!$N95,IF($N$4=Bron!$B$10,'Bouwkost UITB'!$N94,IF($N$4=Bron!$B$11,'Bouwkost VERB'!$N94,IF($N$4=Bron!$B$12,'Bouwkost IER'!$N93,IF(OR($N$4=Bron!$B$13,$N$4=Bron!$B$14),'Bouwkost VOLT'!$N94,IF($N$4=Bron!$C$16,'Bouwkost AK+VERB'!$N94,0))))))</f>
        <v>0</v>
      </c>
      <c r="P87" s="89">
        <f>IF(OR($P$4=Bron!$B$8,$P$4=Bron!$B$9,$P$4=Bron!$B$15),'Bouwkost NB'!$N95,IF($P$4=Bron!$B$10,'Bouwkost UITB'!$N94,IF($P$4=Bron!$B$11,'Bouwkost VERB'!$N94,IF($P$4=Bron!$B$12,'Bouwkost IER'!$N93,IF(OR($P$4=Bron!$B$13,$P$4=Bron!$B$14),'Bouwkost VOLT'!$N94,IF($P$4=Bron!$C$16,'Bouwkost AK+VERB'!$N94,0))))))</f>
        <v>0</v>
      </c>
      <c r="R87" s="89">
        <f>IF(OR($R$4=Bron!$B$8,$R$4=Bron!$B$9,$R$4=Bron!$B$15),'Bouwkost NB'!$Y95,IF($R$4=Bron!$B$10,'Bouwkost UITB'!$Y94,IF($R$4=Bron!$B$11,'Bouwkost VERB'!$Y94,IF($R$4=Bron!$B$12,'Bouwkost IER'!$Y93,IF(OR($R$4=Bron!$B$13,$R$4=Bron!$B$14),'Bouwkost VOLT'!$Y94,IF($R$4=Bron!$C$16,'Bouwkost AK+VERB'!$Y94,0))))))</f>
        <v>0</v>
      </c>
      <c r="T87" s="89">
        <f>IF(OR($T$4=Bron!$B$8,$T$4=Bron!$B$9,$T$4=Bron!$B$15),'Bouwkost NB'!$Y95,IF($T$4=Bron!$B$10,'Bouwkost UITB'!$Y94,IF($T$4=Bron!$B$11,'Bouwkost VERB'!$Y94,IF($T$4=Bron!$B$12,'Bouwkost IER'!$Y93,IF(OR($T$4=Bron!$B$13,$T$4=Bron!$B$14),'Bouwkost VOLT'!$Y94,IF($T$4=Bron!$C$16,'Bouwkost AK+VERB'!$Y94,0))))))</f>
        <v>0</v>
      </c>
      <c r="V87" s="89">
        <f>IF(OR($N$4=Bron!$B$8,$N$4=Bron!$B$9,$N$4=Bron!$B$15),'Bouwkost NB'!$Y95,IF($N$4=Bron!$B$10,'Bouwkost UITB'!$Y94,IF($N$4=Bron!$B$11,'Bouwkost VERB'!$Y94,IF($N$4=Bron!$B$12,'Bouwkost IER'!$Y93,IF(OR($N$4=Bron!$B$13,$N$4=Bron!$B$14),'Bouwkost VOLT'!$Y94,IF($N$4=Bron!$C$16,'Bouwkost AK+VERB'!$Y94,0))))))</f>
        <v>0</v>
      </c>
      <c r="X87" s="89">
        <f>IF(OR($X$4=Bron!$B$8,$X$4=Bron!$B$9,$X$4=Bron!$B$15),'Bouwkost NB'!$Y95,IF($X$4=Bron!$B$10,'Bouwkost UITB'!$Y94,IF($X$4=Bron!$B$11,'Bouwkost VERB'!$Y94,IF($X$4=Bron!$B$12,'Bouwkost IER'!$Y93,IF(OR($X$4=Bron!$B$13,$X$4=Bron!$B$14),'Bouwkost VOLT'!$Y94,IF($X$4=Bron!$C$16,'Bouwkost AK+VERB'!$Y94,0))))))</f>
        <v>0</v>
      </c>
    </row>
    <row r="89" spans="1:25" x14ac:dyDescent="0.3">
      <c r="A89" s="307" t="s">
        <v>482</v>
      </c>
      <c r="B89" s="89">
        <f>IF(OR($B$4=Bron!$B$8,$B$4=Bron!$B$9,$B$4=Bron!$B$15),'Bouwkost NB'!$AN97,IF($B$4=Bron!$B$10,'Bouwkost UITB'!$P85,IF($B$4=Bron!$B$11,'Bouwkost VERB'!$AZ86,IF($B$4=Bron!$B$12,'Bouwkost IER'!$O85,IF(OR($B$4=Bron!$B$13,$B$4=Bron!$B$14),'Bouwkost VOLT'!$O86,IF($B$4=Bron!$C$16,'Bouwkost AK+VERB'!$O86,0))))))</f>
        <v>0</v>
      </c>
      <c r="D89" s="89">
        <f>IF(OR($D$4=Bron!$B$8,$D$4=Bron!$B$9,$D$4=Bron!$B$15),'Bouwkost NB'!$C97,IF($D$4=Bron!$B$10,'Bouwkost UITB'!$C96,IF($D$4=Bron!$B$11,'Bouwkost VERB'!$C96,IF($D$4=Bron!$B$12,'Bouwkost IER'!$C95,IF(OR($D$4=Bron!$B$13,$D$4=Bron!$B$14),'Bouwkost VOLT'!$C96,IF($D$4=Bron!$C$16,'Bouwkost AK+VERB'!$C96,0))))))</f>
        <v>0</v>
      </c>
      <c r="F89" s="89">
        <f>IF(OR($F$4=Bron!$B$8,$F$4=Bron!$B$9,$F$4=Bron!$B$15),'Bouwkost NB'!$C97,IF($F$4=Bron!$B$10,'Bouwkost UITB'!$C96,IF($F$4=Bron!$B$11,'Bouwkost VERB'!$C96,IF($F$4=Bron!$B$12,'Bouwkost IER'!$C95,IF(OR($F$4=Bron!$B$13,$F$4=Bron!$B$14),'Bouwkost VOLT'!$C96,IF($F$4=Bron!$C$16,'Bouwkost AK+VERB'!$C96,0))))))</f>
        <v>0</v>
      </c>
      <c r="H89" s="89">
        <f>IF(OR($H$4=Bron!$B$8,$H$4=Bron!$B$9,$H$4=Bron!$B$15),'Bouwkost NB'!$C97,IF($H$4=Bron!$B$10,'Bouwkost UITB'!$C96,IF($H$4=Bron!$B$11,'Bouwkost VERB'!$C96,IF($H$4=Bron!$B$12,'Bouwkost IER'!$C95,IF(OR($H$4=Bron!$B$13,$H$4=Bron!$B$14),'Bouwkost VOLT'!$C96,IF($H$4=Bron!$C$16,'Bouwkost AK+VERB'!$C96,0))))))</f>
        <v>0</v>
      </c>
      <c r="J89" s="89">
        <f>IF(OR($J$4=Bron!$B$8,$J$4=Bron!$B$9,$J$4=Bron!$B$15),'Bouwkost NB'!$N97,IF($J$4=Bron!$B$10,'Bouwkost UITB'!$N96,IF($J$4=Bron!$B$11,'Bouwkost VERB'!$N96,IF($J$4=Bron!$B$12,'Bouwkost IER'!$N95,IF(OR($J$4=Bron!$B$13,$J$4=Bron!$B$14),'Bouwkost VOLT'!$N96,IF($J$4=Bron!$C$16,'Bouwkost AK+VERB'!$N96,0))))))</f>
        <v>0</v>
      </c>
      <c r="L89" s="89">
        <f>IF(OR($L$4=Bron!$B$8,$L$4=Bron!$B$9,$L$4=Bron!$B$15),'Bouwkost NB'!$N97,IF($L$4=Bron!$B$10,'Bouwkost UITB'!$N96,IF($L$4=Bron!$B$11,'Bouwkost VERB'!$N96,IF($L$4=Bron!$B$12,'Bouwkost IER'!$N95,IF(OR($L$4=Bron!$B$13,$L$4=Bron!$B$14),'Bouwkost VOLT'!$N96,IF($L$4=Bron!$C$16,'Bouwkost AK+VERB'!$N96,0))))))</f>
        <v>0</v>
      </c>
      <c r="N89" s="89">
        <f>IF(OR($N$4=Bron!$B$8,$N$4=Bron!$B$9,,$N$4=Bron!$B$15),'Bouwkost NB'!$N97,IF($N$4=Bron!$B$10,'Bouwkost UITB'!$N96,IF($N$4=Bron!$B$11,'Bouwkost VERB'!$N96,IF($N$4=Bron!$B$12,'Bouwkost IER'!$N95,IF(OR($N$4=Bron!$B$13,$N$4=Bron!$B$14),'Bouwkost VOLT'!$N96,IF($N$4=Bron!$C$16,'Bouwkost AK+VERB'!$N96,0))))))</f>
        <v>0</v>
      </c>
      <c r="P89" s="89">
        <f>IF(OR($P$4=Bron!$B$8,$P$4=Bron!$B$9,$P$4=Bron!$B$15),'Bouwkost NB'!$N97,IF($P$4=Bron!$B$10,'Bouwkost UITB'!$N96,IF($P$4=Bron!$B$11,'Bouwkost VERB'!$N96,IF($P$4=Bron!$B$12,'Bouwkost IER'!$N95,IF(OR($P$4=Bron!$B$13,$P$4=Bron!$B$14),'Bouwkost VOLT'!$N96,IF($P$4=Bron!$C$16,'Bouwkost AK+VERB'!$N96,0))))))</f>
        <v>0</v>
      </c>
      <c r="R89" s="89">
        <f>IF(OR($R$4=Bron!$B$8,$R$4=Bron!$B$9,$R$4=Bron!$B$15),'Bouwkost NB'!$Y97,IF($R$4=Bron!$B$10,'Bouwkost UITB'!$Y96,IF($R$4=Bron!$B$11,'Bouwkost VERB'!$Y96,IF($R$4=Bron!$B$12,'Bouwkost IER'!$Y95,IF(OR($R$4=Bron!$B$13,$R$4=Bron!$B$14),'Bouwkost VOLT'!$Y96,IF($R$4=Bron!$C$16,'Bouwkost AK+VERB'!$Y96,0))))))</f>
        <v>0</v>
      </c>
      <c r="T89" s="89">
        <f>IF(OR($T$4=Bron!$B$8,$T$4=Bron!$B$9,$T$4=Bron!$B$15),'Bouwkost NB'!$Y97,IF($T$4=Bron!$B$10,'Bouwkost UITB'!$Y96,IF($T$4=Bron!$B$11,'Bouwkost VERB'!$Y96,IF($T$4=Bron!$B$12,'Bouwkost IER'!$Y95,IF(OR($T$4=Bron!$B$13,$T$4=Bron!$B$14),'Bouwkost VOLT'!$Y96,IF($T$4=Bron!$C$16,'Bouwkost AK+VERB'!$Y96,0))))))</f>
        <v>0</v>
      </c>
      <c r="V89" s="89">
        <f>IF(OR($N$4=Bron!$B$8,$N$4=Bron!$B$9,$N$4=Bron!$B$15),'Bouwkost NB'!$Y97,IF($N$4=Bron!$B$10,'Bouwkost UITB'!$Y96,IF($N$4=Bron!$B$11,'Bouwkost VERB'!$Y96,IF($N$4=Bron!$B$12,'Bouwkost IER'!$Y95,IF(OR($N$4=Bron!$B$13,$N$4=Bron!$B$14),'Bouwkost VOLT'!$Y96,IF($N$4=Bron!$C$16,'Bouwkost AK+VERB'!$Y96,0))))))</f>
        <v>0</v>
      </c>
      <c r="X89" s="89">
        <f>IF(OR($X$4=Bron!$B$8,$X$4=Bron!$B$9,$X$4=Bron!$B$15),'Bouwkost NB'!$Y97,IF($X$4=Bron!$B$10,'Bouwkost UITB'!$Y96,IF($X$4=Bron!$B$11,'Bouwkost VERB'!$Y96,IF($X$4=Bron!$B$12,'Bouwkost IER'!$Y95,IF(OR($X$4=Bron!$B$13,$X$4=Bron!$B$14),'Bouwkost VOLT'!$Y96,IF($X$4=Bron!$C$16,'Bouwkost AK+VERB'!$Y96,0))))))</f>
        <v>0</v>
      </c>
    </row>
    <row r="90" spans="1:25" x14ac:dyDescent="0.3">
      <c r="A90" s="21" t="s">
        <v>356</v>
      </c>
      <c r="B90" s="810">
        <f>IF(OR($B$4=Bron!$B$8,$B$4=Bron!$B$9,$B$4=Bron!$B$15),'Bouwkost NB'!$C98,IF($B$4=Bron!$B$10,'Bouwkost UITB'!$C97,IF($B$4=Bron!$B$11,'Bouwkost VERB'!$C97,IF($B$4=Bron!$B$12,'Bouwkost IER'!$C96,IF(OR($B$4=Bron!$B$13,$B$4=Bron!$B$14),'Bouwkost VOLT'!$C97,IF($B$4=Bron!$C$16,'Bouwkost AK+VERB'!$C97,0))))))</f>
        <v>0</v>
      </c>
      <c r="C90" s="810"/>
      <c r="D90" s="810">
        <f>IF(OR($D$4=Bron!$B$8,$D$4=Bron!$B$9,$D$4=Bron!$B$15),'Bouwkost NB'!$C98,IF($D$4=Bron!$B$10,'Bouwkost UITB'!$C97,IF($D$4=Bron!$B$11,'Bouwkost VERB'!$C97,IF($D$4=Bron!$B$12,'Bouwkost IER'!$C96,IF(OR($D$4=Bron!$B$13,$D$4=Bron!$B$14),'Bouwkost VOLT'!$C97,IF($D$4=Bron!$C$16,'Bouwkost AK+VERB'!$C97,0))))))</f>
        <v>0</v>
      </c>
      <c r="E90" s="810"/>
      <c r="F90" s="810">
        <f>IF(OR($F$4=Bron!$B$8,$F$4=Bron!$B$9,$F$4=Bron!$B$15),'Bouwkost NB'!$C98,IF($F$4=Bron!$B$10,'Bouwkost UITB'!$C97,IF($F$4=Bron!$B$11,'Bouwkost VERB'!$C97,IF($F$4=Bron!$B$12,'Bouwkost IER'!$C96,IF(OR($F$4=Bron!$B$13,$F$4=Bron!$B$14),'Bouwkost VOLT'!$C97,IF($F$4=Bron!$C$16,'Bouwkost AK+VERB'!$C97,0))))))</f>
        <v>0</v>
      </c>
      <c r="G90" s="810"/>
      <c r="H90" s="810">
        <f>IF(OR($H$4=Bron!$B$8,$H$4=Bron!$B$9,$H$4=Bron!$B$15),'Bouwkost NB'!$C98,IF($H$4=Bron!$B$10,'Bouwkost UITB'!$C97,IF($H$4=Bron!$B$11,'Bouwkost VERB'!$C97,IF($H$4=Bron!$B$12,'Bouwkost IER'!$C96,IF(OR($H$4=Bron!$B$13,$H$4=Bron!$B$14),'Bouwkost VOLT'!$C97,IF($H$4=Bron!$C$16,'Bouwkost AK+VERB'!$C97,0))))))</f>
        <v>0</v>
      </c>
      <c r="I90" s="810"/>
      <c r="J90" s="810">
        <f>IF(OR($J$4=Bron!$B$8,$J$4=Bron!$B$9,$J$4=Bron!$B$15),'Bouwkost NB'!$N98,IF($J$4=Bron!$B$10,'Bouwkost UITB'!$N97,IF($J$4=Bron!$B$11,'Bouwkost VERB'!$N97,IF($J$4=Bron!$B$12,'Bouwkost IER'!$N96,IF(OR($J$4=Bron!$B$13,$J$4=Bron!$B$14),'Bouwkost VOLT'!$N97,IF($J$4=Bron!$C$16,'Bouwkost AK+VERB'!$N97,0))))))</f>
        <v>0</v>
      </c>
      <c r="K90" s="810"/>
      <c r="L90" s="810">
        <f>IF(OR($L$4=Bron!$B$8,$L$4=Bron!$B$9,$L$4=Bron!$B$15),'Bouwkost NB'!$N98,IF($L$4=Bron!$B$10,'Bouwkost UITB'!$N97,IF($L$4=Bron!$B$11,'Bouwkost VERB'!$N97,IF($L$4=Bron!$B$12,'Bouwkost IER'!$N96,IF(OR($L$4=Bron!$B$13,$L$4=Bron!$B$14),'Bouwkost VOLT'!$N97,IF($L$4=Bron!$C$16,'Bouwkost AK+VERB'!$N97,0))))))</f>
        <v>0</v>
      </c>
      <c r="M90" s="810"/>
      <c r="N90" s="810">
        <f>IF(OR($N$4=Bron!$B$8,$N$4=Bron!$B$9,,$N$4=Bron!$B$15),'Bouwkost NB'!$N98,IF($N$4=Bron!$B$10,'Bouwkost UITB'!$N97,IF($N$4=Bron!$B$11,'Bouwkost VERB'!$N97,IF($N$4=Bron!$B$12,'Bouwkost IER'!$N96,IF(OR($N$4=Bron!$B$13,$N$4=Bron!$B$14),'Bouwkost VOLT'!$N97,IF($N$4=Bron!$C$16,'Bouwkost AK+VERB'!$N97,0))))))</f>
        <v>0</v>
      </c>
      <c r="O90" s="810"/>
      <c r="P90" s="810">
        <f>IF(OR($P$4=Bron!$B$8,$P$4=Bron!$B$9,$P$4=Bron!$B$15),'Bouwkost NB'!$N98,IF($P$4=Bron!$B$10,'Bouwkost UITB'!$N97,IF($P$4=Bron!$B$11,'Bouwkost VERB'!$N97,IF($P$4=Bron!$B$12,'Bouwkost IER'!$N96,IF(OR($P$4=Bron!$B$13,$P$4=Bron!$B$14),'Bouwkost VOLT'!$N97,IF($P$4=Bron!$C$16,'Bouwkost AK+VERB'!$N97,0))))))</f>
        <v>0</v>
      </c>
      <c r="Q90" s="810"/>
      <c r="R90" s="810">
        <f>IF(OR($R$4=Bron!$B$8,$R$4=Bron!$B$9,$R$4=Bron!$B$15),'Bouwkost NB'!$Y98,IF($R$4=Bron!$B$10,'Bouwkost UITB'!$Y97,IF($R$4=Bron!$B$11,'Bouwkost VERB'!$Y97,IF($R$4=Bron!$B$12,'Bouwkost IER'!$Y96,IF(OR($R$4=Bron!$B$13,$R$4=Bron!$B$14),'Bouwkost VOLT'!$Y97,IF($R$4=Bron!$C$16,'Bouwkost AK+VERB'!$Y97,0))))))</f>
        <v>0</v>
      </c>
      <c r="S90" s="810"/>
      <c r="T90" s="810">
        <f>IF(OR($T$4=Bron!$B$8,$T$4=Bron!$B$9,$T$4=Bron!$B$15),'Bouwkost NB'!$Y98,IF($T$4=Bron!$B$10,'Bouwkost UITB'!$Y97,IF($T$4=Bron!$B$11,'Bouwkost VERB'!$Y97,IF($T$4=Bron!$B$12,'Bouwkost IER'!$Y96,IF(OR($T$4=Bron!$B$13,$T$4=Bron!$B$14),'Bouwkost VOLT'!$Y97,IF($T$4=Bron!$C$16,'Bouwkost AK+VERB'!$Y97,0))))))</f>
        <v>0</v>
      </c>
      <c r="U90" s="810"/>
      <c r="V90" s="810">
        <f>IF(OR($N$4=Bron!$B$8,$N$4=Bron!$B$9,$N$4=Bron!$B$15),'Bouwkost NB'!$Y98,IF($N$4=Bron!$B$10,'Bouwkost UITB'!$Y97,IF($N$4=Bron!$B$11,'Bouwkost VERB'!$Y97,IF($N$4=Bron!$B$12,'Bouwkost IER'!$Y96,IF(OR($N$4=Bron!$B$13,$N$4=Bron!$B$14),'Bouwkost VOLT'!$Y97,IF($N$4=Bron!$C$16,'Bouwkost AK+VERB'!$Y97,0))))))</f>
        <v>0</v>
      </c>
      <c r="W90" s="810"/>
      <c r="X90" s="810">
        <f>IF(OR($X$4=Bron!$B$8,$X$4=Bron!$B$9,$X$4=Bron!$B$15),'Bouwkost NB'!$Y98,IF($X$4=Bron!$B$10,'Bouwkost UITB'!$Y97,IF($X$4=Bron!$B$11,'Bouwkost VERB'!$Y97,IF($X$4=Bron!$B$12,'Bouwkost IER'!$Y96,IF(OR($X$4=Bron!$B$13,$X$4=Bron!$B$14),'Bouwkost VOLT'!$Y97,IF($X$4=Bron!$C$16,'Bouwkost AK+VERB'!$Y97,0))))))</f>
        <v>0</v>
      </c>
      <c r="Y90">
        <f>IFERROR(Y37/'Overzicht project'!$E$66,0)</f>
        <v>0</v>
      </c>
    </row>
    <row r="91" spans="1:25" x14ac:dyDescent="0.3">
      <c r="A91" s="21" t="s">
        <v>357</v>
      </c>
      <c r="B91" s="810">
        <f>IF(OR($B$4=Bron!$B$8,$B$4=Bron!$B$9,$B$4=Bron!$B$15),'Bouwkost NB'!$C99,IF($B$4=Bron!$B$10,'Bouwkost UITB'!$C98,IF($B$4=Bron!$B$11,'Bouwkost VERB'!$C98,IF($B$4=Bron!$B$12,'Bouwkost IER'!$C97,IF(OR($B$4=Bron!$B$13,$B$4=Bron!$B$14),'Bouwkost VOLT'!$C98,IF($B$4=Bron!$C$16,'Bouwkost AK+VERB'!$C98,0))))))</f>
        <v>0</v>
      </c>
      <c r="C91" s="810"/>
      <c r="D91" s="810">
        <f>IF(OR($D$4=Bron!$B$8,$D$4=Bron!$B$9,$D$4=Bron!$B$15),'Bouwkost NB'!$C99,IF($D$4=Bron!$B$10,'Bouwkost UITB'!$C98,IF($D$4=Bron!$B$11,'Bouwkost VERB'!$C98,IF($D$4=Bron!$B$12,'Bouwkost IER'!$C97,IF(OR($D$4=Bron!$B$13,$D$4=Bron!$B$14),'Bouwkost VOLT'!$C98,IF($D$4=Bron!$C$16,'Bouwkost AK+VERB'!$C98,0))))))</f>
        <v>0</v>
      </c>
      <c r="E91" s="810"/>
      <c r="F91" s="810">
        <f>IF(OR($F$4=Bron!$B$8,$F$4=Bron!$B$9,$F$4=Bron!$B$15),'Bouwkost NB'!$C99,IF($F$4=Bron!$B$10,'Bouwkost UITB'!$C98,IF($F$4=Bron!$B$11,'Bouwkost VERB'!$C98,IF($F$4=Bron!$B$12,'Bouwkost IER'!$C97,IF(OR($F$4=Bron!$B$13,$F$4=Bron!$B$14),'Bouwkost VOLT'!$C98,IF($F$4=Bron!$C$16,'Bouwkost AK+VERB'!$C98,0))))))</f>
        <v>0</v>
      </c>
      <c r="G91" s="810"/>
      <c r="H91" s="810">
        <f>IF(OR($H$4=Bron!$B$8,$H$4=Bron!$B$9,$H$4=Bron!$B$15),'Bouwkost NB'!$C99,IF($H$4=Bron!$B$10,'Bouwkost UITB'!$C98,IF($H$4=Bron!$B$11,'Bouwkost VERB'!$C98,IF($H$4=Bron!$B$12,'Bouwkost IER'!$C97,IF(OR($H$4=Bron!$B$13,$H$4=Bron!$B$14),'Bouwkost VOLT'!$C98,IF($H$4=Bron!$C$16,'Bouwkost AK+VERB'!$C98,0))))))</f>
        <v>0</v>
      </c>
      <c r="I91" s="810"/>
      <c r="J91" s="810">
        <f>IF(OR($J$4=Bron!$B$8,$J$4=Bron!$B$9,$J$4=Bron!$B$15),'Bouwkost NB'!$N99,IF($J$4=Bron!$B$10,'Bouwkost UITB'!$N98,IF($J$4=Bron!$B$11,'Bouwkost VERB'!$N98,IF($J$4=Bron!$B$12,'Bouwkost IER'!$N97,IF(OR($J$4=Bron!$B$13,$J$4=Bron!$B$14),'Bouwkost VOLT'!$N98,IF($J$4=Bron!$C$16,'Bouwkost AK+VERB'!$N98,0))))))</f>
        <v>0</v>
      </c>
      <c r="K91" s="810"/>
      <c r="L91" s="810">
        <f>IF(OR($L$4=Bron!$B$8,$L$4=Bron!$B$9,$L$4=Bron!$B$15),'Bouwkost NB'!$N99,IF($L$4=Bron!$B$10,'Bouwkost UITB'!$N98,IF($L$4=Bron!$B$11,'Bouwkost VERB'!$N98,IF($L$4=Bron!$B$12,'Bouwkost IER'!$N97,IF(OR($L$4=Bron!$B$13,$L$4=Bron!$B$14),'Bouwkost VOLT'!$N98,IF($L$4=Bron!$C$16,'Bouwkost AK+VERB'!$N98,0))))))</f>
        <v>0</v>
      </c>
      <c r="M91" s="810"/>
      <c r="N91" s="810">
        <f>IF(OR($N$4=Bron!$B$8,$N$4=Bron!$B$9,,$N$4=Bron!$B$15),'Bouwkost NB'!$N99,IF($N$4=Bron!$B$10,'Bouwkost UITB'!$N98,IF($N$4=Bron!$B$11,'Bouwkost VERB'!$N98,IF($N$4=Bron!$B$12,'Bouwkost IER'!$N97,IF(OR($N$4=Bron!$B$13,$N$4=Bron!$B$14),'Bouwkost VOLT'!$N98,IF($N$4=Bron!$C$16,'Bouwkost AK+VERB'!$N98,0))))))</f>
        <v>0</v>
      </c>
      <c r="O91" s="810"/>
      <c r="P91" s="810">
        <f>IF(OR($P$4=Bron!$B$8,$P$4=Bron!$B$9,$P$4=Bron!$B$15),'Bouwkost NB'!$N99,IF($P$4=Bron!$B$10,'Bouwkost UITB'!$N98,IF($P$4=Bron!$B$11,'Bouwkost VERB'!$N98,IF($P$4=Bron!$B$12,'Bouwkost IER'!$N97,IF(OR($P$4=Bron!$B$13,$P$4=Bron!$B$14),'Bouwkost VOLT'!$N98,IF($P$4=Bron!$C$16,'Bouwkost AK+VERB'!$N98,0))))))</f>
        <v>0</v>
      </c>
      <c r="Q91" s="810"/>
      <c r="R91" s="810">
        <f>IF(OR($R$4=Bron!$B$8,$R$4=Bron!$B$9,$R$4=Bron!$B$15),'Bouwkost NB'!$Y99,IF($R$4=Bron!$B$10,'Bouwkost UITB'!$Y98,IF($R$4=Bron!$B$11,'Bouwkost VERB'!$Y98,IF($R$4=Bron!$B$12,'Bouwkost IER'!$Y97,IF(OR($R$4=Bron!$B$13,$R$4=Bron!$B$14),'Bouwkost VOLT'!$Y98,IF($R$4=Bron!$C$16,'Bouwkost AK+VERB'!$Y98,0))))))</f>
        <v>0</v>
      </c>
      <c r="S91" s="810"/>
      <c r="T91" s="810">
        <f>IF(OR($T$4=Bron!$B$8,$T$4=Bron!$B$9,$T$4=Bron!$B$15),'Bouwkost NB'!$Y99,IF($T$4=Bron!$B$10,'Bouwkost UITB'!$Y98,IF($T$4=Bron!$B$11,'Bouwkost VERB'!$Y98,IF($T$4=Bron!$B$12,'Bouwkost IER'!$Y97,IF(OR($T$4=Bron!$B$13,$T$4=Bron!$B$14),'Bouwkost VOLT'!$Y98,IF($T$4=Bron!$C$16,'Bouwkost AK+VERB'!$Y98,0))))))</f>
        <v>0</v>
      </c>
      <c r="U91" s="810"/>
      <c r="V91" s="810">
        <f>IF(OR($N$4=Bron!$B$8,$N$4=Bron!$B$9,$N$4=Bron!$B$15),'Bouwkost NB'!$Y99,IF($N$4=Bron!$B$10,'Bouwkost UITB'!$Y98,IF($N$4=Bron!$B$11,'Bouwkost VERB'!$Y98,IF($N$4=Bron!$B$12,'Bouwkost IER'!$Y97,IF(OR($N$4=Bron!$B$13,$N$4=Bron!$B$14),'Bouwkost VOLT'!$Y98,IF($N$4=Bron!$C$16,'Bouwkost AK+VERB'!$Y98,0))))))</f>
        <v>0</v>
      </c>
      <c r="W91" s="810"/>
      <c r="X91" s="810">
        <f>IF(OR($X$4=Bron!$B$8,$X$4=Bron!$B$9,$X$4=Bron!$B$15),'Bouwkost NB'!$Y99,IF($X$4=Bron!$B$10,'Bouwkost UITB'!$Y98,IF($X$4=Bron!$B$11,'Bouwkost VERB'!$Y98,IF($X$4=Bron!$B$12,'Bouwkost IER'!$Y97,IF(OR($X$4=Bron!$B$13,$X$4=Bron!$B$14),'Bouwkost VOLT'!$Y98,IF($X$4=Bron!$C$16,'Bouwkost AK+VERB'!$Y98,0))))))</f>
        <v>0</v>
      </c>
      <c r="Y91">
        <f>IFERROR(Y39/'Overzicht project'!$E$66,0)</f>
        <v>0</v>
      </c>
    </row>
    <row r="92" spans="1:25" x14ac:dyDescent="0.3">
      <c r="A92" s="21" t="s">
        <v>358</v>
      </c>
      <c r="B92" s="810">
        <f>IF(OR($B$4=Bron!$B$8,$B$4=Bron!$B$9,$B$4=Bron!$B$15),'Bouwkost NB'!$C100,IF($B$4=Bron!$B$10,'Bouwkost UITB'!$C99,IF($B$4=Bron!$B$11,'Bouwkost VERB'!$C99,IF($B$4=Bron!$B$12,'Bouwkost IER'!$C98,IF(OR($B$4=Bron!$B$13,$B$4=Bron!$B$14),'Bouwkost VOLT'!$C99,IF($B$4=Bron!$C$16,'Bouwkost AK+VERB'!$C99,0))))))</f>
        <v>0</v>
      </c>
      <c r="C92" s="810"/>
      <c r="D92" s="810">
        <f>IF(OR($D$4=Bron!$B$8,$D$4=Bron!$B$9,$D$4=Bron!$B$15),'Bouwkost NB'!$C100,IF($D$4=Bron!$B$10,'Bouwkost UITB'!$C99,IF($D$4=Bron!$B$11,'Bouwkost VERB'!$C99,IF($D$4=Bron!$B$12,'Bouwkost IER'!$C98,IF(OR($D$4=Bron!$B$13,$D$4=Bron!$B$14),'Bouwkost VOLT'!$C99,IF($D$4=Bron!$C$16,'Bouwkost AK+VERB'!$C99,0))))))</f>
        <v>0</v>
      </c>
      <c r="E92" s="810"/>
      <c r="F92" s="810">
        <f>IF(OR($F$4=Bron!$B$8,$F$4=Bron!$B$9,$F$4=Bron!$B$15),'Bouwkost NB'!$C100,IF($F$4=Bron!$B$10,'Bouwkost UITB'!$C99,IF($F$4=Bron!$B$11,'Bouwkost VERB'!$C99,IF($F$4=Bron!$B$12,'Bouwkost IER'!$C98,IF(OR($F$4=Bron!$B$13,$F$4=Bron!$B$14),'Bouwkost VOLT'!$C99,IF($F$4=Bron!$C$16,'Bouwkost AK+VERB'!$C99,0))))))</f>
        <v>0</v>
      </c>
      <c r="G92" s="810"/>
      <c r="H92" s="810">
        <f>IF(OR($H$4=Bron!$B$8,$H$4=Bron!$B$9,$H$4=Bron!$B$15),'Bouwkost NB'!$C100,IF($H$4=Bron!$B$10,'Bouwkost UITB'!$C99,IF($H$4=Bron!$B$11,'Bouwkost VERB'!$C99,IF($H$4=Bron!$B$12,'Bouwkost IER'!$C98,IF(OR($H$4=Bron!$B$13,$H$4=Bron!$B$14),'Bouwkost VOLT'!$C99,IF($H$4=Bron!$C$16,'Bouwkost AK+VERB'!$C99,0))))))</f>
        <v>0</v>
      </c>
      <c r="I92" s="810"/>
      <c r="J92" s="810">
        <f>IF(OR($J$4=Bron!$B$8,$J$4=Bron!$B$9,$J$4=Bron!$B$15),'Bouwkost NB'!$N100,IF($J$4=Bron!$B$10,'Bouwkost UITB'!$N99,IF($J$4=Bron!$B$11,'Bouwkost VERB'!$N99,IF($J$4=Bron!$B$12,'Bouwkost IER'!$N98,IF(OR($J$4=Bron!$B$13,$J$4=Bron!$B$14),'Bouwkost VOLT'!$N99,IF($J$4=Bron!$C$16,'Bouwkost AK+VERB'!$N99,0))))))</f>
        <v>0</v>
      </c>
      <c r="K92" s="810"/>
      <c r="L92" s="810">
        <f>IF(OR($L$4=Bron!$B$8,$L$4=Bron!$B$9,$L$4=Bron!$B$15),'Bouwkost NB'!$N100,IF($L$4=Bron!$B$10,'Bouwkost UITB'!$N99,IF($L$4=Bron!$B$11,'Bouwkost VERB'!$N99,IF($L$4=Bron!$B$12,'Bouwkost IER'!$N98,IF(OR($L$4=Bron!$B$13,$L$4=Bron!$B$14),'Bouwkost VOLT'!$N99,IF($L$4=Bron!$C$16,'Bouwkost AK+VERB'!$N99,0))))))</f>
        <v>0</v>
      </c>
      <c r="M92" s="810"/>
      <c r="N92" s="810">
        <f>IF(OR($N$4=Bron!$B$8,$N$4=Bron!$B$9,,$N$4=Bron!$B$15),'Bouwkost NB'!$N100,IF($N$4=Bron!$B$10,'Bouwkost UITB'!$N99,IF($N$4=Bron!$B$11,'Bouwkost VERB'!$N99,IF($N$4=Bron!$B$12,'Bouwkost IER'!$N98,IF(OR($N$4=Bron!$B$13,$N$4=Bron!$B$14),'Bouwkost VOLT'!$N99,IF($N$4=Bron!$C$16,'Bouwkost AK+VERB'!$N99,0))))))</f>
        <v>0</v>
      </c>
      <c r="O92" s="810"/>
      <c r="P92" s="810">
        <f>IF(OR($P$4=Bron!$B$8,$P$4=Bron!$B$9,$P$4=Bron!$B$15),'Bouwkost NB'!$N100,IF($P$4=Bron!$B$10,'Bouwkost UITB'!$N99,IF($P$4=Bron!$B$11,'Bouwkost VERB'!$N99,IF($P$4=Bron!$B$12,'Bouwkost IER'!$N98,IF(OR($P$4=Bron!$B$13,$P$4=Bron!$B$14),'Bouwkost VOLT'!$N99,IF($P$4=Bron!$C$16,'Bouwkost AK+VERB'!$N99,0))))))</f>
        <v>0</v>
      </c>
      <c r="Q92" s="810"/>
      <c r="R92" s="810">
        <f>IF(OR($R$4=Bron!$B$8,$R$4=Bron!$B$9,$R$4=Bron!$B$15),'Bouwkost NB'!$Y100,IF($R$4=Bron!$B$10,'Bouwkost UITB'!$Y99,IF($R$4=Bron!$B$11,'Bouwkost VERB'!$Y99,IF($R$4=Bron!$B$12,'Bouwkost IER'!$Y98,IF(OR($R$4=Bron!$B$13,$R$4=Bron!$B$14),'Bouwkost VOLT'!$Y99,IF($R$4=Bron!$C$16,'Bouwkost AK+VERB'!$Y99,0))))))</f>
        <v>0</v>
      </c>
      <c r="S92" s="810"/>
      <c r="T92" s="810">
        <f>IF(OR($T$4=Bron!$B$8,$T$4=Bron!$B$9,$T$4=Bron!$B$15),'Bouwkost NB'!$Y100,IF($T$4=Bron!$B$10,'Bouwkost UITB'!$Y99,IF($T$4=Bron!$B$11,'Bouwkost VERB'!$Y99,IF($T$4=Bron!$B$12,'Bouwkost IER'!$Y98,IF(OR($T$4=Bron!$B$13,$T$4=Bron!$B$14),'Bouwkost VOLT'!$Y99,IF($T$4=Bron!$C$16,'Bouwkost AK+VERB'!$Y99,0))))))</f>
        <v>0</v>
      </c>
      <c r="U92" s="810"/>
      <c r="V92" s="810">
        <f>IF(OR($N$4=Bron!$B$8,$N$4=Bron!$B$9,$N$4=Bron!$B$15),'Bouwkost NB'!$Y100,IF($N$4=Bron!$B$10,'Bouwkost UITB'!$Y99,IF($N$4=Bron!$B$11,'Bouwkost VERB'!$Y99,IF($N$4=Bron!$B$12,'Bouwkost IER'!$Y98,IF(OR($N$4=Bron!$B$13,$N$4=Bron!$B$14),'Bouwkost VOLT'!$Y99,IF($N$4=Bron!$C$16,'Bouwkost AK+VERB'!$Y99,0))))))</f>
        <v>0</v>
      </c>
      <c r="W92" s="810"/>
      <c r="X92" s="810">
        <f>IF(OR($X$4=Bron!$B$8,$X$4=Bron!$B$9,$X$4=Bron!$B$15),'Bouwkost NB'!$Y100,IF($X$4=Bron!$B$10,'Bouwkost UITB'!$Y99,IF($X$4=Bron!$B$11,'Bouwkost VERB'!$Y99,IF($X$4=Bron!$B$12,'Bouwkost IER'!$Y98,IF(OR($X$4=Bron!$B$13,$X$4=Bron!$B$14),'Bouwkost VOLT'!$Y99,IF($X$4=Bron!$C$16,'Bouwkost AK+VERB'!$Y99,0))))))</f>
        <v>0</v>
      </c>
      <c r="Y92">
        <f>IFERROR(Y38/'Overzicht project'!$E$66,0)</f>
        <v>0</v>
      </c>
    </row>
    <row r="94" spans="1:25" x14ac:dyDescent="0.3">
      <c r="A94" s="310" t="s">
        <v>359</v>
      </c>
      <c r="B94" s="89">
        <f>IF(OR($B$4=Bron!$B$8,$B$4=Bron!$B$9,$B$4=Bron!$B$15),'Bouwkost NB'!$C102,IF($B$4=Bron!$B$10,'Bouwkost UITB'!$C101,IF($B$4=Bron!$B$11,'Bouwkost VERB'!$C101,IF($B$4=Bron!$B$12,'Bouwkost IER'!$C100,IF(OR($B$4=Bron!$B$13,$B$4=Bron!$B$14),'Bouwkost VOLT'!$C101,IF($B$4=Bron!$C$16,'Bouwkost AK+VERB'!$C101,0))))))</f>
        <v>0</v>
      </c>
      <c r="D94" s="89">
        <f>IF(OR($D$4=Bron!$B$8,$D$4=Bron!$B$9,$D$4=Bron!$B$15),'Bouwkost NB'!$C102,IF($D$4=Bron!$B$10,'Bouwkost UITB'!$C101,IF($D$4=Bron!$B$11,'Bouwkost VERB'!$C101,IF($D$4=Bron!$B$12,'Bouwkost IER'!$C100,IF(OR($D$4=Bron!$B$13,$D$4=Bron!$B$14),'Bouwkost VOLT'!$C101,IF($D$4=Bron!$C$16,'Bouwkost AK+VERB'!$C101,0))))))</f>
        <v>0</v>
      </c>
      <c r="F94" s="89">
        <f>IF(OR($F$4=Bron!$B$8,$F$4=Bron!$B$9,$F$4=Bron!$B$15),'Bouwkost NB'!$C102,IF($F$4=Bron!$B$10,'Bouwkost UITB'!$C101,IF($F$4=Bron!$B$11,'Bouwkost VERB'!$C101,IF($F$4=Bron!$B$12,'Bouwkost IER'!$C100,IF(OR($F$4=Bron!$B$13,$F$4=Bron!$B$14),'Bouwkost VOLT'!$C101,IF($F$4=Bron!$C$16,'Bouwkost AK+VERB'!$C101,0))))))</f>
        <v>0</v>
      </c>
      <c r="H94" s="89">
        <f>IF(OR($H$4=Bron!$B$8,$H$4=Bron!$B$9,$H$4=Bron!$B$15),'Bouwkost NB'!$C102,IF($H$4=Bron!$B$10,'Bouwkost UITB'!$C101,IF($H$4=Bron!$B$11,'Bouwkost VERB'!$C101,IF($H$4=Bron!$B$12,'Bouwkost IER'!$C100,IF(OR($H$4=Bron!$B$13,$H$4=Bron!$B$14),'Bouwkost VOLT'!$C101,IF($H$4=Bron!$C$16,'Bouwkost AK+VERB'!$C101,0))))))</f>
        <v>0</v>
      </c>
      <c r="J94" s="89">
        <f>IF(OR($J$4=Bron!$B$8,$J$4=Bron!$B$9,$J$4=Bron!$B$15),'Bouwkost NB'!$N102,IF($J$4=Bron!$B$10,'Bouwkost UITB'!$N101,IF($J$4=Bron!$B$11,'Bouwkost VERB'!$N101,IF($J$4=Bron!$B$12,'Bouwkost IER'!$N100,IF(OR($J$4=Bron!$B$13,$J$4=Bron!$B$14),'Bouwkost VOLT'!$N101,IF($J$4=Bron!$C$16,'Bouwkost AK+VERB'!$N101,0))))))</f>
        <v>0</v>
      </c>
      <c r="L94" s="89">
        <f>IF(OR($L$4=Bron!$B$8,$L$4=Bron!$B$9,$L$4=Bron!$B$15),'Bouwkost NB'!$N102,IF($L$4=Bron!$B$10,'Bouwkost UITB'!$N101,IF($L$4=Bron!$B$11,'Bouwkost VERB'!$N101,IF($L$4=Bron!$B$12,'Bouwkost IER'!$N100,IF(OR($L$4=Bron!$B$13,$L$4=Bron!$B$14),'Bouwkost VOLT'!$N101,IF($L$4=Bron!$C$16,'Bouwkost AK+VERB'!$N101,0))))))</f>
        <v>0</v>
      </c>
      <c r="N94" s="89">
        <f>IF(OR($N$4=Bron!$B$8,$N$4=Bron!$B$9,,$N$4=Bron!$B$15),'Bouwkost NB'!$N102,IF($N$4=Bron!$B$10,'Bouwkost UITB'!$N101,IF($N$4=Bron!$B$11,'Bouwkost VERB'!$N101,IF($N$4=Bron!$B$12,'Bouwkost IER'!$N100,IF(OR($N$4=Bron!$B$13,$N$4=Bron!$B$14),'Bouwkost VOLT'!$N101,IF($N$4=Bron!$C$16,'Bouwkost AK+VERB'!$N101,0))))))</f>
        <v>0</v>
      </c>
      <c r="P94" s="89">
        <f>IF(OR($P$4=Bron!$B$8,$P$4=Bron!$B$9,$P$4=Bron!$B$15),'Bouwkost NB'!$N102,IF($P$4=Bron!$B$10,'Bouwkost UITB'!$N101,IF($P$4=Bron!$B$11,'Bouwkost VERB'!$N101,IF($P$4=Bron!$B$12,'Bouwkost IER'!$N100,IF(OR($P$4=Bron!$B$13,$P$4=Bron!$B$14),'Bouwkost VOLT'!$N101,IF($P$4=Bron!$C$16,'Bouwkost AK+VERB'!$N101,0))))))</f>
        <v>0</v>
      </c>
      <c r="R94" s="89">
        <f>IF(OR($R$4=Bron!$B$8,$R$4=Bron!$B$9,$R$4=Bron!$B$15),'Bouwkost NB'!$Y102,IF($R$4=Bron!$B$10,'Bouwkost UITB'!$Y101,IF($R$4=Bron!$B$11,'Bouwkost VERB'!$Y101,IF($R$4=Bron!$B$12,'Bouwkost IER'!$Y100,IF(OR($R$4=Bron!$B$13,$R$4=Bron!$B$14),'Bouwkost VOLT'!$Y101,IF($R$4=Bron!$C$16,'Bouwkost AK+VERB'!$Y101,0))))))</f>
        <v>0</v>
      </c>
      <c r="T94" s="89">
        <f>IF(OR($T$4=Bron!$B$8,$T$4=Bron!$B$9,$T$4=Bron!$B$15),'Bouwkost NB'!$Y102,IF($T$4=Bron!$B$10,'Bouwkost UITB'!$Y101,IF($T$4=Bron!$B$11,'Bouwkost VERB'!$Y101,IF($T$4=Bron!$B$12,'Bouwkost IER'!$Y100,IF(OR($T$4=Bron!$B$13,$T$4=Bron!$B$14),'Bouwkost VOLT'!$Y101,IF($T$4=Bron!$C$16,'Bouwkost AK+VERB'!$Y101,0))))))</f>
        <v>0</v>
      </c>
      <c r="V94" s="89">
        <f>IF(OR($N$4=Bron!$B$8,$N$4=Bron!$B$9,$N$4=Bron!$B$15),'Bouwkost NB'!$Y102,IF($N$4=Bron!$B$10,'Bouwkost UITB'!$Y101,IF($N$4=Bron!$B$11,'Bouwkost VERB'!$Y101,IF($N$4=Bron!$B$12,'Bouwkost IER'!$Y100,IF(OR($N$4=Bron!$B$13,$N$4=Bron!$B$14),'Bouwkost VOLT'!$Y101,IF($N$4=Bron!$C$16,'Bouwkost AK+VERB'!$Y101,0))))))</f>
        <v>0</v>
      </c>
      <c r="X94" s="89">
        <f>IF(OR($X$4=Bron!$B$8,$X$4=Bron!$B$9,$X$4=Bron!$B$15),'Bouwkost NB'!$Y102,IF($X$4=Bron!$B$10,'Bouwkost UITB'!$Y101,IF($X$4=Bron!$B$11,'Bouwkost VERB'!$Y101,IF($X$4=Bron!$B$12,'Bouwkost IER'!$Y100,IF(OR($X$4=Bron!$B$13,$X$4=Bron!$B$14),'Bouwkost VOLT'!$Y101,IF($X$4=Bron!$C$16,'Bouwkost AK+VERB'!$Y101,0))))))</f>
        <v>0</v>
      </c>
    </row>
    <row r="95" spans="1:25" x14ac:dyDescent="0.3">
      <c r="A95" s="310" t="s">
        <v>360</v>
      </c>
      <c r="B95" s="810">
        <f>IF(OR($B$4=Bron!$B$8,$B$4=Bron!$B$9,$B$4=Bron!$B$15),'Bouwkost NB'!$C103,IF($B$4=Bron!$B$10,'Bouwkost UITB'!$C102,IF($B$4=Bron!$B$11,'Bouwkost VERB'!$C102,IF($B$4=Bron!$B$12,'Bouwkost IER'!$C101,IF(OR($B$4=Bron!$B$13,$B$4=Bron!$B$14),'Bouwkost VOLT'!$C102,IF($B$4=Bron!$C$16,'Bouwkost AK+VERB'!$C102,0))))))</f>
        <v>0</v>
      </c>
      <c r="C95" s="810"/>
      <c r="D95" s="810">
        <f>IF(OR($D$4=Bron!$B$8,$D$4=Bron!$B$9,$D$4=Bron!$B$15),'Bouwkost NB'!$C103,IF($D$4=Bron!$B$10,'Bouwkost UITB'!$C102,IF($D$4=Bron!$B$11,'Bouwkost VERB'!$C102,IF($D$4=Bron!$B$12,'Bouwkost IER'!$C101,IF(OR($D$4=Bron!$B$13,$D$4=Bron!$B$14),'Bouwkost VOLT'!$C102,IF($D$4=Bron!$C$16,'Bouwkost AK+VERB'!$C102,0))))))</f>
        <v>0</v>
      </c>
      <c r="E95" s="810"/>
      <c r="F95" s="810">
        <f>IF(OR($F$4=Bron!$B$8,$F$4=Bron!$B$9,$F$4=Bron!$B$15),'Bouwkost NB'!$C103,IF($F$4=Bron!$B$10,'Bouwkost UITB'!$C102,IF($F$4=Bron!$B$11,'Bouwkost VERB'!$C102,IF($F$4=Bron!$B$12,'Bouwkost IER'!$C101,IF(OR($F$4=Bron!$B$13,$F$4=Bron!$B$14),'Bouwkost VOLT'!$C102,IF($F$4=Bron!$C$16,'Bouwkost AK+VERB'!$C102,0))))))</f>
        <v>0</v>
      </c>
      <c r="G95" s="810"/>
      <c r="H95" s="810">
        <f>IF(OR($H$4=Bron!$B$8,$H$4=Bron!$B$9,$H$4=Bron!$B$15),'Bouwkost NB'!$C103,IF($H$4=Bron!$B$10,'Bouwkost UITB'!$C102,IF($H$4=Bron!$B$11,'Bouwkost VERB'!$C102,IF($H$4=Bron!$B$12,'Bouwkost IER'!$C101,IF(OR($H$4=Bron!$B$13,$H$4=Bron!$B$14),'Bouwkost VOLT'!$C102,IF($H$4=Bron!$C$16,'Bouwkost AK+VERB'!$C102,0))))))</f>
        <v>0</v>
      </c>
      <c r="I95" s="810"/>
      <c r="J95" s="810">
        <f>IF(OR($J$4=Bron!$B$8,$J$4=Bron!$B$9,$J$4=Bron!$B$15),'Bouwkost NB'!$N103,IF($J$4=Bron!$B$10,'Bouwkost UITB'!$N102,IF($J$4=Bron!$B$11,'Bouwkost VERB'!$N102,IF($J$4=Bron!$B$12,'Bouwkost IER'!$N101,IF(OR($J$4=Bron!$B$13,$J$4=Bron!$B$14),'Bouwkost VOLT'!$N102,IF($J$4=Bron!$C$16,'Bouwkost AK+VERB'!$N102,0))))))</f>
        <v>0</v>
      </c>
      <c r="K95" s="810"/>
      <c r="L95" s="810">
        <f>IF(OR($L$4=Bron!$B$8,$L$4=Bron!$B$9,$L$4=Bron!$B$15),'Bouwkost NB'!$N103,IF($L$4=Bron!$B$10,'Bouwkost UITB'!$N102,IF($L$4=Bron!$B$11,'Bouwkost VERB'!$N102,IF($L$4=Bron!$B$12,'Bouwkost IER'!$N101,IF(OR($L$4=Bron!$B$13,$L$4=Bron!$B$14),'Bouwkost VOLT'!$N102,IF($L$4=Bron!$C$16,'Bouwkost AK+VERB'!$N102,0))))))</f>
        <v>0</v>
      </c>
      <c r="M95" s="810"/>
      <c r="N95" s="810">
        <f>IF(OR($N$4=Bron!$B$8,$N$4=Bron!$B$9,,$N$4=Bron!$B$15),'Bouwkost NB'!$N103,IF($N$4=Bron!$B$10,'Bouwkost UITB'!$N102,IF($N$4=Bron!$B$11,'Bouwkost VERB'!$N102,IF($N$4=Bron!$B$12,'Bouwkost IER'!$N101,IF(OR($N$4=Bron!$B$13,$N$4=Bron!$B$14),'Bouwkost VOLT'!$N102,IF($N$4=Bron!$C$16,'Bouwkost AK+VERB'!$N102,0))))))</f>
        <v>0</v>
      </c>
      <c r="O95" s="810"/>
      <c r="P95" s="810">
        <f>IF(OR($P$4=Bron!$B$8,$P$4=Bron!$B$9,$P$4=Bron!$B$15),'Bouwkost NB'!$N103,IF($P$4=Bron!$B$10,'Bouwkost UITB'!$N102,IF($P$4=Bron!$B$11,'Bouwkost VERB'!$N102,IF($P$4=Bron!$B$12,'Bouwkost IER'!$N101,IF(OR($P$4=Bron!$B$13,$P$4=Bron!$B$14),'Bouwkost VOLT'!$N102,IF($P$4=Bron!$C$16,'Bouwkost AK+VERB'!$N102,0))))))</f>
        <v>0</v>
      </c>
      <c r="Q95" s="810"/>
      <c r="R95" s="810">
        <f>IF(OR($R$4=Bron!$B$8,$R$4=Bron!$B$9,$R$4=Bron!$B$15),'Bouwkost NB'!$Y103,IF($R$4=Bron!$B$10,'Bouwkost UITB'!$Y102,IF($R$4=Bron!$B$11,'Bouwkost VERB'!$Y102,IF($R$4=Bron!$B$12,'Bouwkost IER'!$Y101,IF(OR($R$4=Bron!$B$13,$R$4=Bron!$B$14),'Bouwkost VOLT'!$Y102,IF($R$4=Bron!$C$16,'Bouwkost AK+VERB'!$Y102,0))))))</f>
        <v>0</v>
      </c>
      <c r="S95" s="810"/>
      <c r="T95" s="810">
        <f>IF(OR($T$4=Bron!$B$8,$T$4=Bron!$B$9,$T$4=Bron!$B$15),'Bouwkost NB'!$Y103,IF($T$4=Bron!$B$10,'Bouwkost UITB'!$Y102,IF($T$4=Bron!$B$11,'Bouwkost VERB'!$Y102,IF($T$4=Bron!$B$12,'Bouwkost IER'!$Y101,IF(OR($T$4=Bron!$B$13,$T$4=Bron!$B$14),'Bouwkost VOLT'!$Y102,IF($T$4=Bron!$C$16,'Bouwkost AK+VERB'!$Y102,0))))))</f>
        <v>0</v>
      </c>
      <c r="U95" s="810"/>
      <c r="V95" s="810">
        <f>IF(OR($N$4=Bron!$B$8,$N$4=Bron!$B$9,$N$4=Bron!$B$15),'Bouwkost NB'!$Y103,IF($N$4=Bron!$B$10,'Bouwkost UITB'!$Y102,IF($N$4=Bron!$B$11,'Bouwkost VERB'!$Y102,IF($N$4=Bron!$B$12,'Bouwkost IER'!$Y101,IF(OR($N$4=Bron!$B$13,$N$4=Bron!$B$14),'Bouwkost VOLT'!$Y102,IF($N$4=Bron!$C$16,'Bouwkost AK+VERB'!$Y102,0))))))</f>
        <v>0</v>
      </c>
      <c r="W95" s="810"/>
      <c r="X95" s="810">
        <f>IF(OR($X$4=Bron!$B$8,$X$4=Bron!$B$9,$X$4=Bron!$B$15),'Bouwkost NB'!$Y103,IF($X$4=Bron!$B$10,'Bouwkost UITB'!$Y102,IF($X$4=Bron!$B$11,'Bouwkost VERB'!$Y102,IF($X$4=Bron!$B$12,'Bouwkost IER'!$Y101,IF(OR($X$4=Bron!$B$13,$X$4=Bron!$B$14),'Bouwkost VOLT'!$Y102,IF($X$4=Bron!$C$16,'Bouwkost AK+VERB'!$Y102,0))))))</f>
        <v>0</v>
      </c>
    </row>
    <row r="96" spans="1:25" x14ac:dyDescent="0.3">
      <c r="A96" s="310" t="s">
        <v>361</v>
      </c>
      <c r="B96" s="89">
        <f>IF(OR($B$4=Bron!$B$8,$B$4=Bron!$B$9,$B$4=Bron!$B$15),'Bouwkost NB'!$C104,IF($B$4=Bron!$B$10,'Bouwkost UITB'!$C103,IF($B$4=Bron!$B$11,'Bouwkost VERB'!$C103,IF($B$4=Bron!$B$12,'Bouwkost IER'!$C102,IF(OR($B$4=Bron!$B$13,$B$4=Bron!$B$14),'Bouwkost VOLT'!$C103,IF($B$4=Bron!$C$16,'Bouwkost AK+VERB'!$C103,0))))))</f>
        <v>0</v>
      </c>
      <c r="D96" s="89">
        <f>IF(OR($D$4=Bron!$B$8,$D$4=Bron!$B$9,$D$4=Bron!$B$15),'Bouwkost NB'!$C104,IF($D$4=Bron!$B$10,'Bouwkost UITB'!$C103,IF($D$4=Bron!$B$11,'Bouwkost VERB'!$C103,IF($D$4=Bron!$B$12,'Bouwkost IER'!$C102,IF(OR($D$4=Bron!$B$13,$D$4=Bron!$B$14),'Bouwkost VOLT'!$C103,IF($D$4=Bron!$C$16,'Bouwkost AK+VERB'!$C103,0))))))</f>
        <v>0</v>
      </c>
      <c r="F96" s="89">
        <f>IF(OR($F$4=Bron!$B$8,$F$4=Bron!$B$9,$F$4=Bron!$B$15),'Bouwkost NB'!$C104,IF($F$4=Bron!$B$10,'Bouwkost UITB'!$C103,IF($F$4=Bron!$B$11,'Bouwkost VERB'!$C103,IF($F$4=Bron!$B$12,'Bouwkost IER'!$C102,IF(OR($F$4=Bron!$B$13,$F$4=Bron!$B$14),'Bouwkost VOLT'!$C103,IF($F$4=Bron!$C$16,'Bouwkost AK+VERB'!$C103,0))))))</f>
        <v>0</v>
      </c>
      <c r="H96" s="89">
        <f>IF(OR($H$4=Bron!$B$8,$H$4=Bron!$B$9,$H$4=Bron!$B$15),'Bouwkost NB'!$C104,IF($H$4=Bron!$B$10,'Bouwkost UITB'!$C103,IF($H$4=Bron!$B$11,'Bouwkost VERB'!$C103,IF($H$4=Bron!$B$12,'Bouwkost IER'!$C102,IF(OR($H$4=Bron!$B$13,$H$4=Bron!$B$14),'Bouwkost VOLT'!$C103,IF($H$4=Bron!$C$16,'Bouwkost AK+VERB'!$C103,0))))))</f>
        <v>0</v>
      </c>
      <c r="J96" s="89">
        <f>IF(OR($J$4=Bron!$B$8,$J$4=Bron!$B$9,$J$4=Bron!$B$15),'Bouwkost NB'!$N104,IF($J$4=Bron!$B$10,'Bouwkost UITB'!$N103,IF($J$4=Bron!$B$11,'Bouwkost VERB'!$N103,IF($J$4=Bron!$B$12,'Bouwkost IER'!$N102,IF(OR($J$4=Bron!$B$13,$J$4=Bron!$B$14),'Bouwkost VOLT'!$N103,IF($J$4=Bron!$C$16,'Bouwkost AK+VERB'!$N103,0))))))</f>
        <v>0</v>
      </c>
      <c r="L96" s="89">
        <f>IF(OR($L$4=Bron!$B$8,$L$4=Bron!$B$9,$L$4=Bron!$B$15),'Bouwkost NB'!$N104,IF($L$4=Bron!$B$10,'Bouwkost UITB'!$N103,IF($L$4=Bron!$B$11,'Bouwkost VERB'!$N103,IF($L$4=Bron!$B$12,'Bouwkost IER'!$N102,IF(OR($L$4=Bron!$B$13,$L$4=Bron!$B$14),'Bouwkost VOLT'!$N103,IF($L$4=Bron!$C$16,'Bouwkost AK+VERB'!$N103,0))))))</f>
        <v>0</v>
      </c>
      <c r="N96" s="89">
        <f>IF(OR($N$4=Bron!$B$8,$N$4=Bron!$B$9,,$N$4=Bron!$B$15),'Bouwkost NB'!$N104,IF($N$4=Bron!$B$10,'Bouwkost UITB'!$N103,IF($N$4=Bron!$B$11,'Bouwkost VERB'!$N103,IF($N$4=Bron!$B$12,'Bouwkost IER'!$N102,IF(OR($N$4=Bron!$B$13,$N$4=Bron!$B$14),'Bouwkost VOLT'!$N103,IF($N$4=Bron!$C$16,'Bouwkost AK+VERB'!$N103,0))))))</f>
        <v>0</v>
      </c>
      <c r="P96" s="89">
        <f>IF(OR($P$4=Bron!$B$8,$P$4=Bron!$B$9,$P$4=Bron!$B$15),'Bouwkost NB'!$N104,IF($P$4=Bron!$B$10,'Bouwkost UITB'!$N103,IF($P$4=Bron!$B$11,'Bouwkost VERB'!$N103,IF($P$4=Bron!$B$12,'Bouwkost IER'!$N102,IF(OR($P$4=Bron!$B$13,$P$4=Bron!$B$14),'Bouwkost VOLT'!$N103,IF($P$4=Bron!$C$16,'Bouwkost AK+VERB'!$N103,0))))))</f>
        <v>0</v>
      </c>
      <c r="R96" s="89">
        <f>IF(OR($R$4=Bron!$B$8,$R$4=Bron!$B$9,$R$4=Bron!$B$15),'Bouwkost NB'!$Y104,IF($R$4=Bron!$B$10,'Bouwkost UITB'!$Y103,IF($R$4=Bron!$B$11,'Bouwkost VERB'!$Y103,IF($R$4=Bron!$B$12,'Bouwkost IER'!$Y102,IF(OR($R$4=Bron!$B$13,$R$4=Bron!$B$14),'Bouwkost VOLT'!$Y103,IF($R$4=Bron!$C$16,'Bouwkost AK+VERB'!$Y103,0))))))</f>
        <v>0</v>
      </c>
      <c r="T96" s="89">
        <f>IF(OR($T$4=Bron!$B$8,$T$4=Bron!$B$9,$T$4=Bron!$B$15),'Bouwkost NB'!$Y104,IF($T$4=Bron!$B$10,'Bouwkost UITB'!$Y103,IF($T$4=Bron!$B$11,'Bouwkost VERB'!$Y103,IF($T$4=Bron!$B$12,'Bouwkost IER'!$Y102,IF(OR($T$4=Bron!$B$13,$T$4=Bron!$B$14),'Bouwkost VOLT'!$Y103,IF($T$4=Bron!$C$16,'Bouwkost AK+VERB'!$Y103,0))))))</f>
        <v>0</v>
      </c>
      <c r="V96" s="89">
        <f>IF(OR($N$4=Bron!$B$8,$N$4=Bron!$B$9,$N$4=Bron!$B$15),'Bouwkost NB'!$Y104,IF($N$4=Bron!$B$10,'Bouwkost UITB'!$Y103,IF($N$4=Bron!$B$11,'Bouwkost VERB'!$Y103,IF($N$4=Bron!$B$12,'Bouwkost IER'!$Y102,IF(OR($N$4=Bron!$B$13,$N$4=Bron!$B$14),'Bouwkost VOLT'!$Y103,IF($N$4=Bron!$C$16,'Bouwkost AK+VERB'!$Y103,0))))))</f>
        <v>0</v>
      </c>
      <c r="X96" s="89">
        <f>IF(OR($X$4=Bron!$B$8,$X$4=Bron!$B$9,$X$4=Bron!$B$15),'Bouwkost NB'!$Y104,IF($X$4=Bron!$B$10,'Bouwkost UITB'!$Y103,IF($X$4=Bron!$B$11,'Bouwkost VERB'!$Y103,IF($X$4=Bron!$B$12,'Bouwkost IER'!$Y102,IF(OR($X$4=Bron!$B$13,$X$4=Bron!$B$14),'Bouwkost VOLT'!$Y103,IF($X$4=Bron!$C$16,'Bouwkost AK+VERB'!$Y103,0))))))</f>
        <v>0</v>
      </c>
    </row>
    <row r="97" spans="1:24" x14ac:dyDescent="0.3">
      <c r="A97" s="310" t="s">
        <v>360</v>
      </c>
      <c r="B97" s="89">
        <f>IF(OR($B$4=Bron!$B$8,$B$4=Bron!$B$9,$B$4=Bron!$B$15),'Bouwkost NB'!$C105,IF($B$4=Bron!$B$10,'Bouwkost UITB'!$C104,IF($B$4=Bron!$B$11,'Bouwkost VERB'!$C104,IF($B$4=Bron!$B$12,'Bouwkost IER'!$C103,IF(OR($B$4=Bron!$B$13,$B$4=Bron!$B$14),'Bouwkost VOLT'!$C104,IF($B$4=Bron!$C$16,'Bouwkost AK+VERB'!$C104,0))))))</f>
        <v>0</v>
      </c>
      <c r="D97" s="89">
        <f>IF(OR($D$4=Bron!$B$8,$D$4=Bron!$B$9,$D$4=Bron!$B$15),'Bouwkost NB'!$C105,IF($D$4=Bron!$B$10,'Bouwkost UITB'!$C104,IF($D$4=Bron!$B$11,'Bouwkost VERB'!$C104,IF($D$4=Bron!$B$12,'Bouwkost IER'!$C103,IF(OR($D$4=Bron!$B$13,$D$4=Bron!$B$14),'Bouwkost VOLT'!$C104,IF($D$4=Bron!$C$16,'Bouwkost AK+VERB'!$C104,0))))))</f>
        <v>0</v>
      </c>
      <c r="F97" s="89">
        <f>IF(OR($F$4=Bron!$B$8,$F$4=Bron!$B$9,$F$4=Bron!$B$15),'Bouwkost NB'!$C105,IF($F$4=Bron!$B$10,'Bouwkost UITB'!$C104,IF($F$4=Bron!$B$11,'Bouwkost VERB'!$C104,IF($F$4=Bron!$B$12,'Bouwkost IER'!$C103,IF(OR($F$4=Bron!$B$13,$F$4=Bron!$B$14),'Bouwkost VOLT'!$C104,IF($F$4=Bron!$C$16,'Bouwkost AK+VERB'!$C104,0))))))</f>
        <v>0</v>
      </c>
      <c r="H97" s="89">
        <f>IF(OR($H$4=Bron!$B$8,$H$4=Bron!$B$9,$H$4=Bron!$B$15),'Bouwkost NB'!$C105,IF($H$4=Bron!$B$10,'Bouwkost UITB'!$C104,IF($H$4=Bron!$B$11,'Bouwkost VERB'!$C104,IF($H$4=Bron!$B$12,'Bouwkost IER'!$C103,IF(OR($H$4=Bron!$B$13,$H$4=Bron!$B$14),'Bouwkost VOLT'!$C104,IF($H$4=Bron!$C$16,'Bouwkost AK+VERB'!$C104,0))))))</f>
        <v>0</v>
      </c>
      <c r="J97" s="89">
        <f>IF(OR($J$4=Bron!$B$8,$J$4=Bron!$B$9,$J$4=Bron!$B$15),'Bouwkost NB'!$N105,IF($J$4=Bron!$B$10,'Bouwkost UITB'!$N104,IF($J$4=Bron!$B$11,'Bouwkost VERB'!$N104,IF($J$4=Bron!$B$12,'Bouwkost IER'!$N103,IF(OR($J$4=Bron!$B$13,$J$4=Bron!$B$14),'Bouwkost VOLT'!$N104,IF($J$4=Bron!$C$16,'Bouwkost AK+VERB'!$N104,0))))))</f>
        <v>0</v>
      </c>
      <c r="L97" s="89">
        <f>IF(OR($L$4=Bron!$B$8,$L$4=Bron!$B$9,$L$4=Bron!$B$15),'Bouwkost NB'!$N105,IF($L$4=Bron!$B$10,'Bouwkost UITB'!$N104,IF($L$4=Bron!$B$11,'Bouwkost VERB'!$N104,IF($L$4=Bron!$B$12,'Bouwkost IER'!$N103,IF(OR($L$4=Bron!$B$13,$L$4=Bron!$B$14),'Bouwkost VOLT'!$N104,IF($L$4=Bron!$C$16,'Bouwkost AK+VERB'!$N104,0))))))</f>
        <v>0</v>
      </c>
      <c r="N97" s="89">
        <f>IF(OR($N$4=Bron!$B$8,$N$4=Bron!$B$9,,$N$4=Bron!$B$15),'Bouwkost NB'!$N105,IF($N$4=Bron!$B$10,'Bouwkost UITB'!$N104,IF($N$4=Bron!$B$11,'Bouwkost VERB'!$N104,IF($N$4=Bron!$B$12,'Bouwkost IER'!$N103,IF(OR($N$4=Bron!$B$13,$N$4=Bron!$B$14),'Bouwkost VOLT'!$N104,IF($N$4=Bron!$C$16,'Bouwkost AK+VERB'!$N104,0))))))</f>
        <v>0</v>
      </c>
      <c r="P97" s="89">
        <f>IF(OR($P$4=Bron!$B$8,$P$4=Bron!$B$9,$P$4=Bron!$B$15),'Bouwkost NB'!$N105,IF($P$4=Bron!$B$10,'Bouwkost UITB'!$N104,IF($P$4=Bron!$B$11,'Bouwkost VERB'!$N104,IF($P$4=Bron!$B$12,'Bouwkost IER'!$N103,IF(OR($P$4=Bron!$B$13,$P$4=Bron!$B$14),'Bouwkost VOLT'!$N104,IF($P$4=Bron!$C$16,'Bouwkost AK+VERB'!$N104,0))))))</f>
        <v>0</v>
      </c>
      <c r="R97" s="89">
        <f>IF(OR($R$4=Bron!$B$8,$R$4=Bron!$B$9,$R$4=Bron!$B$15),'Bouwkost NB'!$Y105,IF($R$4=Bron!$B$10,'Bouwkost UITB'!$Y104,IF($R$4=Bron!$B$11,'Bouwkost VERB'!$Y104,IF($R$4=Bron!$B$12,'Bouwkost IER'!$Y103,IF(OR($R$4=Bron!$B$13,$R$4=Bron!$B$14),'Bouwkost VOLT'!$Y104,IF($R$4=Bron!$C$16,'Bouwkost AK+VERB'!$Y104,0))))))</f>
        <v>0</v>
      </c>
      <c r="T97" s="89">
        <f>IF(OR($T$4=Bron!$B$8,$T$4=Bron!$B$9,$T$4=Bron!$B$15),'Bouwkost NB'!$Y105,IF($T$4=Bron!$B$10,'Bouwkost UITB'!$Y104,IF($T$4=Bron!$B$11,'Bouwkost VERB'!$Y104,IF($T$4=Bron!$B$12,'Bouwkost IER'!$Y103,IF(OR($T$4=Bron!$B$13,$T$4=Bron!$B$14),'Bouwkost VOLT'!$Y104,IF($T$4=Bron!$C$16,'Bouwkost AK+VERB'!$Y104,0))))))</f>
        <v>0</v>
      </c>
      <c r="V97" s="89">
        <f>IF(OR($N$4=Bron!$B$8,$N$4=Bron!$B$9,$N$4=Bron!$B$15),'Bouwkost NB'!$Y105,IF($N$4=Bron!$B$10,'Bouwkost UITB'!$Y104,IF($N$4=Bron!$B$11,'Bouwkost VERB'!$Y104,IF($N$4=Bron!$B$12,'Bouwkost IER'!$Y103,IF(OR($N$4=Bron!$B$13,$N$4=Bron!$B$14),'Bouwkost VOLT'!$Y104,IF($N$4=Bron!$C$16,'Bouwkost AK+VERB'!$Y104,0))))))</f>
        <v>0</v>
      </c>
      <c r="X97" s="89">
        <f>IF(OR($X$4=Bron!$B$8,$X$4=Bron!$B$9,$X$4=Bron!$B$15),'Bouwkost NB'!$Y105,IF($X$4=Bron!$B$10,'Bouwkost UITB'!$Y104,IF($X$4=Bron!$B$11,'Bouwkost VERB'!$Y104,IF($X$4=Bron!$B$12,'Bouwkost IER'!$Y103,IF(OR($X$4=Bron!$B$13,$X$4=Bron!$B$14),'Bouwkost VOLT'!$Y104,IF($X$4=Bron!$C$16,'Bouwkost AK+VERB'!$Y104,0))))))</f>
        <v>0</v>
      </c>
    </row>
    <row r="98" spans="1:24" x14ac:dyDescent="0.3">
      <c r="A98" s="310" t="s">
        <v>362</v>
      </c>
      <c r="B98" s="89">
        <f>IF(OR($B$4=Bron!$B$8,$B$4=Bron!$B$9,$B$4=Bron!$B$15),'Bouwkost NB'!$C106,IF($B$4=Bron!$B$10,'Bouwkost UITB'!$C105,IF($B$4=Bron!$B$11,'Bouwkost VERB'!$C105,IF($B$4=Bron!$B$12,'Bouwkost IER'!$C104,IF(OR($B$4=Bron!$B$13,$B$4=Bron!$B$14),'Bouwkost VOLT'!$C105,IF($B$4=Bron!$C$16,'Bouwkost AK+VERB'!$C105,0))))))</f>
        <v>0</v>
      </c>
      <c r="D98" s="89">
        <f>IF(OR($D$4=Bron!$B$8,$D$4=Bron!$B$9,$D$4=Bron!$B$15),'Bouwkost NB'!$C106,IF($D$4=Bron!$B$10,'Bouwkost UITB'!$C105,IF($D$4=Bron!$B$11,'Bouwkost VERB'!$C105,IF($D$4=Bron!$B$12,'Bouwkost IER'!$C104,IF(OR($D$4=Bron!$B$13,$D$4=Bron!$B$14),'Bouwkost VOLT'!$C105,IF($D$4=Bron!$C$16,'Bouwkost AK+VERB'!$C105,0))))))</f>
        <v>0</v>
      </c>
      <c r="F98" s="89">
        <f>IF(OR($F$4=Bron!$B$8,$F$4=Bron!$B$9,$F$4=Bron!$B$15),'Bouwkost NB'!$C106,IF($F$4=Bron!$B$10,'Bouwkost UITB'!$C105,IF($F$4=Bron!$B$11,'Bouwkost VERB'!$C105,IF($F$4=Bron!$B$12,'Bouwkost IER'!$C104,IF(OR($F$4=Bron!$B$13,$F$4=Bron!$B$14),'Bouwkost VOLT'!$C105,IF($F$4=Bron!$C$16,'Bouwkost AK+VERB'!$C105,0))))))</f>
        <v>0</v>
      </c>
      <c r="H98" s="89">
        <f>IF(OR($H$4=Bron!$B$8,$H$4=Bron!$B$9,$H$4=Bron!$B$15),'Bouwkost NB'!$C106,IF($H$4=Bron!$B$10,'Bouwkost UITB'!$C105,IF($H$4=Bron!$B$11,'Bouwkost VERB'!$C105,IF($H$4=Bron!$B$12,'Bouwkost IER'!$C104,IF(OR($H$4=Bron!$B$13,$H$4=Bron!$B$14),'Bouwkost VOLT'!$C105,IF($H$4=Bron!$C$16,'Bouwkost AK+VERB'!$C105,0))))))</f>
        <v>0</v>
      </c>
      <c r="J98" s="89">
        <f>IF(OR($J$4=Bron!$B$8,$J$4=Bron!$B$9,$J$4=Bron!$B$15),'Bouwkost NB'!$N106,IF($J$4=Bron!$B$10,'Bouwkost UITB'!$N105,IF($J$4=Bron!$B$11,'Bouwkost VERB'!$N105,IF($J$4=Bron!$B$12,'Bouwkost IER'!$N104,IF(OR($J$4=Bron!$B$13,$J$4=Bron!$B$14),'Bouwkost VOLT'!$N105,IF($J$4=Bron!$C$16,'Bouwkost AK+VERB'!$N105,0))))))</f>
        <v>0</v>
      </c>
      <c r="L98" s="89">
        <f>IF(OR($L$4=Bron!$B$8,$L$4=Bron!$B$9,$L$4=Bron!$B$15),'Bouwkost NB'!$N106,IF($L$4=Bron!$B$10,'Bouwkost UITB'!$N105,IF($L$4=Bron!$B$11,'Bouwkost VERB'!$N105,IF($L$4=Bron!$B$12,'Bouwkost IER'!$N104,IF(OR($L$4=Bron!$B$13,$L$4=Bron!$B$14),'Bouwkost VOLT'!$N105,IF($L$4=Bron!$C$16,'Bouwkost AK+VERB'!$N105,0))))))</f>
        <v>0</v>
      </c>
      <c r="N98" s="89">
        <f>IF(OR($N$4=Bron!$B$8,$N$4=Bron!$B$9,,$N$4=Bron!$B$15),'Bouwkost NB'!$N106,IF($N$4=Bron!$B$10,'Bouwkost UITB'!$N105,IF($N$4=Bron!$B$11,'Bouwkost VERB'!$N105,IF($N$4=Bron!$B$12,'Bouwkost IER'!$N104,IF(OR($N$4=Bron!$B$13,$N$4=Bron!$B$14),'Bouwkost VOLT'!$N105,IF($N$4=Bron!$C$16,'Bouwkost AK+VERB'!$N105,0))))))</f>
        <v>0</v>
      </c>
      <c r="P98" s="89">
        <f>IF(OR($P$4=Bron!$B$8,$P$4=Bron!$B$9,$P$4=Bron!$B$15),'Bouwkost NB'!$N106,IF($P$4=Bron!$B$10,'Bouwkost UITB'!$N105,IF($P$4=Bron!$B$11,'Bouwkost VERB'!$N105,IF($P$4=Bron!$B$12,'Bouwkost IER'!$N104,IF(OR($P$4=Bron!$B$13,$P$4=Bron!$B$14),'Bouwkost VOLT'!$N105,IF($P$4=Bron!$C$16,'Bouwkost AK+VERB'!$N105,0))))))</f>
        <v>0</v>
      </c>
      <c r="R98" s="89">
        <f>IF(OR($R$4=Bron!$B$8,$R$4=Bron!$B$9,$R$4=Bron!$B$15),'Bouwkost NB'!$Y106,IF($R$4=Bron!$B$10,'Bouwkost UITB'!$Y105,IF($R$4=Bron!$B$11,'Bouwkost VERB'!$Y105,IF($R$4=Bron!$B$12,'Bouwkost IER'!$Y104,IF(OR($R$4=Bron!$B$13,$R$4=Bron!$B$14),'Bouwkost VOLT'!$Y105,IF($R$4=Bron!$C$16,'Bouwkost AK+VERB'!$Y105,0))))))</f>
        <v>0</v>
      </c>
      <c r="T98" s="89">
        <f>IF(OR($T$4=Bron!$B$8,$T$4=Bron!$B$9,$T$4=Bron!$B$15),'Bouwkost NB'!$Y106,IF($T$4=Bron!$B$10,'Bouwkost UITB'!$Y105,IF($T$4=Bron!$B$11,'Bouwkost VERB'!$Y105,IF($T$4=Bron!$B$12,'Bouwkost IER'!$Y104,IF(OR($T$4=Bron!$B$13,$T$4=Bron!$B$14),'Bouwkost VOLT'!$Y105,IF($T$4=Bron!$C$16,'Bouwkost AK+VERB'!$Y105,0))))))</f>
        <v>0</v>
      </c>
      <c r="V98" s="89">
        <f>IF(OR($N$4=Bron!$B$8,$N$4=Bron!$B$9,$N$4=Bron!$B$15),'Bouwkost NB'!$Y106,IF($N$4=Bron!$B$10,'Bouwkost UITB'!$Y105,IF($N$4=Bron!$B$11,'Bouwkost VERB'!$Y105,IF($N$4=Bron!$B$12,'Bouwkost IER'!$Y104,IF(OR($N$4=Bron!$B$13,$N$4=Bron!$B$14),'Bouwkost VOLT'!$Y105,IF($N$4=Bron!$C$16,'Bouwkost AK+VERB'!$Y105,0))))))</f>
        <v>0</v>
      </c>
      <c r="X98" s="89">
        <f>IF(OR($X$4=Bron!$B$8,$X$4=Bron!$B$9,$X$4=Bron!$B$15),'Bouwkost NB'!$Y106,IF($X$4=Bron!$B$10,'Bouwkost UITB'!$Y105,IF($X$4=Bron!$B$11,'Bouwkost VERB'!$Y105,IF($X$4=Bron!$B$12,'Bouwkost IER'!$Y104,IF(OR($X$4=Bron!$B$13,$X$4=Bron!$B$14),'Bouwkost VOLT'!$Y105,IF($X$4=Bron!$C$16,'Bouwkost AK+VERB'!$Y105,0))))))</f>
        <v>0</v>
      </c>
    </row>
    <row r="99" spans="1:24" x14ac:dyDescent="0.3">
      <c r="A99" s="310" t="s">
        <v>360</v>
      </c>
      <c r="B99" s="89">
        <f>IF(OR($B$4=Bron!$B$8,$B$4=Bron!$B$9,$B$4=Bron!$B$15),'Bouwkost NB'!$C107,IF($B$4=Bron!$B$10,'Bouwkost UITB'!$C106,IF($B$4=Bron!$B$11,'Bouwkost VERB'!$C106,IF($B$4=Bron!$B$12,'Bouwkost IER'!$C105,IF(OR($B$4=Bron!$B$13,$B$4=Bron!$B$14),'Bouwkost VOLT'!$C106,IF($B$4=Bron!$C$16,'Bouwkost AK+VERB'!$C106,0))))))</f>
        <v>0</v>
      </c>
      <c r="D99" s="89">
        <f>IF(OR($D$4=Bron!$B$8,$D$4=Bron!$B$9,$D$4=Bron!$B$15),'Bouwkost NB'!$C107,IF($D$4=Bron!$B$10,'Bouwkost UITB'!$C106,IF($D$4=Bron!$B$11,'Bouwkost VERB'!$C106,IF($D$4=Bron!$B$12,'Bouwkost IER'!$C105,IF(OR($D$4=Bron!$B$13,$D$4=Bron!$B$14),'Bouwkost VOLT'!$C106,IF($D$4=Bron!$C$16,'Bouwkost AK+VERB'!$C106,0))))))</f>
        <v>0</v>
      </c>
      <c r="F99" s="89">
        <f>IF(OR($F$4=Bron!$B$8,$F$4=Bron!$B$9,$F$4=Bron!$B$15),'Bouwkost NB'!$C107,IF($F$4=Bron!$B$10,'Bouwkost UITB'!$C106,IF($F$4=Bron!$B$11,'Bouwkost VERB'!$C106,IF($F$4=Bron!$B$12,'Bouwkost IER'!$C105,IF(OR($F$4=Bron!$B$13,$F$4=Bron!$B$14),'Bouwkost VOLT'!$C106,IF($F$4=Bron!$C$16,'Bouwkost AK+VERB'!$C106,0))))))</f>
        <v>0</v>
      </c>
      <c r="H99" s="89">
        <f>IF(OR($H$4=Bron!$B$8,$H$4=Bron!$B$9,$H$4=Bron!$B$15),'Bouwkost NB'!$C107,IF($H$4=Bron!$B$10,'Bouwkost UITB'!$C106,IF($H$4=Bron!$B$11,'Bouwkost VERB'!$C106,IF($H$4=Bron!$B$12,'Bouwkost IER'!$C105,IF(OR($H$4=Bron!$B$13,$H$4=Bron!$B$14),'Bouwkost VOLT'!$C106,IF($H$4=Bron!$C$16,'Bouwkost AK+VERB'!$C106,0))))))</f>
        <v>0</v>
      </c>
      <c r="J99" s="89">
        <f>IF(OR($J$4=Bron!$B$8,$J$4=Bron!$B$9,$J$4=Bron!$B$15),'Bouwkost NB'!$N107,IF($J$4=Bron!$B$10,'Bouwkost UITB'!$N106,IF($J$4=Bron!$B$11,'Bouwkost VERB'!$N106,IF($J$4=Bron!$B$12,'Bouwkost IER'!$N105,IF(OR($J$4=Bron!$B$13,$J$4=Bron!$B$14),'Bouwkost VOLT'!$N106,IF($J$4=Bron!$C$16,'Bouwkost AK+VERB'!$N106,0))))))</f>
        <v>0</v>
      </c>
      <c r="L99" s="89">
        <f>IF(OR($L$4=Bron!$B$8,$L$4=Bron!$B$9,$L$4=Bron!$B$15),'Bouwkost NB'!$N107,IF($L$4=Bron!$B$10,'Bouwkost UITB'!$N106,IF($L$4=Bron!$B$11,'Bouwkost VERB'!$N106,IF($L$4=Bron!$B$12,'Bouwkost IER'!$N105,IF(OR($L$4=Bron!$B$13,$L$4=Bron!$B$14),'Bouwkost VOLT'!$N106,IF($L$4=Bron!$C$16,'Bouwkost AK+VERB'!$N106,0))))))</f>
        <v>0</v>
      </c>
      <c r="N99" s="89">
        <f>IF(OR($N$4=Bron!$B$8,$N$4=Bron!$B$9,,$N$4=Bron!$B$15),'Bouwkost NB'!$N107,IF($N$4=Bron!$B$10,'Bouwkost UITB'!$N106,IF($N$4=Bron!$B$11,'Bouwkost VERB'!$N106,IF($N$4=Bron!$B$12,'Bouwkost IER'!$N105,IF(OR($N$4=Bron!$B$13,$N$4=Bron!$B$14),'Bouwkost VOLT'!$N106,IF($N$4=Bron!$C$16,'Bouwkost AK+VERB'!$N106,0))))))</f>
        <v>0</v>
      </c>
      <c r="P99" s="89">
        <f>IF(OR($P$4=Bron!$B$8,$P$4=Bron!$B$9,$P$4=Bron!$B$15),'Bouwkost NB'!$N107,IF($P$4=Bron!$B$10,'Bouwkost UITB'!$N106,IF($P$4=Bron!$B$11,'Bouwkost VERB'!$N106,IF($P$4=Bron!$B$12,'Bouwkost IER'!$N105,IF(OR($P$4=Bron!$B$13,$P$4=Bron!$B$14),'Bouwkost VOLT'!$N106,IF($P$4=Bron!$C$16,'Bouwkost AK+VERB'!$N106,0))))))</f>
        <v>0</v>
      </c>
      <c r="R99" s="89">
        <f>IF(OR($R$4=Bron!$B$8,$R$4=Bron!$B$9,$R$4=Bron!$B$15),'Bouwkost NB'!$Y107,IF($R$4=Bron!$B$10,'Bouwkost UITB'!$Y106,IF($R$4=Bron!$B$11,'Bouwkost VERB'!$Y106,IF($R$4=Bron!$B$12,'Bouwkost IER'!$Y105,IF(OR($R$4=Bron!$B$13,$R$4=Bron!$B$14),'Bouwkost VOLT'!$Y106,IF($R$4=Bron!$C$16,'Bouwkost AK+VERB'!$Y106,0))))))</f>
        <v>0</v>
      </c>
      <c r="T99" s="89">
        <f>IF(OR($T$4=Bron!$B$8,$T$4=Bron!$B$9,$T$4=Bron!$B$15),'Bouwkost NB'!$Y107,IF($T$4=Bron!$B$10,'Bouwkost UITB'!$Y106,IF($T$4=Bron!$B$11,'Bouwkost VERB'!$Y106,IF($T$4=Bron!$B$12,'Bouwkost IER'!$Y105,IF(OR($T$4=Bron!$B$13,$T$4=Bron!$B$14),'Bouwkost VOLT'!$Y106,IF($T$4=Bron!$C$16,'Bouwkost AK+VERB'!$Y106,0))))))</f>
        <v>0</v>
      </c>
      <c r="V99" s="89">
        <f>IF(OR($N$4=Bron!$B$8,$N$4=Bron!$B$9,$N$4=Bron!$B$15),'Bouwkost NB'!$Y107,IF($N$4=Bron!$B$10,'Bouwkost UITB'!$Y106,IF($N$4=Bron!$B$11,'Bouwkost VERB'!$Y106,IF($N$4=Bron!$B$12,'Bouwkost IER'!$Y105,IF(OR($N$4=Bron!$B$13,$N$4=Bron!$B$14),'Bouwkost VOLT'!$Y106,IF($N$4=Bron!$C$16,'Bouwkost AK+VERB'!$Y106,0))))))</f>
        <v>0</v>
      </c>
      <c r="X99" s="89">
        <f>IF(OR($X$4=Bron!$B$8,$X$4=Bron!$B$9,$X$4=Bron!$B$15),'Bouwkost NB'!$Y107,IF($X$4=Bron!$B$10,'Bouwkost UITB'!$Y106,IF($X$4=Bron!$B$11,'Bouwkost VERB'!$Y106,IF($X$4=Bron!$B$12,'Bouwkost IER'!$Y105,IF(OR($X$4=Bron!$B$13,$X$4=Bron!$B$14),'Bouwkost VOLT'!$Y106,IF($X$4=Bron!$C$16,'Bouwkost AK+VERB'!$Y106,0))))))</f>
        <v>0</v>
      </c>
    </row>
    <row r="100" spans="1:24" x14ac:dyDescent="0.3">
      <c r="A100" s="313"/>
    </row>
    <row r="101" spans="1:24" x14ac:dyDescent="0.3">
      <c r="A101" s="310" t="s">
        <v>483</v>
      </c>
      <c r="B101" s="89">
        <f>IF(OR($B$4=Bron!$B$8,$B$4=Bron!$B$9,$B$4=Bron!$B$15),'Bouwkost NB'!$C109,IF($B$4=Bron!$B$10,'Bouwkost UITB'!$C108,IF($B$4=Bron!$B$11,'Bouwkost VERB'!$C108,IF($B$4=Bron!$B$12,'Bouwkost IER'!$C107,IF(OR($B$4=Bron!$B$13,$B$4=Bron!$B$14),'Bouwkost VOLT'!$C108,IF($B$4=Bron!$C$16,'Bouwkost AK+VERB'!$C108,0))))))</f>
        <v>0</v>
      </c>
      <c r="D101" s="89">
        <f>IF(OR($D$4=Bron!$B$8,$D$4=Bron!$B$9,$D$4=Bron!$B$15),'Bouwkost NB'!$C109,IF($D$4=Bron!$B$10,'Bouwkost UITB'!$C108,IF($D$4=Bron!$B$11,'Bouwkost VERB'!$C108,IF($D$4=Bron!$B$12,'Bouwkost IER'!$C107,IF(OR($D$4=Bron!$B$13,$D$4=Bron!$B$14),'Bouwkost VOLT'!$C108,IF($D$4=Bron!$C$16,'Bouwkost AK+VERB'!$C108,0))))))</f>
        <v>0</v>
      </c>
      <c r="F101" s="89">
        <f>IF(OR($F$4=Bron!$B$8,$F$4=Bron!$B$9,$F$4=Bron!$B$15),'Bouwkost NB'!$C109,IF($F$4=Bron!$B$10,'Bouwkost UITB'!$C108,IF($F$4=Bron!$B$11,'Bouwkost VERB'!$C108,IF($F$4=Bron!$B$12,'Bouwkost IER'!$C107,IF(OR($F$4=Bron!$B$13,$F$4=Bron!$B$14),'Bouwkost VOLT'!$C108,IF($F$4=Bron!$C$16,'Bouwkost AK+VERB'!$C108,0))))))</f>
        <v>0</v>
      </c>
      <c r="H101" s="89">
        <f>IF(OR($H$4=Bron!$B$8,$H$4=Bron!$B$9,$H$4=Bron!$B$15),'Bouwkost NB'!$C109,IF($H$4=Bron!$B$10,'Bouwkost UITB'!$C108,IF($H$4=Bron!$B$11,'Bouwkost VERB'!$C108,IF($H$4=Bron!$B$12,'Bouwkost IER'!$C107,IF(OR($H$4=Bron!$B$13,$H$4=Bron!$B$14),'Bouwkost VOLT'!$C108,IF($H$4=Bron!$C$16,'Bouwkost AK+VERB'!$C108,0))))))</f>
        <v>0</v>
      </c>
      <c r="J101" s="89">
        <f>IF(OR($J$4=Bron!$B$8,$J$4=Bron!$B$9,$J$4=Bron!$B$15),'Bouwkost NB'!$N109,IF($J$4=Bron!$B$10,'Bouwkost UITB'!$N108,IF($J$4=Bron!$B$11,'Bouwkost VERB'!$N108,IF($J$4=Bron!$B$12,'Bouwkost IER'!$N107,IF(OR($J$4=Bron!$B$13,$J$4=Bron!$B$14),'Bouwkost VOLT'!$N108,IF($J$4=Bron!$C$16,'Bouwkost AK+VERB'!$N108,0))))))</f>
        <v>0</v>
      </c>
      <c r="L101" s="89">
        <f>IF(OR($L$4=Bron!$B$8,$L$4=Bron!$B$9,$L$4=Bron!$B$15),'Bouwkost NB'!$N109,IF($L$4=Bron!$B$10,'Bouwkost UITB'!$N108,IF($L$4=Bron!$B$11,'Bouwkost VERB'!$N108,IF($L$4=Bron!$B$12,'Bouwkost IER'!$N107,IF(OR($L$4=Bron!$B$13,$L$4=Bron!$B$14),'Bouwkost VOLT'!$N108,IF($L$4=Bron!$C$16,'Bouwkost AK+VERB'!$N108,0))))))</f>
        <v>0</v>
      </c>
      <c r="N101" s="89">
        <f>IF(OR($N$4=Bron!$B$8,$N$4=Bron!$B$9,,$N$4=Bron!$B$15),'Bouwkost NB'!$N109,IF($N$4=Bron!$B$10,'Bouwkost UITB'!$N108,IF($N$4=Bron!$B$11,'Bouwkost VERB'!$N108,IF($N$4=Bron!$B$12,'Bouwkost IER'!$N107,IF(OR($N$4=Bron!$B$13,$N$4=Bron!$B$14),'Bouwkost VOLT'!$N108,IF($N$4=Bron!$C$16,'Bouwkost AK+VERB'!$N108,0))))))</f>
        <v>0</v>
      </c>
      <c r="P101" s="89">
        <f>IF(OR($P$4=Bron!$B$8,$P$4=Bron!$B$9,$P$4=Bron!$B$15),'Bouwkost NB'!$N109,IF($P$4=Bron!$B$10,'Bouwkost UITB'!$N108,IF($P$4=Bron!$B$11,'Bouwkost VERB'!$N108,IF($P$4=Bron!$B$12,'Bouwkost IER'!$N107,IF(OR($P$4=Bron!$B$13,$P$4=Bron!$B$14),'Bouwkost VOLT'!$N108,IF($P$4=Bron!$C$16,'Bouwkost AK+VERB'!$N108,0))))))</f>
        <v>0</v>
      </c>
      <c r="R101" s="89">
        <f>IF(OR($R$4=Bron!$B$8,$R$4=Bron!$B$9,$R$4=Bron!$B$15),'Bouwkost NB'!$Y109,IF($R$4=Bron!$B$10,'Bouwkost UITB'!$Y108,IF($R$4=Bron!$B$11,'Bouwkost VERB'!$Y108,IF($R$4=Bron!$B$12,'Bouwkost IER'!$Y107,IF(OR($R$4=Bron!$B$13,$R$4=Bron!$B$14),'Bouwkost VOLT'!$Y108,IF($R$4=Bron!$C$16,'Bouwkost AK+VERB'!$Y108,0))))))</f>
        <v>0</v>
      </c>
      <c r="T101" s="89">
        <f>IF(OR($T$4=Bron!$B$8,$T$4=Bron!$B$9,$T$4=Bron!$B$15),'Bouwkost NB'!$Y109,IF($T$4=Bron!$B$10,'Bouwkost UITB'!$Y108,IF($T$4=Bron!$B$11,'Bouwkost VERB'!$Y108,IF($T$4=Bron!$B$12,'Bouwkost IER'!$Y107,IF(OR($T$4=Bron!$B$13,$T$4=Bron!$B$14),'Bouwkost VOLT'!$Y108,IF($T$4=Bron!$C$16,'Bouwkost AK+VERB'!$Y108,0))))))</f>
        <v>0</v>
      </c>
      <c r="V101" s="89">
        <f>IF(OR($N$4=Bron!$B$8,$N$4=Bron!$B$9,$N$4=Bron!$B$15),'Bouwkost NB'!$Y109,IF($N$4=Bron!$B$10,'Bouwkost UITB'!$Y108,IF($N$4=Bron!$B$11,'Bouwkost VERB'!$Y108,IF($N$4=Bron!$B$12,'Bouwkost IER'!$Y107,IF(OR($N$4=Bron!$B$13,$N$4=Bron!$B$14),'Bouwkost VOLT'!$Y108,IF($N$4=Bron!$C$16,'Bouwkost AK+VERB'!$Y108,0))))))</f>
        <v>0</v>
      </c>
      <c r="X101" s="89">
        <f>IF(OR($X$4=Bron!$B$8,$X$4=Bron!$B$9,$X$4=Bron!$B$15),'Bouwkost NB'!$Y109,IF($X$4=Bron!$B$10,'Bouwkost UITB'!$Y108,IF($X$4=Bron!$B$11,'Bouwkost VERB'!$Y108,IF($X$4=Bron!$B$12,'Bouwkost IER'!$Y107,IF(OR($X$4=Bron!$B$13,$X$4=Bron!$B$14),'Bouwkost VOLT'!$Y108,IF($X$4=Bron!$C$16,'Bouwkost AK+VERB'!$Y108,0))))))</f>
        <v>0</v>
      </c>
    </row>
    <row r="102" spans="1:24" x14ac:dyDescent="0.3">
      <c r="A102" s="18"/>
    </row>
    <row r="103" spans="1:24" x14ac:dyDescent="0.3">
      <c r="A103" s="307" t="s">
        <v>484</v>
      </c>
      <c r="B103" s="89">
        <f>IF(OR($D$4=Bron!$B$8,$D$4=Bron!$B$9,$D$4=Bron!$B$15),'Bouwkost NB'!$C111,IF($D$4=Bron!$B$10,'Bouwkost UITB'!$C110,IF($D$4=Bron!$B$11,'Bouwkost VERB'!$C110,IF($D$4=Bron!$B$12,'Bouwkost IER'!$C109,IF(OR($D$4=Bron!$B$13,$D$4=Bron!$B$14),'Bouwkost VOLT'!$C110,IF($D$4=Bron!$C$16,'Bouwkost AK+VERB'!$C110,0))))))</f>
        <v>0</v>
      </c>
      <c r="D103" s="89">
        <f>IF(OR($D$4=Bron!$B$8,$D$4=Bron!$B$9,$D$4=Bron!$B$15),'Bouwkost NB'!$C111,IF($D$4=Bron!$B$10,'Bouwkost UITB'!$C110,IF($D$4=Bron!$B$11,'Bouwkost VERB'!$C110,IF($D$4=Bron!$B$12,'Bouwkost IER'!$C109,IF(OR($D$4=Bron!$B$13,$D$4=Bron!$B$14),'Bouwkost VOLT'!$C110,IF($D$4=Bron!$C$16,'Bouwkost AK+VERB'!$C110,0))))))</f>
        <v>0</v>
      </c>
      <c r="F103" s="89">
        <f>IF(OR($F$4=Bron!$B$8,$F$4=Bron!$B$9,$F$4=Bron!$B$15),'Bouwkost NB'!$C111,IF($F$4=Bron!$B$10,'Bouwkost UITB'!$C110,IF($F$4=Bron!$B$11,'Bouwkost VERB'!$C110,IF($F$4=Bron!$B$12,'Bouwkost IER'!$C109,IF(OR($F$4=Bron!$B$13,$F$4=Bron!$B$14),'Bouwkost VOLT'!$C110,IF($F$4=Bron!$C$16,'Bouwkost AK+VERB'!$C110,0))))))</f>
        <v>0</v>
      </c>
      <c r="H103" s="89">
        <f>IF(OR($H$4=Bron!$B$8,$H$4=Bron!$B$9,$H$4=Bron!$B$15),'Bouwkost NB'!$C111,IF($H$4=Bron!$B$10,'Bouwkost UITB'!$C110,IF($H$4=Bron!$B$11,'Bouwkost VERB'!$C110,IF($H$4=Bron!$B$12,'Bouwkost IER'!$C109,IF(OR($H$4=Bron!$B$13,$H$4=Bron!$B$14),'Bouwkost VOLT'!$C110,IF($H$4=Bron!$C$16,'Bouwkost AK+VERB'!$C110,0))))))</f>
        <v>0</v>
      </c>
      <c r="J103" s="89">
        <f>IF(OR($J$4=Bron!$B$8,$J$4=Bron!$B$9,$J$4=Bron!$B$15),'Bouwkost NB'!$N111,IF($J$4=Bron!$B$10,'Bouwkost UITB'!$N110,IF($J$4=Bron!$B$11,'Bouwkost VERB'!$N110,IF($J$4=Bron!$B$12,'Bouwkost IER'!$N109,IF(OR($J$4=Bron!$B$13,$J$4=Bron!$B$14),'Bouwkost VOLT'!$N110,IF($J$4=Bron!$C$16,'Bouwkost AK+VERB'!$N110,0))))))</f>
        <v>0</v>
      </c>
      <c r="L103" s="89">
        <f>IF(OR($L$4=Bron!$B$8,$L$4=Bron!$B$9,$L$4=Bron!$B$15),'Bouwkost NB'!$N111,IF($L$4=Bron!$B$10,'Bouwkost UITB'!$N110,IF($L$4=Bron!$B$11,'Bouwkost VERB'!$N110,IF($L$4=Bron!$B$12,'Bouwkost IER'!$N109,IF(OR($L$4=Bron!$B$13,$L$4=Bron!$B$14),'Bouwkost VOLT'!$N110,IF($L$4=Bron!$C$16,'Bouwkost AK+VERB'!$N110,0))))))</f>
        <v>0</v>
      </c>
      <c r="N103" s="89">
        <f>IF(OR($N$4=Bron!$B$8,$N$4=Bron!$B$9,,$N$4=Bron!$B$15),'Bouwkost NB'!$N111,IF($N$4=Bron!$B$10,'Bouwkost UITB'!$N110,IF($N$4=Bron!$B$11,'Bouwkost VERB'!$N110,IF($N$4=Bron!$B$12,'Bouwkost IER'!$N109,IF(OR($N$4=Bron!$B$13,$N$4=Bron!$B$14),'Bouwkost VOLT'!$N110,IF($N$4=Bron!$C$16,'Bouwkost AK+VERB'!$N110,0))))))</f>
        <v>0</v>
      </c>
      <c r="P103" s="89">
        <f>IF(OR($P$4=Bron!$B$8,$P$4=Bron!$B$9,$P$4=Bron!$B$15),'Bouwkost NB'!$N111,IF($P$4=Bron!$B$10,'Bouwkost UITB'!$N110,IF($P$4=Bron!$B$11,'Bouwkost VERB'!$N110,IF($P$4=Bron!$B$12,'Bouwkost IER'!$N109,IF(OR($P$4=Bron!$B$13,$P$4=Bron!$B$14),'Bouwkost VOLT'!$N110,IF($P$4=Bron!$C$16,'Bouwkost AK+VERB'!$N110,0))))))</f>
        <v>0</v>
      </c>
      <c r="R103" s="89">
        <f>IF(OR($R$4=Bron!$B$8,$R$4=Bron!$B$9,$R$4=Bron!$B$15),'Bouwkost NB'!$Y111,IF($R$4=Bron!$B$10,'Bouwkost UITB'!$Y110,IF($R$4=Bron!$B$11,'Bouwkost VERB'!$Y110,IF($R$4=Bron!$B$12,'Bouwkost IER'!$Y109,IF(OR($R$4=Bron!$B$13,$R$4=Bron!$B$14),'Bouwkost VOLT'!$Y110,IF($R$4=Bron!$C$16,'Bouwkost AK+VERB'!$Y110,0))))))</f>
        <v>0</v>
      </c>
      <c r="T103" s="89">
        <f>IF(OR($T$4=Bron!$B$8,$T$4=Bron!$B$9,$T$4=Bron!$B$15),'Bouwkost NB'!$Y111,IF($T$4=Bron!$B$10,'Bouwkost UITB'!$Y110,IF($T$4=Bron!$B$11,'Bouwkost VERB'!$Y110,IF($T$4=Bron!$B$12,'Bouwkost IER'!$Y109,IF(OR($T$4=Bron!$B$13,$T$4=Bron!$B$14),'Bouwkost VOLT'!$Y110,IF($T$4=Bron!$C$16,'Bouwkost AK+VERB'!$Y110,0))))))</f>
        <v>0</v>
      </c>
      <c r="V103" s="89">
        <f>IF(OR($N$4=Bron!$B$8,$N$4=Bron!$B$9,$N$4=Bron!$B$15),'Bouwkost NB'!$Y111,IF($N$4=Bron!$B$10,'Bouwkost UITB'!$Y110,IF($N$4=Bron!$B$11,'Bouwkost VERB'!$Y110,IF($N$4=Bron!$B$12,'Bouwkost IER'!$Y109,IF(OR($N$4=Bron!$B$13,$N$4=Bron!$B$14),'Bouwkost VOLT'!$Y110,IF($N$4=Bron!$C$16,'Bouwkost AK+VERB'!$Y110,0))))))</f>
        <v>0</v>
      </c>
      <c r="X103" s="89">
        <f>IF(OR($X$4=Bron!$B$8,$X$4=Bron!$B$9,$X$4=Bron!$B$15),'Bouwkost NB'!$Y111,IF($X$4=Bron!$B$10,'Bouwkost UITB'!$Y110,IF($X$4=Bron!$B$11,'Bouwkost VERB'!$Y110,IF($X$4=Bron!$B$12,'Bouwkost IER'!$Y109,IF(OR($X$4=Bron!$B$13,$X$4=Bron!$B$14),'Bouwkost VOLT'!$Y110,IF($X$4=Bron!$C$16,'Bouwkost AK+VERB'!$Y110,0))))))</f>
        <v>0</v>
      </c>
    </row>
    <row r="104" spans="1:24" x14ac:dyDescent="0.3">
      <c r="A104" s="305" t="s">
        <v>123</v>
      </c>
      <c r="B104" s="89">
        <f>IF(OR($B$4=Bron!$B$8,$B$4=Bron!$B$9,$B$4=Bron!$B$15),'Bouwkost NB'!$C112,IF($B$4=Bron!$B$10,'Bouwkost UITB'!$C111,IF($B$4=Bron!$B$11,'Bouwkost VERB'!$C111,IF($B$4=Bron!$B$12,'Bouwkost IER'!$C110,IF(OR($B$4=Bron!$B$13,$B$4=Bron!$B$14),'Bouwkost VOLT'!$C111,IF($B$4=Bron!$C$16,'Bouwkost AK+VERB'!$C111,0))))))</f>
        <v>0</v>
      </c>
      <c r="D104" s="89">
        <f>IF(OR($D$4=Bron!$B$8,$D$4=Bron!$B$9,$D$4=Bron!$B$15),'Bouwkost NB'!$C112,IF($D$4=Bron!$B$10,'Bouwkost UITB'!$C111,IF($D$4=Bron!$B$11,'Bouwkost VERB'!$C111,IF($D$4=Bron!$B$12,'Bouwkost IER'!$C110,IF(OR($D$4=Bron!$B$13,$D$4=Bron!$B$14),'Bouwkost VOLT'!$C111,IF($D$4=Bron!$C$16,'Bouwkost AK+VERB'!$C111,0))))))</f>
        <v>0</v>
      </c>
      <c r="F104" s="89">
        <f>IF(OR($F$4=Bron!$B$8,$F$4=Bron!$B$9,$F$4=Bron!$B$15),'Bouwkost NB'!$C112,IF($F$4=Bron!$B$10,'Bouwkost UITB'!$C111,IF($F$4=Bron!$B$11,'Bouwkost VERB'!$C111,IF($F$4=Bron!$B$12,'Bouwkost IER'!$C110,IF(OR($F$4=Bron!$B$13,$F$4=Bron!$B$14),'Bouwkost VOLT'!$C111,IF($F$4=Bron!$C$16,'Bouwkost AK+VERB'!$C111,0))))))</f>
        <v>0</v>
      </c>
      <c r="H104" s="89">
        <f>IF(OR($H$4=Bron!$B$8,$H$4=Bron!$B$9,$H$4=Bron!$B$15),'Bouwkost NB'!$C112,IF($H$4=Bron!$B$10,'Bouwkost UITB'!$C111,IF($H$4=Bron!$B$11,'Bouwkost VERB'!$C111,IF($H$4=Bron!$B$12,'Bouwkost IER'!$C110,IF(OR($H$4=Bron!$B$13,$H$4=Bron!$B$14),'Bouwkost VOLT'!$C111,IF($H$4=Bron!$C$16,'Bouwkost AK+VERB'!$C111,0))))))</f>
        <v>0</v>
      </c>
      <c r="J104" s="89">
        <f>IF(OR($J$4=Bron!$B$8,$J$4=Bron!$B$9,$J$4=Bron!$B$15),'Bouwkost NB'!$N112,IF($J$4=Bron!$B$10,'Bouwkost UITB'!$N111,IF($J$4=Bron!$B$11,'Bouwkost VERB'!$N111,IF($J$4=Bron!$B$12,'Bouwkost IER'!$N110,IF(OR($J$4=Bron!$B$13,$J$4=Bron!$B$14),'Bouwkost VOLT'!$N111,IF($J$4=Bron!$C$16,'Bouwkost AK+VERB'!$N111,0))))))</f>
        <v>0</v>
      </c>
      <c r="L104" s="89">
        <f>IF(OR($L$4=Bron!$B$8,$L$4=Bron!$B$9,$L$4=Bron!$B$15),'Bouwkost NB'!$N112,IF($L$4=Bron!$B$10,'Bouwkost UITB'!$N111,IF($L$4=Bron!$B$11,'Bouwkost VERB'!$N111,IF($L$4=Bron!$B$12,'Bouwkost IER'!$N110,IF(OR($L$4=Bron!$B$13,$L$4=Bron!$B$14),'Bouwkost VOLT'!$N111,IF($L$4=Bron!$C$16,'Bouwkost AK+VERB'!$N111,0))))))</f>
        <v>0</v>
      </c>
      <c r="N104" s="89">
        <f>IF(OR($N$4=Bron!$B$8,$N$4=Bron!$B$9,,$N$4=Bron!$B$15),'Bouwkost NB'!$N112,IF($N$4=Bron!$B$10,'Bouwkost UITB'!$N111,IF($N$4=Bron!$B$11,'Bouwkost VERB'!$N111,IF($N$4=Bron!$B$12,'Bouwkost IER'!$N110,IF(OR($N$4=Bron!$B$13,$N$4=Bron!$B$14),'Bouwkost VOLT'!$N111,IF($N$4=Bron!$C$16,'Bouwkost AK+VERB'!$N111,0))))))</f>
        <v>0</v>
      </c>
      <c r="P104" s="89">
        <f>IF(OR($P$4=Bron!$B$8,$P$4=Bron!$B$9,$P$4=Bron!$B$15),'Bouwkost NB'!$N112,IF($P$4=Bron!$B$10,'Bouwkost UITB'!$N111,IF($P$4=Bron!$B$11,'Bouwkost VERB'!$N111,IF($P$4=Bron!$B$12,'Bouwkost IER'!$N110,IF(OR($P$4=Bron!$B$13,$P$4=Bron!$B$14),'Bouwkost VOLT'!$N111,IF($P$4=Bron!$C$16,'Bouwkost AK+VERB'!$N111,0))))))</f>
        <v>0</v>
      </c>
      <c r="R104" s="89">
        <f>IF(OR($R$4=Bron!$B$8,$R$4=Bron!$B$9,$R$4=Bron!$B$15),'Bouwkost NB'!$Y112,IF($R$4=Bron!$B$10,'Bouwkost UITB'!$Y111,IF($R$4=Bron!$B$11,'Bouwkost VERB'!$Y111,IF($R$4=Bron!$B$12,'Bouwkost IER'!$Y110,IF(OR($R$4=Bron!$B$13,$R$4=Bron!$B$14),'Bouwkost VOLT'!$Y111,IF($R$4=Bron!$C$16,'Bouwkost AK+VERB'!$Y111,0))))))</f>
        <v>0</v>
      </c>
      <c r="T104" s="89">
        <f>IF(OR($T$4=Bron!$B$8,$T$4=Bron!$B$9,$T$4=Bron!$B$15),'Bouwkost NB'!$Y112,IF($T$4=Bron!$B$10,'Bouwkost UITB'!$Y111,IF($T$4=Bron!$B$11,'Bouwkost VERB'!$Y111,IF($T$4=Bron!$B$12,'Bouwkost IER'!$Y110,IF(OR($T$4=Bron!$B$13,$T$4=Bron!$B$14),'Bouwkost VOLT'!$Y111,IF($T$4=Bron!$C$16,'Bouwkost AK+VERB'!$Y111,0))))))</f>
        <v>0</v>
      </c>
      <c r="V104" s="89">
        <f>IF(OR($N$4=Bron!$B$8,$N$4=Bron!$B$9,$N$4=Bron!$B$15),'Bouwkost NB'!$Y112,IF($N$4=Bron!$B$10,'Bouwkost UITB'!$Y111,IF($N$4=Bron!$B$11,'Bouwkost VERB'!$Y111,IF($N$4=Bron!$B$12,'Bouwkost IER'!$Y110,IF(OR($N$4=Bron!$B$13,$N$4=Bron!$B$14),'Bouwkost VOLT'!$Y111,IF($N$4=Bron!$C$16,'Bouwkost AK+VERB'!$Y111,0))))))</f>
        <v>0</v>
      </c>
      <c r="X104" s="89">
        <f>IF(OR($X$4=Bron!$B$8,$X$4=Bron!$B$9,$X$4=Bron!$B$15),'Bouwkost NB'!$Y112,IF($X$4=Bron!$B$10,'Bouwkost UITB'!$Y111,IF($X$4=Bron!$B$11,'Bouwkost VERB'!$Y111,IF($X$4=Bron!$B$12,'Bouwkost IER'!$Y110,IF(OR($X$4=Bron!$B$13,$X$4=Bron!$B$14),'Bouwkost VOLT'!$Y111,IF($X$4=Bron!$C$16,'Bouwkost AK+VERB'!$Y111,0))))))</f>
        <v>0</v>
      </c>
    </row>
    <row r="105" spans="1:24" x14ac:dyDescent="0.3">
      <c r="A105" s="305" t="s">
        <v>124</v>
      </c>
      <c r="B105" s="89">
        <f>IF(OR($B$4=Bron!$B$8,$B$4=Bron!$B$9,$B$4=Bron!$B$15),'Bouwkost NB'!$C113,IF($B$4=Bron!$B$10,'Bouwkost UITB'!$C112,IF($B$4=Bron!$B$11,'Bouwkost VERB'!$C112,IF($B$4=Bron!$B$12,'Bouwkost IER'!$C111,IF(OR($B$4=Bron!$B$13,$B$4=Bron!$B$14),'Bouwkost VOLT'!$C112,IF($B$4=Bron!$C$16,'Bouwkost AK+VERB'!$C112,0))))))</f>
        <v>0</v>
      </c>
      <c r="D105" s="89">
        <f>IF(OR($D$4=Bron!$B$8,$D$4=Bron!$B$9,$D$4=Bron!$B$15),'Bouwkost NB'!$C113,IF($D$4=Bron!$B$10,'Bouwkost UITB'!$C112,IF($D$4=Bron!$B$11,'Bouwkost VERB'!$C112,IF($D$4=Bron!$B$12,'Bouwkost IER'!$C111,IF(OR($D$4=Bron!$B$13,$D$4=Bron!$B$14),'Bouwkost VOLT'!$C112,IF($D$4=Bron!$C$16,'Bouwkost AK+VERB'!$C112,0))))))</f>
        <v>0</v>
      </c>
      <c r="F105" s="89">
        <f>IF(OR($F$4=Bron!$B$8,$F$4=Bron!$B$9,$F$4=Bron!$B$15),'Bouwkost NB'!$C113,IF($F$4=Bron!$B$10,'Bouwkost UITB'!$C112,IF($F$4=Bron!$B$11,'Bouwkost VERB'!$C112,IF($F$4=Bron!$B$12,'Bouwkost IER'!$C111,IF(OR($F$4=Bron!$B$13,$F$4=Bron!$B$14),'Bouwkost VOLT'!$C112,IF($F$4=Bron!$C$16,'Bouwkost AK+VERB'!$C112,0))))))</f>
        <v>0</v>
      </c>
      <c r="H105" s="89">
        <f>IF(OR($H$4=Bron!$B$8,$H$4=Bron!$B$9,$H$4=Bron!$B$15),'Bouwkost NB'!$C113,IF($H$4=Bron!$B$10,'Bouwkost UITB'!$C112,IF($H$4=Bron!$B$11,'Bouwkost VERB'!$C112,IF($H$4=Bron!$B$12,'Bouwkost IER'!$C111,IF(OR($H$4=Bron!$B$13,$H$4=Bron!$B$14),'Bouwkost VOLT'!$C112,IF($H$4=Bron!$C$16,'Bouwkost AK+VERB'!$C112,0))))))</f>
        <v>0</v>
      </c>
      <c r="J105" s="89">
        <f>IF(OR($J$4=Bron!$B$8,$J$4=Bron!$B$9,$J$4=Bron!$B$15),'Bouwkost NB'!$N113,IF($J$4=Bron!$B$10,'Bouwkost UITB'!$N112,IF($J$4=Bron!$B$11,'Bouwkost VERB'!$N112,IF($J$4=Bron!$B$12,'Bouwkost IER'!$N111,IF(OR($J$4=Bron!$B$13,$J$4=Bron!$B$14),'Bouwkost VOLT'!$N112,IF($J$4=Bron!$C$16,'Bouwkost AK+VERB'!$N112,0))))))</f>
        <v>0</v>
      </c>
      <c r="L105" s="89">
        <f>IF(OR($L$4=Bron!$B$8,$L$4=Bron!$B$9,$L$4=Bron!$B$15),'Bouwkost NB'!$N113,IF($L$4=Bron!$B$10,'Bouwkost UITB'!$N112,IF($L$4=Bron!$B$11,'Bouwkost VERB'!$N112,IF($L$4=Bron!$B$12,'Bouwkost IER'!$N111,IF(OR($L$4=Bron!$B$13,$L$4=Bron!$B$14),'Bouwkost VOLT'!$N112,IF($L$4=Bron!$C$16,'Bouwkost AK+VERB'!$N112,0))))))</f>
        <v>0</v>
      </c>
      <c r="N105" s="89">
        <f>IF(OR($N$4=Bron!$B$8,$N$4=Bron!$B$9,,$N$4=Bron!$B$15),'Bouwkost NB'!$N113,IF($N$4=Bron!$B$10,'Bouwkost UITB'!$N112,IF($N$4=Bron!$B$11,'Bouwkost VERB'!$N112,IF($N$4=Bron!$B$12,'Bouwkost IER'!$N111,IF(OR($N$4=Bron!$B$13,$N$4=Bron!$B$14),'Bouwkost VOLT'!$N112,IF($N$4=Bron!$C$16,'Bouwkost AK+VERB'!$N112,0))))))</f>
        <v>0</v>
      </c>
      <c r="P105" s="89">
        <f>IF(OR($P$4=Bron!$B$8,$P$4=Bron!$B$9,$P$4=Bron!$B$15),'Bouwkost NB'!$N113,IF($P$4=Bron!$B$10,'Bouwkost UITB'!$N112,IF($P$4=Bron!$B$11,'Bouwkost VERB'!$N112,IF($P$4=Bron!$B$12,'Bouwkost IER'!$N111,IF(OR($P$4=Bron!$B$13,$P$4=Bron!$B$14),'Bouwkost VOLT'!$N112,IF($P$4=Bron!$C$16,'Bouwkost AK+VERB'!$N112,0))))))</f>
        <v>0</v>
      </c>
      <c r="R105" s="89">
        <f>IF(OR($R$4=Bron!$B$8,$R$4=Bron!$B$9,$R$4=Bron!$B$15),'Bouwkost NB'!$Y113,IF($R$4=Bron!$B$10,'Bouwkost UITB'!$Y112,IF($R$4=Bron!$B$11,'Bouwkost VERB'!$Y112,IF($R$4=Bron!$B$12,'Bouwkost IER'!$Y111,IF(OR($R$4=Bron!$B$13,$R$4=Bron!$B$14),'Bouwkost VOLT'!$Y112,IF($R$4=Bron!$C$16,'Bouwkost AK+VERB'!$Y112,0))))))</f>
        <v>0</v>
      </c>
      <c r="T105" s="89">
        <f>IF(OR($T$4=Bron!$B$8,$T$4=Bron!$B$9,$T$4=Bron!$B$15),'Bouwkost NB'!$Y113,IF($T$4=Bron!$B$10,'Bouwkost UITB'!$Y112,IF($T$4=Bron!$B$11,'Bouwkost VERB'!$Y112,IF($T$4=Bron!$B$12,'Bouwkost IER'!$Y111,IF(OR($T$4=Bron!$B$13,$T$4=Bron!$B$14),'Bouwkost VOLT'!$Y112,IF($T$4=Bron!$C$16,'Bouwkost AK+VERB'!$Y112,0))))))</f>
        <v>0</v>
      </c>
      <c r="V105" s="89">
        <f>IF(OR($N$4=Bron!$B$8,$N$4=Bron!$B$9,$N$4=Bron!$B$15),'Bouwkost NB'!$Y113,IF($N$4=Bron!$B$10,'Bouwkost UITB'!$Y112,IF($N$4=Bron!$B$11,'Bouwkost VERB'!$Y112,IF($N$4=Bron!$B$12,'Bouwkost IER'!$Y111,IF(OR($N$4=Bron!$B$13,$N$4=Bron!$B$14),'Bouwkost VOLT'!$Y112,IF($N$4=Bron!$C$16,'Bouwkost AK+VERB'!$Y112,0))))))</f>
        <v>0</v>
      </c>
      <c r="X105" s="89">
        <f>IF(OR($X$4=Bron!$B$8,$X$4=Bron!$B$9,$X$4=Bron!$B$15),'Bouwkost NB'!$Y113,IF($X$4=Bron!$B$10,'Bouwkost UITB'!$Y112,IF($X$4=Bron!$B$11,'Bouwkost VERB'!$Y112,IF($X$4=Bron!$B$12,'Bouwkost IER'!$Y111,IF(OR($X$4=Bron!$B$13,$X$4=Bron!$B$14),'Bouwkost VOLT'!$Y112,IF($X$4=Bron!$C$16,'Bouwkost AK+VERB'!$Y112,0))))))</f>
        <v>0</v>
      </c>
    </row>
    <row r="106" spans="1:24" x14ac:dyDescent="0.3">
      <c r="A106" s="305" t="s">
        <v>125</v>
      </c>
      <c r="B106" s="89">
        <f>IF(OR($B$4=Bron!$B$8,$B$4=Bron!$B$9,$B$4=Bron!$B$15),'Bouwkost NB'!$C114,IF($B$4=Bron!$B$10,'Bouwkost UITB'!$C113,IF($B$4=Bron!$B$11,'Bouwkost VERB'!$C113,IF($B$4=Bron!$B$12,'Bouwkost IER'!$C112,IF(OR($B$4=Bron!$B$13,$B$4=Bron!$B$14),'Bouwkost VOLT'!$C113,IF($B$4=Bron!$C$16,'Bouwkost AK+VERB'!$C113,0))))))</f>
        <v>0</v>
      </c>
      <c r="D106" s="89">
        <f>IF(OR($D$4=Bron!$B$8,$D$4=Bron!$B$9,$D$4=Bron!$B$15),'Bouwkost NB'!$C114,IF($D$4=Bron!$B$10,'Bouwkost UITB'!$C113,IF($D$4=Bron!$B$11,'Bouwkost VERB'!$C113,IF($D$4=Bron!$B$12,'Bouwkost IER'!$C112,IF(OR($D$4=Bron!$B$13,$D$4=Bron!$B$14),'Bouwkost VOLT'!$C113,IF($D$4=Bron!$C$16,'Bouwkost AK+VERB'!$C113,0))))))</f>
        <v>0</v>
      </c>
      <c r="F106" s="89">
        <f>IF(OR($F$4=Bron!$B$8,$F$4=Bron!$B$9,$F$4=Bron!$B$15),'Bouwkost NB'!$C114,IF($F$4=Bron!$B$10,'Bouwkost UITB'!$C113,IF($F$4=Bron!$B$11,'Bouwkost VERB'!$C113,IF($F$4=Bron!$B$12,'Bouwkost IER'!$C112,IF(OR($F$4=Bron!$B$13,$F$4=Bron!$B$14),'Bouwkost VOLT'!$C113,IF($F$4=Bron!$C$16,'Bouwkost AK+VERB'!$C113,0))))))</f>
        <v>0</v>
      </c>
      <c r="H106" s="89">
        <f>IF(OR($H$4=Bron!$B$8,$H$4=Bron!$B$9,$H$4=Bron!$B$15),'Bouwkost NB'!$C114,IF($H$4=Bron!$B$10,'Bouwkost UITB'!$C113,IF($H$4=Bron!$B$11,'Bouwkost VERB'!$C113,IF($H$4=Bron!$B$12,'Bouwkost IER'!$C112,IF(OR($H$4=Bron!$B$13,$H$4=Bron!$B$14),'Bouwkost VOLT'!$C113,IF($H$4=Bron!$C$16,'Bouwkost AK+VERB'!$C113,0))))))</f>
        <v>0</v>
      </c>
      <c r="J106" s="89">
        <f>IF(OR($J$4=Bron!$B$8,$J$4=Bron!$B$9,$J$4=Bron!$B$15),'Bouwkost NB'!$N114,IF($J$4=Bron!$B$10,'Bouwkost UITB'!$N113,IF($J$4=Bron!$B$11,'Bouwkost VERB'!$N113,IF($J$4=Bron!$B$12,'Bouwkost IER'!$N112,IF(OR($J$4=Bron!$B$13,$J$4=Bron!$B$14),'Bouwkost VOLT'!$N113,IF($J$4=Bron!$C$16,'Bouwkost AK+VERB'!$N113,0))))))</f>
        <v>0</v>
      </c>
      <c r="L106" s="89">
        <f>IF(OR($L$4=Bron!$B$8,$L$4=Bron!$B$9,$L$4=Bron!$B$15),'Bouwkost NB'!$N114,IF($L$4=Bron!$B$10,'Bouwkost UITB'!$N113,IF($L$4=Bron!$B$11,'Bouwkost VERB'!$N113,IF($L$4=Bron!$B$12,'Bouwkost IER'!$N112,IF(OR($L$4=Bron!$B$13,$L$4=Bron!$B$14),'Bouwkost VOLT'!$N113,IF($L$4=Bron!$C$16,'Bouwkost AK+VERB'!$N113,0))))))</f>
        <v>0</v>
      </c>
      <c r="N106" s="89">
        <f>IF(OR($N$4=Bron!$B$8,$N$4=Bron!$B$9,,$N$4=Bron!$B$15),'Bouwkost NB'!$N114,IF($N$4=Bron!$B$10,'Bouwkost UITB'!$N113,IF($N$4=Bron!$B$11,'Bouwkost VERB'!$N113,IF($N$4=Bron!$B$12,'Bouwkost IER'!$N112,IF(OR($N$4=Bron!$B$13,$N$4=Bron!$B$14),'Bouwkost VOLT'!$N113,IF($N$4=Bron!$C$16,'Bouwkost AK+VERB'!$N113,0))))))</f>
        <v>0</v>
      </c>
      <c r="P106" s="89">
        <f>IF(OR($P$4=Bron!$B$8,$P$4=Bron!$B$9,$P$4=Bron!$B$15),'Bouwkost NB'!$N114,IF($P$4=Bron!$B$10,'Bouwkost UITB'!$N113,IF($P$4=Bron!$B$11,'Bouwkost VERB'!$N113,IF($P$4=Bron!$B$12,'Bouwkost IER'!$N112,IF(OR($P$4=Bron!$B$13,$P$4=Bron!$B$14),'Bouwkost VOLT'!$N113,IF($P$4=Bron!$C$16,'Bouwkost AK+VERB'!$N113,0))))))</f>
        <v>0</v>
      </c>
      <c r="R106" s="89">
        <f>IF(OR($R$4=Bron!$B$8,$R$4=Bron!$B$9,$R$4=Bron!$B$15),'Bouwkost NB'!$Y114,IF($R$4=Bron!$B$10,'Bouwkost UITB'!$Y113,IF($R$4=Bron!$B$11,'Bouwkost VERB'!$Y113,IF($R$4=Bron!$B$12,'Bouwkost IER'!$Y112,IF(OR($R$4=Bron!$B$13,$R$4=Bron!$B$14),'Bouwkost VOLT'!$Y113,IF($R$4=Bron!$C$16,'Bouwkost AK+VERB'!$Y113,0))))))</f>
        <v>0</v>
      </c>
      <c r="T106" s="89">
        <f>IF(OR($T$4=Bron!$B$8,$T$4=Bron!$B$9,$T$4=Bron!$B$15),'Bouwkost NB'!$Y114,IF($T$4=Bron!$B$10,'Bouwkost UITB'!$Y113,IF($T$4=Bron!$B$11,'Bouwkost VERB'!$Y113,IF($T$4=Bron!$B$12,'Bouwkost IER'!$Y112,IF(OR($T$4=Bron!$B$13,$T$4=Bron!$B$14),'Bouwkost VOLT'!$Y113,IF($T$4=Bron!$C$16,'Bouwkost AK+VERB'!$Y113,0))))))</f>
        <v>0</v>
      </c>
      <c r="V106" s="89">
        <f>IF(OR($N$4=Bron!$B$8,$N$4=Bron!$B$9,$N$4=Bron!$B$15),'Bouwkost NB'!$Y114,IF($N$4=Bron!$B$10,'Bouwkost UITB'!$Y113,IF($N$4=Bron!$B$11,'Bouwkost VERB'!$Y113,IF($N$4=Bron!$B$12,'Bouwkost IER'!$Y112,IF(OR($N$4=Bron!$B$13,$N$4=Bron!$B$14),'Bouwkost VOLT'!$Y113,IF($N$4=Bron!$C$16,'Bouwkost AK+VERB'!$Y113,0))))))</f>
        <v>0</v>
      </c>
      <c r="X106" s="89">
        <f>IF(OR($X$4=Bron!$B$8,$X$4=Bron!$B$9,$X$4=Bron!$B$15),'Bouwkost NB'!$Y114,IF($X$4=Bron!$B$10,'Bouwkost UITB'!$Y113,IF($X$4=Bron!$B$11,'Bouwkost VERB'!$Y113,IF($X$4=Bron!$B$12,'Bouwkost IER'!$Y112,IF(OR($X$4=Bron!$B$13,$X$4=Bron!$B$14),'Bouwkost VOLT'!$Y113,IF($X$4=Bron!$C$16,'Bouwkost AK+VERB'!$Y113,0))))))</f>
        <v>0</v>
      </c>
    </row>
    <row r="107" spans="1:24" x14ac:dyDescent="0.3">
      <c r="A107" s="303" t="s">
        <v>126</v>
      </c>
      <c r="B107" s="89">
        <f>IF(OR($B$4=Bron!$B$8,$B$4=Bron!$B$9,$B$4=Bron!$B$15),'Bouwkost NB'!$C115,IF($B$4=Bron!$B$10,'Bouwkost UITB'!$C114,IF($B$4=Bron!$B$11,'Bouwkost VERB'!$C114,IF($B$4=Bron!$B$12,'Bouwkost IER'!$C113,IF(OR($B$4=Bron!$B$13,$B$4=Bron!$B$14),'Bouwkost VOLT'!$C114,IF($B$4=Bron!$C$16,'Bouwkost AK+VERB'!$C114,0))))))</f>
        <v>0</v>
      </c>
      <c r="D107" s="89">
        <f>IF(OR($D$4=Bron!$B$8,$D$4=Bron!$B$9,$D$4=Bron!$B$15),'Bouwkost NB'!$C115,IF($D$4=Bron!$B$10,'Bouwkost UITB'!$C114,IF($D$4=Bron!$B$11,'Bouwkost VERB'!$C114,IF($D$4=Bron!$B$12,'Bouwkost IER'!$C113,IF(OR($D$4=Bron!$B$13,$D$4=Bron!$B$14),'Bouwkost VOLT'!$C114,IF($D$4=Bron!$C$16,'Bouwkost AK+VERB'!$C114,0))))))</f>
        <v>0</v>
      </c>
      <c r="F107" s="89">
        <f>IF(OR($F$4=Bron!$B$8,$F$4=Bron!$B$9,$F$4=Bron!$B$15),'Bouwkost NB'!$C115,IF($F$4=Bron!$B$10,'Bouwkost UITB'!$C114,IF($F$4=Bron!$B$11,'Bouwkost VERB'!$C114,IF($F$4=Bron!$B$12,'Bouwkost IER'!$C113,IF(OR($F$4=Bron!$B$13,$F$4=Bron!$B$14),'Bouwkost VOLT'!$C114,IF($F$4=Bron!$C$16,'Bouwkost AK+VERB'!$C114,0))))))</f>
        <v>0</v>
      </c>
      <c r="H107" s="89">
        <f>IF(OR($H$4=Bron!$B$8,$H$4=Bron!$B$9,$H$4=Bron!$B$15),'Bouwkost NB'!$C115,IF($H$4=Bron!$B$10,'Bouwkost UITB'!$C114,IF($H$4=Bron!$B$11,'Bouwkost VERB'!$C114,IF($H$4=Bron!$B$12,'Bouwkost IER'!$C113,IF(OR($H$4=Bron!$B$13,$H$4=Bron!$B$14),'Bouwkost VOLT'!$C114,IF($H$4=Bron!$C$16,'Bouwkost AK+VERB'!$C114,0))))))</f>
        <v>0</v>
      </c>
      <c r="J107" s="89">
        <f>IF(OR($J$4=Bron!$B$8,$J$4=Bron!$B$9,$J$4=Bron!$B$15),'Bouwkost NB'!$N115,IF($J$4=Bron!$B$10,'Bouwkost UITB'!$N114,IF($J$4=Bron!$B$11,'Bouwkost VERB'!$N114,IF($J$4=Bron!$B$12,'Bouwkost IER'!$N113,IF(OR($J$4=Bron!$B$13,$J$4=Bron!$B$14),'Bouwkost VOLT'!$N114,IF($J$4=Bron!$C$16,'Bouwkost AK+VERB'!$N114,0))))))</f>
        <v>0</v>
      </c>
      <c r="L107" s="89">
        <f>IF(OR($L$4=Bron!$B$8,$L$4=Bron!$B$9,$L$4=Bron!$B$15),'Bouwkost NB'!$N115,IF($L$4=Bron!$B$10,'Bouwkost UITB'!$N114,IF($L$4=Bron!$B$11,'Bouwkost VERB'!$N114,IF($L$4=Bron!$B$12,'Bouwkost IER'!$N113,IF(OR($L$4=Bron!$B$13,$L$4=Bron!$B$14),'Bouwkost VOLT'!$N114,IF($L$4=Bron!$C$16,'Bouwkost AK+VERB'!$N114,0))))))</f>
        <v>0</v>
      </c>
      <c r="N107" s="89">
        <f>IF(OR($N$4=Bron!$B$8,$N$4=Bron!$B$9,,$N$4=Bron!$B$15),'Bouwkost NB'!$N115,IF($N$4=Bron!$B$10,'Bouwkost UITB'!$N114,IF($N$4=Bron!$B$11,'Bouwkost VERB'!$N114,IF($N$4=Bron!$B$12,'Bouwkost IER'!$N113,IF(OR($N$4=Bron!$B$13,$N$4=Bron!$B$14),'Bouwkost VOLT'!$N114,IF($N$4=Bron!$C$16,'Bouwkost AK+VERB'!$N114,0))))))</f>
        <v>0</v>
      </c>
      <c r="P107" s="89">
        <f>IF(OR($P$4=Bron!$B$8,$P$4=Bron!$B$9,$P$4=Bron!$B$15),'Bouwkost NB'!$N115,IF($P$4=Bron!$B$10,'Bouwkost UITB'!$N114,IF($P$4=Bron!$B$11,'Bouwkost VERB'!$N114,IF($P$4=Bron!$B$12,'Bouwkost IER'!$N113,IF(OR($P$4=Bron!$B$13,$P$4=Bron!$B$14),'Bouwkost VOLT'!$N114,IF($P$4=Bron!$C$16,'Bouwkost AK+VERB'!$N114,0))))))</f>
        <v>0</v>
      </c>
      <c r="R107" s="89">
        <f>IF(OR($R$4=Bron!$B$8,$R$4=Bron!$B$9,$R$4=Bron!$B$15),'Bouwkost NB'!$Y115,IF($R$4=Bron!$B$10,'Bouwkost UITB'!$Y114,IF($R$4=Bron!$B$11,'Bouwkost VERB'!$Y114,IF($R$4=Bron!$B$12,'Bouwkost IER'!$Y113,IF(OR($R$4=Bron!$B$13,$R$4=Bron!$B$14),'Bouwkost VOLT'!$Y114,IF($R$4=Bron!$C$16,'Bouwkost AK+VERB'!$Y114,0))))))</f>
        <v>0</v>
      </c>
      <c r="T107" s="89">
        <f>IF(OR($T$4=Bron!$B$8,$T$4=Bron!$B$9,$T$4=Bron!$B$15),'Bouwkost NB'!$Y115,IF($T$4=Bron!$B$10,'Bouwkost UITB'!$Y114,IF($T$4=Bron!$B$11,'Bouwkost VERB'!$Y114,IF($T$4=Bron!$B$12,'Bouwkost IER'!$Y113,IF(OR($T$4=Bron!$B$13,$T$4=Bron!$B$14),'Bouwkost VOLT'!$Y114,IF($T$4=Bron!$C$16,'Bouwkost AK+VERB'!$Y114,0))))))</f>
        <v>0</v>
      </c>
      <c r="V107" s="89">
        <f>IF(OR($N$4=Bron!$B$8,$N$4=Bron!$B$9,$N$4=Bron!$B$15),'Bouwkost NB'!$Y115,IF($N$4=Bron!$B$10,'Bouwkost UITB'!$Y114,IF($N$4=Bron!$B$11,'Bouwkost VERB'!$Y114,IF($N$4=Bron!$B$12,'Bouwkost IER'!$Y113,IF(OR($N$4=Bron!$B$13,$N$4=Bron!$B$14),'Bouwkost VOLT'!$Y114,IF($N$4=Bron!$C$16,'Bouwkost AK+VERB'!$Y114,0))))))</f>
        <v>0</v>
      </c>
      <c r="X107" s="89">
        <f>IF(OR($X$4=Bron!$B$8,$X$4=Bron!$B$9,$X$4=Bron!$B$15),'Bouwkost NB'!$Y115,IF($X$4=Bron!$B$10,'Bouwkost UITB'!$Y114,IF($X$4=Bron!$B$11,'Bouwkost VERB'!$Y114,IF($X$4=Bron!$B$12,'Bouwkost IER'!$Y113,IF(OR($X$4=Bron!$B$13,$X$4=Bron!$B$14),'Bouwkost VOLT'!$Y114,IF($X$4=Bron!$C$16,'Bouwkost AK+VERB'!$Y114,0))))))</f>
        <v>0</v>
      </c>
    </row>
    <row r="108" spans="1:24" x14ac:dyDescent="0.3">
      <c r="A108" s="305" t="s">
        <v>127</v>
      </c>
      <c r="B108" s="89">
        <f>IF(OR($B$4=Bron!$B$8,$B$4=Bron!$B$9,$B$4=Bron!$B$15),'Bouwkost NB'!$C116,IF($B$4=Bron!$B$10,'Bouwkost UITB'!$C115,IF($B$4=Bron!$B$11,'Bouwkost VERB'!$C115,IF($B$4=Bron!$B$12,'Bouwkost IER'!$C114,IF(OR($B$4=Bron!$B$13,$B$4=Bron!$B$14),'Bouwkost VOLT'!$C115,IF($B$4=Bron!$C$16,'Bouwkost AK+VERB'!$C115,0))))))</f>
        <v>0</v>
      </c>
      <c r="D108" s="89">
        <f>IF(OR($D$4=Bron!$B$8,$D$4=Bron!$B$9,$D$4=Bron!$B$15),'Bouwkost NB'!$C116,IF($D$4=Bron!$B$10,'Bouwkost UITB'!$C115,IF($D$4=Bron!$B$11,'Bouwkost VERB'!$C115,IF($D$4=Bron!$B$12,'Bouwkost IER'!$C114,IF(OR($D$4=Bron!$B$13,$D$4=Bron!$B$14),'Bouwkost VOLT'!$C115,IF($D$4=Bron!$C$16,'Bouwkost AK+VERB'!$C115,0))))))</f>
        <v>0</v>
      </c>
      <c r="F108" s="89">
        <f>IF(OR($F$4=Bron!$B$8,$F$4=Bron!$B$9,$F$4=Bron!$B$15),'Bouwkost NB'!$C116,IF($F$4=Bron!$B$10,'Bouwkost UITB'!$C115,IF($F$4=Bron!$B$11,'Bouwkost VERB'!$C115,IF($F$4=Bron!$B$12,'Bouwkost IER'!$C114,IF(OR($F$4=Bron!$B$13,$F$4=Bron!$B$14),'Bouwkost VOLT'!$C115,IF($F$4=Bron!$C$16,'Bouwkost AK+VERB'!$C115,0))))))</f>
        <v>0</v>
      </c>
      <c r="H108" s="89">
        <f>IF(OR($H$4=Bron!$B$8,$H$4=Bron!$B$9,$H$4=Bron!$B$15),'Bouwkost NB'!$C116,IF($H$4=Bron!$B$10,'Bouwkost UITB'!$C115,IF($H$4=Bron!$B$11,'Bouwkost VERB'!$C115,IF($H$4=Bron!$B$12,'Bouwkost IER'!$C114,IF(OR($H$4=Bron!$B$13,$H$4=Bron!$B$14),'Bouwkost VOLT'!$C115,IF($H$4=Bron!$C$16,'Bouwkost AK+VERB'!$C115,0))))))</f>
        <v>0</v>
      </c>
      <c r="J108" s="89">
        <f>IF(OR($J$4=Bron!$B$8,$J$4=Bron!$B$9,$J$4=Bron!$B$15),'Bouwkost NB'!$N116,IF($J$4=Bron!$B$10,'Bouwkost UITB'!$N115,IF($J$4=Bron!$B$11,'Bouwkost VERB'!$N115,IF($J$4=Bron!$B$12,'Bouwkost IER'!$N114,IF(OR($J$4=Bron!$B$13,$J$4=Bron!$B$14),'Bouwkost VOLT'!$N115,IF($J$4=Bron!$C$16,'Bouwkost AK+VERB'!$N115,0))))))</f>
        <v>0</v>
      </c>
      <c r="L108" s="89">
        <f>IF(OR($L$4=Bron!$B$8,$L$4=Bron!$B$9,$L$4=Bron!$B$15),'Bouwkost NB'!$N116,IF($L$4=Bron!$B$10,'Bouwkost UITB'!$N115,IF($L$4=Bron!$B$11,'Bouwkost VERB'!$N115,IF($L$4=Bron!$B$12,'Bouwkost IER'!$N114,IF(OR($L$4=Bron!$B$13,$L$4=Bron!$B$14),'Bouwkost VOLT'!$N115,IF($L$4=Bron!$C$16,'Bouwkost AK+VERB'!$N115,0))))))</f>
        <v>0</v>
      </c>
      <c r="N108" s="89">
        <f>IF(OR($N$4=Bron!$B$8,$N$4=Bron!$B$9,,$N$4=Bron!$B$15),'Bouwkost NB'!$N116,IF($N$4=Bron!$B$10,'Bouwkost UITB'!$N115,IF($N$4=Bron!$B$11,'Bouwkost VERB'!$N115,IF($N$4=Bron!$B$12,'Bouwkost IER'!$N114,IF(OR($N$4=Bron!$B$13,$N$4=Bron!$B$14),'Bouwkost VOLT'!$N115,IF($N$4=Bron!$C$16,'Bouwkost AK+VERB'!$N115,0))))))</f>
        <v>0</v>
      </c>
      <c r="P108" s="89">
        <f>IF(OR($P$4=Bron!$B$8,$P$4=Bron!$B$9,$P$4=Bron!$B$15),'Bouwkost NB'!$N116,IF($P$4=Bron!$B$10,'Bouwkost UITB'!$N115,IF($P$4=Bron!$B$11,'Bouwkost VERB'!$N115,IF($P$4=Bron!$B$12,'Bouwkost IER'!$N114,IF(OR($P$4=Bron!$B$13,$P$4=Bron!$B$14),'Bouwkost VOLT'!$N115,IF($P$4=Bron!$C$16,'Bouwkost AK+VERB'!$N115,0))))))</f>
        <v>0</v>
      </c>
      <c r="R108" s="89">
        <f>IF(OR($R$4=Bron!$B$8,$R$4=Bron!$B$9,$R$4=Bron!$B$15),'Bouwkost NB'!$Y116,IF($R$4=Bron!$B$10,'Bouwkost UITB'!$Y115,IF($R$4=Bron!$B$11,'Bouwkost VERB'!$Y115,IF($R$4=Bron!$B$12,'Bouwkost IER'!$Y114,IF(OR($R$4=Bron!$B$13,$R$4=Bron!$B$14),'Bouwkost VOLT'!$Y115,IF($R$4=Bron!$C$16,'Bouwkost AK+VERB'!$Y115,0))))))</f>
        <v>0</v>
      </c>
      <c r="T108" s="89">
        <f>IF(OR($T$4=Bron!$B$8,$T$4=Bron!$B$9,$T$4=Bron!$B$15),'Bouwkost NB'!$Y116,IF($T$4=Bron!$B$10,'Bouwkost UITB'!$Y115,IF($T$4=Bron!$B$11,'Bouwkost VERB'!$Y115,IF($T$4=Bron!$B$12,'Bouwkost IER'!$Y114,IF(OR($T$4=Bron!$B$13,$T$4=Bron!$B$14),'Bouwkost VOLT'!$Y115,IF($T$4=Bron!$C$16,'Bouwkost AK+VERB'!$Y115,0))))))</f>
        <v>0</v>
      </c>
      <c r="V108" s="89">
        <f>IF(OR($N$4=Bron!$B$8,$N$4=Bron!$B$9,$N$4=Bron!$B$15),'Bouwkost NB'!$Y116,IF($N$4=Bron!$B$10,'Bouwkost UITB'!$Y115,IF($N$4=Bron!$B$11,'Bouwkost VERB'!$Y115,IF($N$4=Bron!$B$12,'Bouwkost IER'!$Y114,IF(OR($N$4=Bron!$B$13,$N$4=Bron!$B$14),'Bouwkost VOLT'!$Y115,IF($N$4=Bron!$C$16,'Bouwkost AK+VERB'!$Y115,0))))))</f>
        <v>0</v>
      </c>
      <c r="X108" s="89">
        <f>IF(OR($X$4=Bron!$B$8,$X$4=Bron!$B$9,$X$4=Bron!$B$15),'Bouwkost NB'!$Y116,IF($X$4=Bron!$B$10,'Bouwkost UITB'!$Y115,IF($X$4=Bron!$B$11,'Bouwkost VERB'!$Y115,IF($X$4=Bron!$B$12,'Bouwkost IER'!$Y114,IF(OR($X$4=Bron!$B$13,$X$4=Bron!$B$14),'Bouwkost VOLT'!$Y115,IF($X$4=Bron!$C$16,'Bouwkost AK+VERB'!$Y115,0))))))</f>
        <v>0</v>
      </c>
    </row>
    <row r="109" spans="1:24" x14ac:dyDescent="0.3">
      <c r="A109" s="303" t="s">
        <v>110</v>
      </c>
      <c r="B109" s="89">
        <f>IF(OR($B$4=Bron!$B$8,$B$4=Bron!$B$9,$B$4=Bron!$B$15),'Bouwkost NB'!$C117,IF($B$4=Bron!$B$10,'Bouwkost UITB'!$C116,IF($B$4=Bron!$B$11,'Bouwkost VERB'!$C116,IF($B$4=Bron!$B$12,'Bouwkost IER'!$C115,IF(OR($B$4=Bron!$B$13,$B$4=Bron!$B$14),'Bouwkost VOLT'!$C116,IF($B$4=Bron!$C$16,'Bouwkost AK+VERB'!$C116,0))))))</f>
        <v>0</v>
      </c>
      <c r="D109" s="89">
        <f>IF(OR($D$4=Bron!$B$8,$D$4=Bron!$B$9,$D$4=Bron!$B$15),'Bouwkost NB'!$C117,IF($D$4=Bron!$B$10,'Bouwkost UITB'!$C116,IF($D$4=Bron!$B$11,'Bouwkost VERB'!$C116,IF($D$4=Bron!$B$12,'Bouwkost IER'!$C115,IF(OR($D$4=Bron!$B$13,$D$4=Bron!$B$14),'Bouwkost VOLT'!$C116,IF($D$4=Bron!$C$16,'Bouwkost AK+VERB'!$C116,0))))))</f>
        <v>0</v>
      </c>
      <c r="F109" s="89">
        <f>IF(OR($F$4=Bron!$B$8,$F$4=Bron!$B$9,$F$4=Bron!$B$15),'Bouwkost NB'!$C117,IF($F$4=Bron!$B$10,'Bouwkost UITB'!$C116,IF($F$4=Bron!$B$11,'Bouwkost VERB'!$C116,IF($F$4=Bron!$B$12,'Bouwkost IER'!$C115,IF(OR($F$4=Bron!$B$13,$F$4=Bron!$B$14),'Bouwkost VOLT'!$C116,IF($F$4=Bron!$C$16,'Bouwkost AK+VERB'!$C116,0))))))</f>
        <v>0</v>
      </c>
      <c r="H109" s="89">
        <f>IF(OR($H$4=Bron!$B$8,$H$4=Bron!$B$9,$H$4=Bron!$B$15),'Bouwkost NB'!$C117,IF($H$4=Bron!$B$10,'Bouwkost UITB'!$C116,IF($H$4=Bron!$B$11,'Bouwkost VERB'!$C116,IF($H$4=Bron!$B$12,'Bouwkost IER'!$C115,IF(OR($H$4=Bron!$B$13,$H$4=Bron!$B$14),'Bouwkost VOLT'!$C116,IF($H$4=Bron!$C$16,'Bouwkost AK+VERB'!$C116,0))))))</f>
        <v>0</v>
      </c>
      <c r="J109" s="89">
        <f>IF(OR($J$4=Bron!$B$8,$J$4=Bron!$B$9,$J$4=Bron!$B$15),'Bouwkost NB'!$N117,IF($J$4=Bron!$B$10,'Bouwkost UITB'!$N116,IF($J$4=Bron!$B$11,'Bouwkost VERB'!$N116,IF($J$4=Bron!$B$12,'Bouwkost IER'!$N115,IF(OR($J$4=Bron!$B$13,$J$4=Bron!$B$14),'Bouwkost VOLT'!$N116,IF($J$4=Bron!$C$16,'Bouwkost AK+VERB'!$N116,0))))))</f>
        <v>0</v>
      </c>
      <c r="L109" s="89">
        <f>IF(OR($L$4=Bron!$B$8,$L$4=Bron!$B$9,$L$4=Bron!$B$15),'Bouwkost NB'!$N117,IF($L$4=Bron!$B$10,'Bouwkost UITB'!$N116,IF($L$4=Bron!$B$11,'Bouwkost VERB'!$N116,IF($L$4=Bron!$B$12,'Bouwkost IER'!$N115,IF(OR($L$4=Bron!$B$13,$L$4=Bron!$B$14),'Bouwkost VOLT'!$N116,IF($L$4=Bron!$C$16,'Bouwkost AK+VERB'!$N116,0))))))</f>
        <v>0</v>
      </c>
      <c r="N109" s="89">
        <f>IF(OR($N$4=Bron!$B$8,$N$4=Bron!$B$9,,$N$4=Bron!$B$15),'Bouwkost NB'!$N117,IF($N$4=Bron!$B$10,'Bouwkost UITB'!$N116,IF($N$4=Bron!$B$11,'Bouwkost VERB'!$N116,IF($N$4=Bron!$B$12,'Bouwkost IER'!$N115,IF(OR($N$4=Bron!$B$13,$N$4=Bron!$B$14),'Bouwkost VOLT'!$N116,IF($N$4=Bron!$C$16,'Bouwkost AK+VERB'!$N116,0))))))</f>
        <v>0</v>
      </c>
      <c r="P109" s="89">
        <f>IF(OR($P$4=Bron!$B$8,$P$4=Bron!$B$9,$P$4=Bron!$B$15),'Bouwkost NB'!$N117,IF($P$4=Bron!$B$10,'Bouwkost UITB'!$N116,IF($P$4=Bron!$B$11,'Bouwkost VERB'!$N116,IF($P$4=Bron!$B$12,'Bouwkost IER'!$N115,IF(OR($P$4=Bron!$B$13,$P$4=Bron!$B$14),'Bouwkost VOLT'!$N116,IF($P$4=Bron!$C$16,'Bouwkost AK+VERB'!$N116,0))))))</f>
        <v>0</v>
      </c>
      <c r="R109" s="89">
        <f>IF(OR($R$4=Bron!$B$8,$R$4=Bron!$B$9,$R$4=Bron!$B$15),'Bouwkost NB'!$Y117,IF($R$4=Bron!$B$10,'Bouwkost UITB'!$Y116,IF($R$4=Bron!$B$11,'Bouwkost VERB'!$Y116,IF($R$4=Bron!$B$12,'Bouwkost IER'!$Y115,IF(OR($R$4=Bron!$B$13,$R$4=Bron!$B$14),'Bouwkost VOLT'!$Y116,IF($R$4=Bron!$C$16,'Bouwkost AK+VERB'!$Y116,0))))))</f>
        <v>0</v>
      </c>
      <c r="T109" s="89">
        <f>IF(OR($T$4=Bron!$B$8,$T$4=Bron!$B$9,$T$4=Bron!$B$15),'Bouwkost NB'!$Y117,IF($T$4=Bron!$B$10,'Bouwkost UITB'!$Y116,IF($T$4=Bron!$B$11,'Bouwkost VERB'!$Y116,IF($T$4=Bron!$B$12,'Bouwkost IER'!$Y115,IF(OR($T$4=Bron!$B$13,$T$4=Bron!$B$14),'Bouwkost VOLT'!$Y116,IF($T$4=Bron!$C$16,'Bouwkost AK+VERB'!$Y116,0))))))</f>
        <v>0</v>
      </c>
      <c r="V109" s="89">
        <f>IF(OR($N$4=Bron!$B$8,$N$4=Bron!$B$9,$N$4=Bron!$B$15),'Bouwkost NB'!$Y117,IF($N$4=Bron!$B$10,'Bouwkost UITB'!$Y116,IF($N$4=Bron!$B$11,'Bouwkost VERB'!$Y116,IF($N$4=Bron!$B$12,'Bouwkost IER'!$Y115,IF(OR($N$4=Bron!$B$13,$N$4=Bron!$B$14),'Bouwkost VOLT'!$Y116,IF($N$4=Bron!$C$16,'Bouwkost AK+VERB'!$Y116,0))))))</f>
        <v>0</v>
      </c>
      <c r="X109" s="89">
        <f>IF(OR($X$4=Bron!$B$8,$X$4=Bron!$B$9,$X$4=Bron!$B$15),'Bouwkost NB'!$Y117,IF($X$4=Bron!$B$10,'Bouwkost UITB'!$Y116,IF($X$4=Bron!$B$11,'Bouwkost VERB'!$Y116,IF($X$4=Bron!$B$12,'Bouwkost IER'!$Y115,IF(OR($X$4=Bron!$B$13,$X$4=Bron!$B$14),'Bouwkost VOLT'!$Y116,IF($X$4=Bron!$C$16,'Bouwkost AK+VERB'!$Y116,0))))))</f>
        <v>0</v>
      </c>
    </row>
    <row r="110" spans="1:24" x14ac:dyDescent="0.3">
      <c r="A110" s="48" t="s">
        <v>444</v>
      </c>
      <c r="B110" s="89">
        <f>IF(OR($B$4=Bron!$B$8,$B$4=Bron!$B$9,$B$4=Bron!$B$15),'Bouwkost NB'!$C118,IF($B$4=Bron!$B$10,'Bouwkost UITB'!$C117,IF($B$4=Bron!$B$11,'Bouwkost VERB'!$C117,IF($B$4=Bron!$B$12,'Bouwkost IER'!$C116,IF(OR($B$4=Bron!$B$13,$B$4=Bron!$B$14),'Bouwkost VOLT'!$C117,IF($B$4=Bron!$C$16,'Bouwkost AK+VERB'!$C117,0))))))</f>
        <v>0</v>
      </c>
      <c r="D110" s="89">
        <f>IF(OR($D$4=Bron!$B$8,$D$4=Bron!$B$9,$D$4=Bron!$B$15),'Bouwkost NB'!$C118,IF($D$4=Bron!$B$10,'Bouwkost UITB'!$C117,IF($D$4=Bron!$B$11,'Bouwkost VERB'!$C117,IF($D$4=Bron!$B$12,'Bouwkost IER'!$C116,IF(OR($D$4=Bron!$B$13,$D$4=Bron!$B$14),'Bouwkost VOLT'!$C117,IF($D$4=Bron!$C$16,'Bouwkost AK+VERB'!$C117,0))))))</f>
        <v>0</v>
      </c>
      <c r="F110" s="89">
        <f>IF(OR($F$4=Bron!$B$8,$F$4=Bron!$B$9,$F$4=Bron!$B$15),'Bouwkost NB'!$C118,IF($F$4=Bron!$B$10,'Bouwkost UITB'!$C117,IF($F$4=Bron!$B$11,'Bouwkost VERB'!$C117,IF($F$4=Bron!$B$12,'Bouwkost IER'!$C116,IF(OR($F$4=Bron!$B$13,$F$4=Bron!$B$14),'Bouwkost VOLT'!$C117,IF($F$4=Bron!$C$16,'Bouwkost AK+VERB'!$C117,0))))))</f>
        <v>0</v>
      </c>
      <c r="H110" s="89">
        <f>IF(OR($H$4=Bron!$B$8,$H$4=Bron!$B$9,$H$4=Bron!$B$15),'Bouwkost NB'!$C118,IF($H$4=Bron!$B$10,'Bouwkost UITB'!$C117,IF($H$4=Bron!$B$11,'Bouwkost VERB'!$C117,IF($H$4=Bron!$B$12,'Bouwkost IER'!$C116,IF(OR($H$4=Bron!$B$13,$H$4=Bron!$B$14),'Bouwkost VOLT'!$C117,IF($H$4=Bron!$C$16,'Bouwkost AK+VERB'!$C117,0))))))</f>
        <v>0</v>
      </c>
      <c r="J110" s="89">
        <f>IF(OR($J$4=Bron!$B$8,$J$4=Bron!$B$9,$J$4=Bron!$B$15),'Bouwkost NB'!$N118,IF($J$4=Bron!$B$10,'Bouwkost UITB'!$N117,IF($J$4=Bron!$B$11,'Bouwkost VERB'!$N117,IF($J$4=Bron!$B$12,'Bouwkost IER'!$N116,IF(OR($J$4=Bron!$B$13,$J$4=Bron!$B$14),'Bouwkost VOLT'!$N117,IF($J$4=Bron!$C$16,'Bouwkost AK+VERB'!$N117,0))))))</f>
        <v>0</v>
      </c>
      <c r="L110" s="89">
        <f>IF(OR($L$4=Bron!$B$8,$L$4=Bron!$B$9,$L$4=Bron!$B$15),'Bouwkost NB'!$N118,IF($L$4=Bron!$B$10,'Bouwkost UITB'!$N117,IF($L$4=Bron!$B$11,'Bouwkost VERB'!$N117,IF($L$4=Bron!$B$12,'Bouwkost IER'!$N116,IF(OR($L$4=Bron!$B$13,$L$4=Bron!$B$14),'Bouwkost VOLT'!$N117,IF($L$4=Bron!$C$16,'Bouwkost AK+VERB'!$N117,0))))))</f>
        <v>0</v>
      </c>
      <c r="N110" s="89">
        <f>IF(OR($N$4=Bron!$B$8,$N$4=Bron!$B$9,,$N$4=Bron!$B$15),'Bouwkost NB'!$N118,IF($N$4=Bron!$B$10,'Bouwkost UITB'!$N117,IF($N$4=Bron!$B$11,'Bouwkost VERB'!$N117,IF($N$4=Bron!$B$12,'Bouwkost IER'!$N116,IF(OR($N$4=Bron!$B$13,$N$4=Bron!$B$14),'Bouwkost VOLT'!$N117,IF($N$4=Bron!$C$16,'Bouwkost AK+VERB'!$N117,0))))))</f>
        <v>0</v>
      </c>
      <c r="P110" s="89">
        <f>IF(OR($P$4=Bron!$B$8,$P$4=Bron!$B$9,$P$4=Bron!$B$15),'Bouwkost NB'!$N118,IF($P$4=Bron!$B$10,'Bouwkost UITB'!$N117,IF($P$4=Bron!$B$11,'Bouwkost VERB'!$N117,IF($P$4=Bron!$B$12,'Bouwkost IER'!$N116,IF(OR($P$4=Bron!$B$13,$P$4=Bron!$B$14),'Bouwkost VOLT'!$N117,IF($P$4=Bron!$C$16,'Bouwkost AK+VERB'!$N117,0))))))</f>
        <v>0</v>
      </c>
      <c r="R110" s="89">
        <f>IF(OR($R$4=Bron!$B$8,$R$4=Bron!$B$9,$R$4=Bron!$B$15),'Bouwkost NB'!$Y118,IF($R$4=Bron!$B$10,'Bouwkost UITB'!$Y117,IF($R$4=Bron!$B$11,'Bouwkost VERB'!$Y117,IF($R$4=Bron!$B$12,'Bouwkost IER'!$Y116,IF(OR($R$4=Bron!$B$13,$R$4=Bron!$B$14),'Bouwkost VOLT'!$Y117,IF($R$4=Bron!$C$16,'Bouwkost AK+VERB'!$Y117,0))))))</f>
        <v>0</v>
      </c>
      <c r="T110" s="89">
        <f>IF(OR($T$4=Bron!$B$8,$T$4=Bron!$B$9,$T$4=Bron!$B$15),'Bouwkost NB'!$Y118,IF($T$4=Bron!$B$10,'Bouwkost UITB'!$Y117,IF($T$4=Bron!$B$11,'Bouwkost VERB'!$Y117,IF($T$4=Bron!$B$12,'Bouwkost IER'!$Y116,IF(OR($T$4=Bron!$B$13,$T$4=Bron!$B$14),'Bouwkost VOLT'!$Y117,IF($T$4=Bron!$C$16,'Bouwkost AK+VERB'!$Y117,0))))))</f>
        <v>0</v>
      </c>
      <c r="V110" s="89">
        <f>IF(OR($N$4=Bron!$B$8,$N$4=Bron!$B$9,$N$4=Bron!$B$15),'Bouwkost NB'!$Y118,IF($N$4=Bron!$B$10,'Bouwkost UITB'!$Y117,IF($N$4=Bron!$B$11,'Bouwkost VERB'!$Y117,IF($N$4=Bron!$B$12,'Bouwkost IER'!$Y116,IF(OR($N$4=Bron!$B$13,$N$4=Bron!$B$14),'Bouwkost VOLT'!$Y117,IF($N$4=Bron!$C$16,'Bouwkost AK+VERB'!$Y117,0))))))</f>
        <v>0</v>
      </c>
      <c r="X110" s="89">
        <f>IF(OR($X$4=Bron!$B$8,$X$4=Bron!$B$9,$X$4=Bron!$B$15),'Bouwkost NB'!$Y118,IF($X$4=Bron!$B$10,'Bouwkost UITB'!$Y117,IF($X$4=Bron!$B$11,'Bouwkost VERB'!$Y117,IF($X$4=Bron!$B$12,'Bouwkost IER'!$Y116,IF(OR($X$4=Bron!$B$13,$X$4=Bron!$B$14),'Bouwkost VOLT'!$Y117,IF($X$4=Bron!$C$16,'Bouwkost AK+VERB'!$Y117,0))))))</f>
        <v>0</v>
      </c>
    </row>
    <row r="111" spans="1:24" x14ac:dyDescent="0.3">
      <c r="A111" s="48" t="s">
        <v>447</v>
      </c>
      <c r="B111" s="89">
        <f>IF(OR($B$4=Bron!$B$8,$B$4=Bron!$B$9,$B$4=Bron!$B$15),'Bouwkost NB'!$C119,IF($B$4=Bron!$B$10,'Bouwkost UITB'!$C118,IF($B$4=Bron!$B$11,'Bouwkost VERB'!$C118,IF($B$4=Bron!$B$12,'Bouwkost IER'!$C117,IF(OR($B$4=Bron!$B$13,$B$4=Bron!$B$14),'Bouwkost VOLT'!$C118,IF($B$4=Bron!$C$16,'Bouwkost AK+VERB'!$C118,0))))))</f>
        <v>0</v>
      </c>
      <c r="D111" s="89">
        <f>IF(OR($D$4=Bron!$B$8,$D$4=Bron!$B$9,$D$4=Bron!$B$15),'Bouwkost NB'!$C119,IF($D$4=Bron!$B$10,'Bouwkost UITB'!$C118,IF($D$4=Bron!$B$11,'Bouwkost VERB'!$C118,IF($D$4=Bron!$B$12,'Bouwkost IER'!$C117,IF(OR($D$4=Bron!$B$13,$D$4=Bron!$B$14),'Bouwkost VOLT'!$C118,IF($D$4=Bron!$C$16,'Bouwkost AK+VERB'!$C118,0))))))</f>
        <v>0</v>
      </c>
      <c r="F111" s="89">
        <f>IF(OR($F$4=Bron!$B$8,$F$4=Bron!$B$9,$F$4=Bron!$B$15),'Bouwkost NB'!$C119,IF($F$4=Bron!$B$10,'Bouwkost UITB'!$C118,IF($F$4=Bron!$B$11,'Bouwkost VERB'!$C118,IF($F$4=Bron!$B$12,'Bouwkost IER'!$C117,IF(OR($F$4=Bron!$B$13,$F$4=Bron!$B$14),'Bouwkost VOLT'!$C118,IF($F$4=Bron!$C$16,'Bouwkost AK+VERB'!$C118,0))))))</f>
        <v>0</v>
      </c>
      <c r="H111" s="89">
        <f>IF(OR($H$4=Bron!$B$8,$H$4=Bron!$B$9,$H$4=Bron!$B$15),'Bouwkost NB'!$C119,IF($H$4=Bron!$B$10,'Bouwkost UITB'!$C118,IF($H$4=Bron!$B$11,'Bouwkost VERB'!$C118,IF($H$4=Bron!$B$12,'Bouwkost IER'!$C117,IF(OR($H$4=Bron!$B$13,$H$4=Bron!$B$14),'Bouwkost VOLT'!$C118,IF($H$4=Bron!$C$16,'Bouwkost AK+VERB'!$C118,0))))))</f>
        <v>0</v>
      </c>
      <c r="J111" s="89">
        <f>IF(OR($J$4=Bron!$B$8,$J$4=Bron!$B$9,$J$4=Bron!$B$15),'Bouwkost NB'!$N119,IF($J$4=Bron!$B$10,'Bouwkost UITB'!$N118,IF($J$4=Bron!$B$11,'Bouwkost VERB'!$N118,IF($J$4=Bron!$B$12,'Bouwkost IER'!$N117,IF(OR($J$4=Bron!$B$13,$J$4=Bron!$B$14),'Bouwkost VOLT'!$N118,IF($J$4=Bron!$C$16,'Bouwkost AK+VERB'!$N118,0))))))</f>
        <v>0</v>
      </c>
      <c r="L111" s="89">
        <f>IF(OR($L$4=Bron!$B$8,$L$4=Bron!$B$9,$L$4=Bron!$B$15),'Bouwkost NB'!$N119,IF($L$4=Bron!$B$10,'Bouwkost UITB'!$N118,IF($L$4=Bron!$B$11,'Bouwkost VERB'!$N118,IF($L$4=Bron!$B$12,'Bouwkost IER'!$N117,IF(OR($L$4=Bron!$B$13,$L$4=Bron!$B$14),'Bouwkost VOLT'!$N118,IF($L$4=Bron!$C$16,'Bouwkost AK+VERB'!$N118,0))))))</f>
        <v>0</v>
      </c>
      <c r="N111" s="89">
        <f>IF(OR($N$4=Bron!$B$8,$N$4=Bron!$B$9,,$N$4=Bron!$B$15),'Bouwkost NB'!$N119,IF($N$4=Bron!$B$10,'Bouwkost UITB'!$N118,IF($N$4=Bron!$B$11,'Bouwkost VERB'!$N118,IF($N$4=Bron!$B$12,'Bouwkost IER'!$N117,IF(OR($N$4=Bron!$B$13,$N$4=Bron!$B$14),'Bouwkost VOLT'!$N118,IF($N$4=Bron!$C$16,'Bouwkost AK+VERB'!$N118,0))))))</f>
        <v>0</v>
      </c>
      <c r="P111" s="89">
        <f>IF(OR($P$4=Bron!$B$8,$P$4=Bron!$B$9,$P$4=Bron!$B$15),'Bouwkost NB'!$N119,IF($P$4=Bron!$B$10,'Bouwkost UITB'!$N118,IF($P$4=Bron!$B$11,'Bouwkost VERB'!$N118,IF($P$4=Bron!$B$12,'Bouwkost IER'!$N117,IF(OR($P$4=Bron!$B$13,$P$4=Bron!$B$14),'Bouwkost VOLT'!$N118,IF($P$4=Bron!$C$16,'Bouwkost AK+VERB'!$N118,0))))))</f>
        <v>0</v>
      </c>
      <c r="R111" s="89">
        <f>IF(OR($R$4=Bron!$B$8,$R$4=Bron!$B$9,$R$4=Bron!$B$15),'Bouwkost NB'!$Y119,IF($R$4=Bron!$B$10,'Bouwkost UITB'!$Y118,IF($R$4=Bron!$B$11,'Bouwkost VERB'!$Y118,IF($R$4=Bron!$B$12,'Bouwkost IER'!$Y117,IF(OR($R$4=Bron!$B$13,$R$4=Bron!$B$14),'Bouwkost VOLT'!$Y118,IF($R$4=Bron!$C$16,'Bouwkost AK+VERB'!$Y118,0))))))</f>
        <v>0</v>
      </c>
      <c r="T111" s="89">
        <f>IF(OR($T$4=Bron!$B$8,$T$4=Bron!$B$9,$T$4=Bron!$B$15),'Bouwkost NB'!$Y119,IF($T$4=Bron!$B$10,'Bouwkost UITB'!$Y118,IF($T$4=Bron!$B$11,'Bouwkost VERB'!$Y118,IF($T$4=Bron!$B$12,'Bouwkost IER'!$Y117,IF(OR($T$4=Bron!$B$13,$T$4=Bron!$B$14),'Bouwkost VOLT'!$Y118,IF($T$4=Bron!$C$16,'Bouwkost AK+VERB'!$Y118,0))))))</f>
        <v>0</v>
      </c>
      <c r="V111" s="89">
        <f>IF(OR($N$4=Bron!$B$8,$N$4=Bron!$B$9,$N$4=Bron!$B$15),'Bouwkost NB'!$Y119,IF($N$4=Bron!$B$10,'Bouwkost UITB'!$Y118,IF($N$4=Bron!$B$11,'Bouwkost VERB'!$Y118,IF($N$4=Bron!$B$12,'Bouwkost IER'!$Y117,IF(OR($N$4=Bron!$B$13,$N$4=Bron!$B$14),'Bouwkost VOLT'!$Y118,IF($N$4=Bron!$C$16,'Bouwkost AK+VERB'!$Y118,0))))))</f>
        <v>0</v>
      </c>
      <c r="X111" s="89">
        <f>IF(OR($X$4=Bron!$B$8,$X$4=Bron!$B$9,$X$4=Bron!$B$15),'Bouwkost NB'!$Y119,IF($X$4=Bron!$B$10,'Bouwkost UITB'!$Y118,IF($X$4=Bron!$B$11,'Bouwkost VERB'!$Y118,IF($X$4=Bron!$B$12,'Bouwkost IER'!$Y117,IF(OR($X$4=Bron!$B$13,$X$4=Bron!$B$14),'Bouwkost VOLT'!$Y118,IF($X$4=Bron!$C$16,'Bouwkost AK+VERB'!$Y118,0))))))</f>
        <v>0</v>
      </c>
    </row>
    <row r="113" spans="1:3" x14ac:dyDescent="0.3">
      <c r="A113" s="299" t="s">
        <v>489</v>
      </c>
    </row>
    <row r="114" spans="1:3" x14ac:dyDescent="0.3">
      <c r="A114" s="249" t="s">
        <v>490</v>
      </c>
    </row>
    <row r="115" spans="1:3" x14ac:dyDescent="0.3">
      <c r="A115" s="249" t="s">
        <v>491</v>
      </c>
    </row>
    <row r="119" spans="1:3" x14ac:dyDescent="0.3">
      <c r="B119" s="810">
        <f ca="1">'Bouwkost NB'!G82+'Bouwkost UITB'!E81+'Bouwkost VERB'!D81+'Bouwkost IER'!D80+'Bouwkost VOLT'!D81+'Bouwkost AK+VERB'!D81</f>
        <v>0</v>
      </c>
      <c r="C119" s="810"/>
    </row>
    <row r="120" spans="1:3" x14ac:dyDescent="0.3">
      <c r="B120" s="810">
        <f>'Bouwkost NB'!I82+'Bouwkost UITB'!G81+'Bouwkost VERB'!F81+'Bouwkost IER'!F80+'Bouwkost VOLT'!F81+'Bouwkost AK+VERB'!F81</f>
        <v>0</v>
      </c>
      <c r="C120" s="810"/>
    </row>
  </sheetData>
  <protectedRanges>
    <protectedRange sqref="J74 R74 L74 N74 P74 T74 V74 X74" name="raming"/>
  </protectedRanges>
  <mergeCells count="3">
    <mergeCell ref="B3:H3"/>
    <mergeCell ref="J3:P3"/>
    <mergeCell ref="R3:X3"/>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7E666-549F-4A5B-AF64-7023844F5286}">
  <sheetPr codeName="Blad11"/>
  <dimension ref="A3:DQ120"/>
  <sheetViews>
    <sheetView topLeftCell="A37" zoomScale="70" zoomScaleNormal="70" workbookViewId="0">
      <selection activeCell="X69" sqref="X69"/>
    </sheetView>
  </sheetViews>
  <sheetFormatPr defaultRowHeight="14.4" x14ac:dyDescent="0.3"/>
  <cols>
    <col min="1" max="1" width="42.6640625" bestFit="1" customWidth="1"/>
    <col min="2" max="2" width="16.33203125" style="89" customWidth="1"/>
    <col min="3" max="3" width="4.44140625" style="89" bestFit="1" customWidth="1"/>
    <col min="4" max="4" width="20" style="89" bestFit="1" customWidth="1"/>
    <col min="5" max="5" width="4.44140625" style="89" bestFit="1" customWidth="1"/>
    <col min="6" max="6" width="16.33203125" style="89" bestFit="1" customWidth="1"/>
    <col min="7" max="7" width="4.44140625" style="89" bestFit="1" customWidth="1"/>
    <col min="8" max="8" width="16.33203125" style="89" bestFit="1" customWidth="1"/>
    <col min="9" max="9" width="4.44140625" style="89" bestFit="1" customWidth="1"/>
    <col min="10" max="10" width="15.6640625" style="89" bestFit="1" customWidth="1"/>
    <col min="11" max="11" width="4.44140625" style="89" bestFit="1" customWidth="1"/>
    <col min="12" max="12" width="15.6640625" style="89" bestFit="1" customWidth="1"/>
    <col min="13" max="13" width="4.44140625" style="89" bestFit="1" customWidth="1"/>
    <col min="14" max="14" width="15.6640625" style="89" bestFit="1" customWidth="1"/>
    <col min="15" max="15" width="4.44140625" style="89" bestFit="1" customWidth="1"/>
    <col min="16" max="16" width="15.6640625" style="89" bestFit="1" customWidth="1"/>
    <col min="17" max="17" width="4.44140625" style="89" bestFit="1" customWidth="1"/>
    <col min="18" max="18" width="15.6640625" style="89" bestFit="1" customWidth="1"/>
    <col min="19" max="19" width="4.44140625" style="89" bestFit="1" customWidth="1"/>
    <col min="20" max="20" width="15.6640625" style="89" bestFit="1" customWidth="1"/>
    <col min="21" max="21" width="4.44140625" style="89" bestFit="1" customWidth="1"/>
    <col min="22" max="22" width="15.6640625" style="89" bestFit="1" customWidth="1"/>
    <col min="23" max="23" width="4.44140625" style="89" bestFit="1" customWidth="1"/>
    <col min="24" max="24" width="15.6640625" style="89" bestFit="1" customWidth="1"/>
    <col min="25" max="25" width="23.44140625" customWidth="1"/>
    <col min="26" max="26" width="17.44140625" bestFit="1" customWidth="1"/>
    <col min="27" max="27" width="16.33203125" bestFit="1" customWidth="1"/>
  </cols>
  <sheetData>
    <row r="3" spans="1:121" s="592" customFormat="1" x14ac:dyDescent="0.3">
      <c r="B3" s="1281" t="str">
        <f>'Overzicht BTA'!C2</f>
        <v>Zorgvorm 1</v>
      </c>
      <c r="C3" s="1281"/>
      <c r="D3" s="1281"/>
      <c r="E3" s="1281"/>
      <c r="F3" s="1281"/>
      <c r="G3" s="1281"/>
      <c r="H3" s="1281"/>
      <c r="I3" s="831"/>
      <c r="J3" s="1281" t="str">
        <f>'Overzicht BTA'!H2</f>
        <v>Zorgvorm 2</v>
      </c>
      <c r="K3" s="1281"/>
      <c r="L3" s="1281"/>
      <c r="M3" s="1281"/>
      <c r="N3" s="1281"/>
      <c r="O3" s="1281"/>
      <c r="P3" s="1281"/>
      <c r="Q3" s="831"/>
      <c r="R3" s="1281" t="str">
        <f>'Overzicht BTA'!N2</f>
        <v>Zorgvorm 3</v>
      </c>
      <c r="S3" s="1281"/>
      <c r="T3" s="1281"/>
      <c r="U3" s="1281"/>
      <c r="V3" s="1281"/>
      <c r="W3" s="1281"/>
      <c r="X3" s="1281"/>
      <c r="Y3" s="106"/>
      <c r="Z3" s="106"/>
      <c r="AA3" s="106"/>
      <c r="AB3" s="106"/>
      <c r="AC3" s="106"/>
      <c r="AD3" s="106"/>
      <c r="AE3" s="106"/>
      <c r="AF3" s="106"/>
      <c r="AG3" s="106"/>
      <c r="AH3" s="106"/>
      <c r="AI3" s="106"/>
      <c r="AJ3" s="106"/>
      <c r="AK3" s="106"/>
      <c r="AL3" s="106"/>
      <c r="AM3" s="106"/>
      <c r="AN3" s="106"/>
      <c r="AO3" s="106"/>
      <c r="AP3" s="106"/>
      <c r="AQ3" s="106"/>
      <c r="AR3" s="106"/>
      <c r="AS3" s="106"/>
      <c r="AT3" s="106"/>
      <c r="AU3" s="106"/>
      <c r="AV3" s="106"/>
      <c r="AW3" s="106"/>
      <c r="AX3" s="106"/>
      <c r="AY3" s="106"/>
      <c r="AZ3" s="106"/>
      <c r="BA3" s="106"/>
      <c r="BB3" s="106"/>
      <c r="BC3" s="106"/>
      <c r="BD3" s="106"/>
      <c r="BE3" s="106"/>
      <c r="BF3" s="106"/>
      <c r="BG3" s="106"/>
      <c r="BH3" s="106"/>
      <c r="BI3" s="106"/>
      <c r="BJ3" s="106"/>
      <c r="BK3" s="106"/>
      <c r="BL3" s="106"/>
      <c r="BM3" s="106"/>
      <c r="BN3" s="106"/>
      <c r="BO3" s="106"/>
      <c r="BP3" s="106"/>
      <c r="BQ3" s="106"/>
      <c r="BR3" s="106"/>
      <c r="BS3" s="106"/>
      <c r="BT3" s="106"/>
      <c r="BU3" s="106"/>
      <c r="BV3" s="106"/>
      <c r="BW3" s="106"/>
      <c r="BX3" s="106"/>
      <c r="BY3" s="106"/>
      <c r="BZ3" s="106"/>
      <c r="CA3" s="106"/>
      <c r="CB3" s="106"/>
      <c r="CC3" s="106"/>
      <c r="CD3" s="106"/>
      <c r="CE3" s="106"/>
      <c r="CF3" s="106"/>
      <c r="CG3" s="106"/>
      <c r="CH3" s="106"/>
      <c r="CI3" s="106"/>
      <c r="CJ3" s="106"/>
      <c r="CK3" s="106"/>
      <c r="CL3" s="106"/>
      <c r="CM3" s="106"/>
      <c r="CN3" s="106"/>
      <c r="CO3" s="106"/>
      <c r="CP3" s="106"/>
      <c r="CQ3" s="106"/>
      <c r="CR3" s="106"/>
      <c r="CS3" s="106"/>
      <c r="CT3" s="106"/>
      <c r="CU3" s="106"/>
      <c r="CV3" s="106"/>
      <c r="CW3" s="106"/>
      <c r="CX3" s="106"/>
      <c r="CY3" s="106"/>
      <c r="CZ3" s="106"/>
      <c r="DA3" s="106"/>
      <c r="DB3" s="106"/>
      <c r="DC3" s="106"/>
      <c r="DD3" s="106"/>
      <c r="DE3" s="106"/>
      <c r="DF3" s="106"/>
      <c r="DG3" s="106"/>
      <c r="DH3" s="106"/>
      <c r="DI3" s="106"/>
      <c r="DJ3" s="106"/>
      <c r="DK3" s="106"/>
      <c r="DL3" s="106"/>
      <c r="DM3" s="106"/>
      <c r="DN3" s="106"/>
      <c r="DO3" s="106"/>
      <c r="DP3" s="106"/>
      <c r="DQ3" s="106"/>
    </row>
    <row r="4" spans="1:121" s="183" customFormat="1" x14ac:dyDescent="0.3">
      <c r="A4" s="307" t="s">
        <v>405</v>
      </c>
      <c r="B4" s="593" t="str">
        <f>'Overzicht BTA'!B51</f>
        <v>Kies kostensoort</v>
      </c>
      <c r="C4" s="593"/>
      <c r="D4" s="593" t="str">
        <f>'Overzicht BTA'!$B52</f>
        <v>Kies kostensoort</v>
      </c>
      <c r="E4" s="593"/>
      <c r="F4" s="593" t="str">
        <f>'Overzicht BTA'!$B53</f>
        <v>Kies kostensoort</v>
      </c>
      <c r="G4" s="593"/>
      <c r="H4" s="593" t="str">
        <f>'Overzicht BTA'!$B54</f>
        <v>Kies kostensoort</v>
      </c>
      <c r="I4" s="593"/>
      <c r="J4" s="593" t="str">
        <f>'Overzicht BTA'!$H51</f>
        <v>Kies kostensoort</v>
      </c>
      <c r="K4" s="593"/>
      <c r="L4" s="593" t="str">
        <f>'Overzicht BTA'!$H52</f>
        <v>Kies kostensoort</v>
      </c>
      <c r="M4" s="593"/>
      <c r="N4" s="593" t="str">
        <f>'Overzicht BTA'!$H53</f>
        <v>Kies kostensoort</v>
      </c>
      <c r="O4" s="593"/>
      <c r="P4" s="593" t="str">
        <f>'Overzicht BTA'!$H54</f>
        <v>Kies kostensoort</v>
      </c>
      <c r="Q4" s="593"/>
      <c r="R4" s="593" t="str">
        <f>'Overzicht BTA'!$N51</f>
        <v>Kies kostensoort</v>
      </c>
      <c r="S4" s="593"/>
      <c r="T4" s="593" t="str">
        <f>'Overzicht BTA'!$N52</f>
        <v>Kies kostensoort</v>
      </c>
      <c r="U4" s="593"/>
      <c r="V4" s="593" t="str">
        <f>'Overzicht BTA'!$N53</f>
        <v>Kies kostensoort</v>
      </c>
      <c r="W4" s="593"/>
      <c r="X4" s="593" t="str">
        <f>'Overzicht BTA'!$N54</f>
        <v>Kies kostensoort</v>
      </c>
      <c r="Y4" s="106"/>
      <c r="Z4" s="106"/>
      <c r="AA4" s="106"/>
      <c r="AB4" s="106"/>
      <c r="AC4" s="106"/>
      <c r="AD4" s="106"/>
      <c r="AE4" s="106"/>
      <c r="AF4" s="106"/>
      <c r="AG4" s="106"/>
      <c r="AH4" s="106"/>
      <c r="AI4" s="106"/>
      <c r="AJ4" s="106"/>
      <c r="AK4" s="106"/>
      <c r="AL4" s="106"/>
      <c r="AM4" s="106"/>
      <c r="AN4" s="106"/>
      <c r="AO4" s="106"/>
      <c r="AP4" s="106"/>
      <c r="AQ4" s="106"/>
      <c r="AR4" s="106"/>
      <c r="AS4" s="106"/>
      <c r="AT4" s="106"/>
      <c r="AU4" s="106"/>
      <c r="AV4" s="106"/>
      <c r="AW4" s="106"/>
      <c r="AX4" s="106"/>
      <c r="AY4" s="106"/>
      <c r="AZ4" s="106"/>
      <c r="BA4" s="106"/>
      <c r="BB4" s="106"/>
      <c r="BC4" s="106"/>
      <c r="BD4" s="106"/>
      <c r="BE4" s="106"/>
      <c r="BF4" s="106"/>
      <c r="BG4" s="106"/>
      <c r="BH4" s="106"/>
      <c r="BI4" s="106"/>
      <c r="BJ4" s="106"/>
      <c r="BK4" s="106"/>
      <c r="BL4" s="106"/>
      <c r="BM4" s="106"/>
      <c r="BN4" s="106"/>
      <c r="BO4" s="106"/>
      <c r="BP4" s="106"/>
      <c r="BQ4" s="106"/>
      <c r="BR4" s="106"/>
      <c r="BS4" s="106"/>
      <c r="BT4" s="106"/>
      <c r="BU4" s="106"/>
      <c r="BV4" s="106"/>
      <c r="BW4" s="106"/>
      <c r="BX4" s="106"/>
      <c r="BY4" s="106"/>
      <c r="BZ4" s="106"/>
      <c r="CA4" s="106"/>
      <c r="CB4" s="106"/>
      <c r="CC4" s="106"/>
      <c r="CD4" s="106"/>
      <c r="CE4" s="106"/>
      <c r="CF4" s="106"/>
      <c r="CG4" s="106"/>
      <c r="CH4" s="106"/>
      <c r="CI4" s="106"/>
      <c r="CJ4" s="106"/>
      <c r="CK4" s="106"/>
      <c r="CL4" s="106"/>
      <c r="CM4" s="106"/>
      <c r="CN4" s="106"/>
      <c r="CO4" s="106"/>
      <c r="CP4" s="106"/>
      <c r="CQ4" s="106"/>
      <c r="CR4" s="106"/>
      <c r="CS4" s="106"/>
      <c r="CT4" s="106"/>
      <c r="CU4" s="106"/>
      <c r="CV4" s="106"/>
      <c r="CW4" s="106"/>
      <c r="CX4" s="106"/>
      <c r="CY4" s="106"/>
      <c r="CZ4" s="106"/>
      <c r="DA4" s="106"/>
      <c r="DB4" s="106"/>
      <c r="DC4" s="106"/>
      <c r="DD4" s="106"/>
      <c r="DE4" s="106"/>
      <c r="DF4" s="106"/>
      <c r="DG4" s="106"/>
      <c r="DH4" s="106"/>
      <c r="DI4" s="106"/>
      <c r="DJ4" s="106"/>
      <c r="DK4" s="106"/>
      <c r="DL4" s="106"/>
      <c r="DM4" s="106"/>
      <c r="DN4" s="106"/>
      <c r="DO4" s="106"/>
      <c r="DP4" s="106"/>
      <c r="DQ4" s="106"/>
    </row>
    <row r="5" spans="1:121" x14ac:dyDescent="0.3">
      <c r="A5" s="336" t="s">
        <v>415</v>
      </c>
      <c r="B5" s="89">
        <f>IF(OR($B$4=Bron!$B$8,$B$4=Bron!$B$9,$B$4=Bron!$B$15),'Bouwkost NB'!$K17,IF($B$4=Bron!$B$10,'Bouwkost UITB'!$K16,IF($B$4=Bron!$B$11,'Bouwkost VERB'!$K16,IF($B$4=Bron!$B$12,'Bouwkost IER'!$K15,IF(OR($B$4=Bron!$B$13,$B$4=Bron!$B$14),'Bouwkost VOLT'!$K16,IF($B$4=Bron!$C$16,'Bouwkost AK+VERB'!$K16,0))))))</f>
        <v>0</v>
      </c>
      <c r="D5" s="89">
        <f>IF(OR($D$4=Bron!$B$8,$D$4=Bron!$B$9,$D$4=Bron!$B$15),'Bouwkost NB'!$K17,IF($D$4=Bron!$B$10,'Bouwkost UITB'!$K16,IF($D$4=Bron!$B$11,'Bouwkost VERB'!$K16,IF($D$4=Bron!$B$12,'Bouwkost IER'!$K15,IF(OR($D$4=Bron!$B$13,$D$4=Bron!$B$14),'Bouwkost VOLT'!$K16,IF($D$4=Bron!$C$16,'Bouwkost AK+VERB'!$K16,0))))))</f>
        <v>0</v>
      </c>
      <c r="F5" s="89">
        <f>IF(OR($F$4=Bron!$B$8,$F$4=Bron!$B$9,$F$4=Bron!$B$15),'Bouwkost NB'!$K17,IF($F$4=Bron!$B$10,'Bouwkost UITB'!$K16,IF($F$4=Bron!$B$11,'Bouwkost VERB'!$K16,IF($F$4=Bron!$B$12,'Bouwkost IER'!$K15,IF(OR($F$4=Bron!$B$13,$F$4=Bron!$B$14),'Bouwkost VOLT'!$K16,IF($F$4=Bron!$C$16,'Bouwkost AK+VERB'!$K16,0))))))</f>
        <v>0</v>
      </c>
      <c r="H5" s="89">
        <f>IF(OR($H$4=Bron!$B$8,$H$4=Bron!$B$9,$H$4=Bron!$B$15),'Bouwkost NB'!$K17,IF($H$4=Bron!$B$10,'Bouwkost UITB'!$K16,IF($H$4=Bron!$B$11,'Bouwkost VERB'!$K16,IF($H$4=Bron!$B$12,'Bouwkost IER'!$K15,IF(OR($H$4=Bron!$B$13,$H$4=Bron!$B$14),'Bouwkost VOLT'!$K16,IF($H$4=Bron!$C$16,'Bouwkost AK+VERB'!$K16,0))))))</f>
        <v>0</v>
      </c>
      <c r="J5" s="89">
        <f>IF(OR($J$4=Bron!$B$8,$J$4=Bron!$B$9,$J$4=Bron!$B$15),'Bouwkost NB'!$V17,IF($J$4=Bron!$B$10,'Bouwkost UITB'!$V16,IF($J$4=Bron!$B$11,'Bouwkost VERB'!$V16,IF($J$4=Bron!$B$12,'Bouwkost IER'!$V15,IF(OR($J$4=Bron!$B$13,$J$4=Bron!$B$14),'Bouwkost VOLT'!$V16,IF($J$4=Bron!$C$16,'Bouwkost AK+VERB'!$V16,0))))))</f>
        <v>0</v>
      </c>
      <c r="L5" s="89">
        <f>IF(OR($L$4=Bron!$B$8,$L$4=Bron!$B$9,$L$4=Bron!$B$15),'Bouwkost NB'!$V17,IF($L$4=Bron!$B$10,'Bouwkost UITB'!$V16,IF($L$4=Bron!$B$11,'Bouwkost VERB'!$V16,IF($L$4=Bron!$B$12,'Bouwkost IER'!$V15,IF(OR($L$4=Bron!$B$13,$L$4=Bron!$B$14),'Bouwkost VOLT'!$V16,IF($L$4=Bron!$C$16,'Bouwkost AK+VERB'!$V16,0))))))</f>
        <v>0</v>
      </c>
      <c r="N5" s="89">
        <f>IF(OR($N$4=Bron!$B$8,$N$4=Bron!$B$9,,$N$4=Bron!$B$15),'Bouwkost NB'!$V17,IF($N$4=Bron!$B$10,'Bouwkost UITB'!$V16,IF($N$4=Bron!$B$11,'Bouwkost VERB'!$V16,IF($N$4=Bron!$B$12,'Bouwkost IER'!$V15,IF(OR($N$4=Bron!$B$13,$N$4=Bron!$B$14),'Bouwkost VOLT'!$V16,IF($N$4=Bron!$C$16,'Bouwkost AK+VERB'!$V16,0))))))</f>
        <v>0</v>
      </c>
      <c r="P5" s="89">
        <f>IF(OR($P$4=Bron!$B$8,$P$4=Bron!$B$9,$P$4=Bron!$B$15),'Bouwkost NB'!$V17,IF($P$4=Bron!$B$10,'Bouwkost UITB'!$V16,IF($P$4=Bron!$B$11,'Bouwkost VERB'!$V16,IF($P$4=Bron!$B$12,'Bouwkost IER'!$V15,IF(OR($P$4=Bron!$B$13,$P$4=Bron!$B$14),'Bouwkost VOLT'!$V16,IF($P$4=Bron!$C$16,'Bouwkost AK+VERB'!$V16,0))))))</f>
        <v>0</v>
      </c>
      <c r="R5" s="89">
        <f>IF(OR($R$4=Bron!$B$8,$R$4=Bron!$B$9,$R$4=Bron!$B$15),'Bouwkost NB'!$AG17,IF($R$4=Bron!$B$10,'Bouwkost UITB'!$AG16,IF($R$4=Bron!$B$11,'Bouwkost VERB'!$AG16,IF($R$4=Bron!$B$12,'Bouwkost IER'!$AG15,IF(OR($R$4=Bron!$B$13,$R$4=Bron!$B$14),'Bouwkost VOLT'!$AG16,IF($R$4=Bron!$C$16,'Bouwkost AK+VERB'!$AG16,0))))))</f>
        <v>0</v>
      </c>
      <c r="T5" s="89">
        <f>IF(OR($T$4=Bron!$B$8,$T$4=Bron!$B$9,$T$4=Bron!$B$15),'Bouwkost NB'!$AG17,IF($T$4=Bron!$B$10,'Bouwkost UITB'!$AG16,IF($T$4=Bron!$B$11,'Bouwkost VERB'!$AG16,IF($T$4=Bron!$B$12,'Bouwkost IER'!$AG15,IF(OR($T$4=Bron!$B$13,$T$4=Bron!$B$14),'Bouwkost VOLT'!$AG16,IF($T$4=Bron!$C$16,'Bouwkost AK+VERB'!$AG16,0))))))</f>
        <v>0</v>
      </c>
      <c r="V5" s="89">
        <f>IF(OR($V$4=Bron!$B$8,$V$4=Bron!$B$9,$V$4=Bron!$B$15),'Bouwkost NB'!$AG17,IF($V$4=Bron!$B$10,'Bouwkost UITB'!$AG16,IF($V$4=Bron!$B$11,'Bouwkost VERB'!$AG16,IF($V$4=Bron!$B$12,'Bouwkost IER'!$AG15,IF(OR($V$4=Bron!$B$13,$V$4=Bron!$B$14),'Bouwkost VOLT'!$AG16,IF($V$4=Bron!$C$16,'Bouwkost AK+VERB'!$AG16,0))))))</f>
        <v>0</v>
      </c>
      <c r="X5" s="89">
        <f>IF(OR($X$4=Bron!$B$8,$X$4=Bron!$B$9,$X$4=Bron!$B$15),'Bouwkost NB'!$AG17,IF($X$4=Bron!$B$10,'Bouwkost UITB'!$AG16,IF($X$4=Bron!$B$11,'Bouwkost VERB'!$AG16,IF($X$4=Bron!$B$12,'Bouwkost IER'!$AG15,IF(OR($X$4=Bron!$B$13,$X$4=Bron!$B$14),'Bouwkost VOLT'!$AG16,IF($X$4=Bron!$C$16,'Bouwkost AK+VERB'!$AG16,0))))))</f>
        <v>0</v>
      </c>
    </row>
    <row r="6" spans="1:121" x14ac:dyDescent="0.3">
      <c r="A6" s="640" t="s">
        <v>417</v>
      </c>
      <c r="B6" s="89">
        <f>IF(OR($B$4=Bron!$B$8,$B$4=Bron!$B$9,$B$4=Bron!$B$15),'Bouwkost NB'!$K18,IF($B$4=Bron!$B$10,'Bouwkost UITB'!$K17,IF($B$4=Bron!$B$11,'Bouwkost VERB'!$K17,IF($B$4=Bron!$B$12,'Bouwkost IER'!$K16,IF(OR($B$4=Bron!$B$13,$B$4=Bron!$B$14),'Bouwkost VOLT'!$K17,IF($B$4=Bron!$C$16,'Bouwkost AK+VERB'!$K17,0))))))</f>
        <v>0</v>
      </c>
      <c r="D6" s="89">
        <f>IF(OR($D$4=Bron!$B$8,$D$4=Bron!$B$9,$D$4=Bron!$B$15),'Bouwkost NB'!$K18,IF($D$4=Bron!$B$10,'Bouwkost UITB'!$K17,IF($D$4=Bron!$B$11,'Bouwkost VERB'!$K17,IF($D$4=Bron!$B$12,'Bouwkost IER'!$K16,IF(OR($D$4=Bron!$B$13,$D$4=Bron!$B$14),'Bouwkost VOLT'!$K17,IF($D$4=Bron!$C$16,'Bouwkost AK+VERB'!$K17,0))))))</f>
        <v>0</v>
      </c>
      <c r="F6" s="89">
        <f>IF(OR($F$4=Bron!$B$8,$F$4=Bron!$B$9,$F$4=Bron!$B$15),'Bouwkost NB'!$K18,IF($F$4=Bron!$B$10,'Bouwkost UITB'!$K17,IF($F$4=Bron!$B$11,'Bouwkost VERB'!$K17,IF($F$4=Bron!$B$12,'Bouwkost IER'!$K16,IF(OR($F$4=Bron!$B$13,$F$4=Bron!$B$14),'Bouwkost VOLT'!$K17,IF($F$4=Bron!$C$16,'Bouwkost AK+VERB'!$K17,0))))))</f>
        <v>0</v>
      </c>
      <c r="H6" s="89">
        <f>IF(OR($H$4=Bron!$B$8,$H$4=Bron!$B$9,$H$4=Bron!$B$15),'Bouwkost NB'!$K18,IF($H$4=Bron!$B$10,'Bouwkost UITB'!$K17,IF($H$4=Bron!$B$11,'Bouwkost VERB'!$K17,IF($H$4=Bron!$B$12,'Bouwkost IER'!$K16,IF(OR($H$4=Bron!$B$13,$H$4=Bron!$B$14),'Bouwkost VOLT'!$K17,IF($H$4=Bron!$C$16,'Bouwkost AK+VERB'!$K17,0))))))</f>
        <v>0</v>
      </c>
      <c r="J6" s="89">
        <f>IF(OR($J$4=Bron!$B$8,$J$4=Bron!$B$9,$J$4=Bron!$B$15),'Bouwkost NB'!$V18,IF($J$4=Bron!$B$10,'Bouwkost UITB'!$V17,IF($J$4=Bron!$B$11,'Bouwkost VERB'!$V17,IF($J$4=Bron!$B$12,'Bouwkost IER'!$V16,IF(OR($J$4=Bron!$B$13,$J$4=Bron!$B$14),'Bouwkost VOLT'!$V17,IF($J$4=Bron!$C$16,'Bouwkost AK+VERB'!$V17,0))))))</f>
        <v>0</v>
      </c>
      <c r="L6" s="89">
        <f>IF(OR($L$4=Bron!$B$8,$L$4=Bron!$B$9,$L$4=Bron!$B$15),'Bouwkost NB'!$V18,IF($L$4=Bron!$B$10,'Bouwkost UITB'!$V17,IF($L$4=Bron!$B$11,'Bouwkost VERB'!$V17,IF($L$4=Bron!$B$12,'Bouwkost IER'!$V16,IF(OR($L$4=Bron!$B$13,$L$4=Bron!$B$14),'Bouwkost VOLT'!$V17,IF($L$4=Bron!$C$16,'Bouwkost AK+VERB'!$V17,0))))))</f>
        <v>0</v>
      </c>
      <c r="N6" s="89">
        <f>IF(OR($N$4=Bron!$B$8,$N$4=Bron!$B$9,,$N$4=Bron!$B$15),'Bouwkost NB'!$V18,IF($N$4=Bron!$B$10,'Bouwkost UITB'!$V17,IF($N$4=Bron!$B$11,'Bouwkost VERB'!$V17,IF($N$4=Bron!$B$12,'Bouwkost IER'!$V16,IF(OR($N$4=Bron!$B$13,$N$4=Bron!$B$14),'Bouwkost VOLT'!$V17,IF($N$4=Bron!$C$16,'Bouwkost AK+VERB'!$V17,0))))))</f>
        <v>0</v>
      </c>
      <c r="P6" s="89">
        <f>IF(OR($P$4=Bron!$B$8,$P$4=Bron!$B$9,$P$4=Bron!$B$15),'Bouwkost NB'!$V18,IF($P$4=Bron!$B$10,'Bouwkost UITB'!$V17,IF($P$4=Bron!$B$11,'Bouwkost VERB'!$V17,IF($P$4=Bron!$B$12,'Bouwkost IER'!$V16,IF(OR($P$4=Bron!$B$13,$P$4=Bron!$B$14),'Bouwkost VOLT'!$V17,IF($P$4=Bron!$C$16,'Bouwkost AK+VERB'!$V17,0))))))</f>
        <v>0</v>
      </c>
      <c r="R6" s="89">
        <f>IF(OR($R$4=Bron!$B$8,$R$4=Bron!$B$9,$R$4=Bron!$B$15),'Bouwkost NB'!$AG18,IF($R$4=Bron!$B$10,'Bouwkost UITB'!$AG17,IF($R$4=Bron!$B$11,'Bouwkost VERB'!$AG17,IF($R$4=Bron!$B$12,'Bouwkost IER'!$AG16,IF(OR($R$4=Bron!$B$13,$R$4=Bron!$B$14),'Bouwkost VOLT'!$AG17,IF($R$4=Bron!$C$16,'Bouwkost AK+VERB'!$AG17,0))))))</f>
        <v>0</v>
      </c>
      <c r="T6" s="89">
        <f>IF(OR($T$4=Bron!$B$8,$T$4=Bron!$B$9,$T$4=Bron!$B$15),'Bouwkost NB'!$AG18,IF($T$4=Bron!$B$10,'Bouwkost UITB'!$AG17,IF($T$4=Bron!$B$11,'Bouwkost VERB'!$AG17,IF($T$4=Bron!$B$12,'Bouwkost IER'!$AG16,IF(OR($T$4=Bron!$B$13,$T$4=Bron!$B$14),'Bouwkost VOLT'!$AG17,IF($T$4=Bron!$C$16,'Bouwkost AK+VERB'!$AG17,0))))))</f>
        <v>0</v>
      </c>
      <c r="V6" s="89">
        <f>IF(OR($V$4=Bron!$B$8,$V$4=Bron!$B$9,$V$4=Bron!$B$15),'Bouwkost NB'!$AG18,IF($V$4=Bron!$B$10,'Bouwkost UITB'!$AG17,IF($V$4=Bron!$B$11,'Bouwkost VERB'!$AG17,IF($V$4=Bron!$B$12,'Bouwkost IER'!$AG16,IF(OR($V$4=Bron!$B$13,$V$4=Bron!$B$14),'Bouwkost VOLT'!$AG17,IF($V$4=Bron!$C$16,'Bouwkost AK+VERB'!$AG17,0))))))</f>
        <v>0</v>
      </c>
      <c r="X6" s="89">
        <f>IF(OR($X$4=Bron!$B$8,$X$4=Bron!$B$9,$X$4=Bron!$B$15),'Bouwkost NB'!$AG18,IF($X$4=Bron!$B$10,'Bouwkost UITB'!$AG17,IF($X$4=Bron!$B$11,'Bouwkost VERB'!$AG17,IF($X$4=Bron!$B$12,'Bouwkost IER'!$AG16,IF(OR($X$4=Bron!$B$13,$X$4=Bron!$B$14),'Bouwkost VOLT'!$AG17,IF($X$4=Bron!$C$16,'Bouwkost AK+VERB'!$AG17,0))))))</f>
        <v>0</v>
      </c>
    </row>
    <row r="7" spans="1:121" x14ac:dyDescent="0.3">
      <c r="A7" s="640" t="s">
        <v>418</v>
      </c>
      <c r="B7" s="89">
        <f>IF(OR($B$4=Bron!$B$8,$B$4=Bron!$B$9,$B$4=Bron!$B$15),'Bouwkost NB'!$K19,IF($B$4=Bron!$B$10,'Bouwkost UITB'!$K18,IF($B$4=Bron!$B$11,'Bouwkost VERB'!$K18,IF($B$4=Bron!$B$12,'Bouwkost IER'!$K17,IF(OR($B$4=Bron!$B$13,$B$4=Bron!$B$14),'Bouwkost VOLT'!$K18,IF($B$4=Bron!$C$16,'Bouwkost AK+VERB'!$K18,0))))))</f>
        <v>0</v>
      </c>
      <c r="D7" s="89">
        <f>IF(OR($D$4=Bron!$B$8,$D$4=Bron!$B$9,$D$4=Bron!$B$15),'Bouwkost NB'!$K19,IF($D$4=Bron!$B$10,'Bouwkost UITB'!$K18,IF($D$4=Bron!$B$11,'Bouwkost VERB'!$K18,IF($D$4=Bron!$B$12,'Bouwkost IER'!$K17,IF(OR($D$4=Bron!$B$13,$D$4=Bron!$B$14),'Bouwkost VOLT'!$K18,IF($D$4=Bron!$C$16,'Bouwkost AK+VERB'!$K18,0))))))</f>
        <v>0</v>
      </c>
      <c r="F7" s="89">
        <f>IF(OR($F$4=Bron!$B$8,$F$4=Bron!$B$9,$F$4=Bron!$B$15),'Bouwkost NB'!$K19,IF($F$4=Bron!$B$10,'Bouwkost UITB'!$K18,IF($F$4=Bron!$B$11,'Bouwkost VERB'!$K18,IF($F$4=Bron!$B$12,'Bouwkost IER'!$K17,IF(OR($F$4=Bron!$B$13,$F$4=Bron!$B$14),'Bouwkost VOLT'!$K18,IF($F$4=Bron!$C$16,'Bouwkost AK+VERB'!$K18,0))))))</f>
        <v>0</v>
      </c>
      <c r="H7" s="89">
        <f>IF(OR($H$4=Bron!$B$8,$H$4=Bron!$B$9,$H$4=Bron!$B$15),'Bouwkost NB'!$K19,IF($H$4=Bron!$B$10,'Bouwkost UITB'!$K18,IF($H$4=Bron!$B$11,'Bouwkost VERB'!$K18,IF($H$4=Bron!$B$12,'Bouwkost IER'!$K17,IF(OR($H$4=Bron!$B$13,$H$4=Bron!$B$14),'Bouwkost VOLT'!$K18,IF($H$4=Bron!$C$16,'Bouwkost AK+VERB'!$K18,0))))))</f>
        <v>0</v>
      </c>
      <c r="J7" s="89">
        <f>IF(OR($J$4=Bron!$B$8,$J$4=Bron!$B$9,$J$4=Bron!$B$15),'Bouwkost NB'!$V19,IF($J$4=Bron!$B$10,'Bouwkost UITB'!$V18,IF($J$4=Bron!$B$11,'Bouwkost VERB'!$V18,IF($J$4=Bron!$B$12,'Bouwkost IER'!$V17,IF(OR($J$4=Bron!$B$13,$J$4=Bron!$B$14),'Bouwkost VOLT'!$V18,IF($J$4=Bron!$C$16,'Bouwkost AK+VERB'!$V18,0))))))</f>
        <v>0</v>
      </c>
      <c r="L7" s="89">
        <f>IF(OR($L$4=Bron!$B$8,$L$4=Bron!$B$9,$L$4=Bron!$B$15),'Bouwkost NB'!$V19,IF($L$4=Bron!$B$10,'Bouwkost UITB'!$V18,IF($L$4=Bron!$B$11,'Bouwkost VERB'!$V18,IF($L$4=Bron!$B$12,'Bouwkost IER'!$V17,IF(OR($L$4=Bron!$B$13,$L$4=Bron!$B$14),'Bouwkost VOLT'!$V18,IF($L$4=Bron!$C$16,'Bouwkost AK+VERB'!$V18,0))))))</f>
        <v>0</v>
      </c>
      <c r="N7" s="89">
        <f>IF(OR($N$4=Bron!$B$8,$N$4=Bron!$B$9,,$N$4=Bron!$B$15),'Bouwkost NB'!$V19,IF($N$4=Bron!$B$10,'Bouwkost UITB'!$V18,IF($N$4=Bron!$B$11,'Bouwkost VERB'!$V18,IF($N$4=Bron!$B$12,'Bouwkost IER'!$V17,IF(OR($N$4=Bron!$B$13,$N$4=Bron!$B$14),'Bouwkost VOLT'!$V18,IF($N$4=Bron!$C$16,'Bouwkost AK+VERB'!$V18,0))))))</f>
        <v>0</v>
      </c>
      <c r="P7" s="89">
        <f>IF(OR($P$4=Bron!$B$8,$P$4=Bron!$B$9,$P$4=Bron!$B$15),'Bouwkost NB'!$V19,IF($P$4=Bron!$B$10,'Bouwkost UITB'!$V18,IF($P$4=Bron!$B$11,'Bouwkost VERB'!$V18,IF($P$4=Bron!$B$12,'Bouwkost IER'!$V17,IF(OR($P$4=Bron!$B$13,$P$4=Bron!$B$14),'Bouwkost VOLT'!$V18,IF($P$4=Bron!$C$16,'Bouwkost AK+VERB'!$V18,0))))))</f>
        <v>0</v>
      </c>
      <c r="R7" s="89">
        <f>IF(OR($R$4=Bron!$B$8,$R$4=Bron!$B$9,$R$4=Bron!$B$15),'Bouwkost NB'!$AG19,IF($R$4=Bron!$B$10,'Bouwkost UITB'!$AG18,IF($R$4=Bron!$B$11,'Bouwkost VERB'!$AG18,IF($R$4=Bron!$B$12,'Bouwkost IER'!$AG17,IF(OR($R$4=Bron!$B$13,$R$4=Bron!$B$14),'Bouwkost VOLT'!$AG18,IF($R$4=Bron!$C$16,'Bouwkost AK+VERB'!$AG18,0))))))</f>
        <v>0</v>
      </c>
      <c r="T7" s="89">
        <f>IF(OR($T$4=Bron!$B$8,$T$4=Bron!$B$9,$T$4=Bron!$B$15),'Bouwkost NB'!$AG19,IF($T$4=Bron!$B$10,'Bouwkost UITB'!$AG18,IF($T$4=Bron!$B$11,'Bouwkost VERB'!$AG18,IF($T$4=Bron!$B$12,'Bouwkost IER'!$AG17,IF(OR($T$4=Bron!$B$13,$T$4=Bron!$B$14),'Bouwkost VOLT'!$AG18,IF($T$4=Bron!$C$16,'Bouwkost AK+VERB'!$AG18,0))))))</f>
        <v>0</v>
      </c>
      <c r="V7" s="89">
        <f>IF(OR($V$4=Bron!$B$8,$V$4=Bron!$B$9,$V$4=Bron!$B$15),'Bouwkost NB'!$AG19,IF($V$4=Bron!$B$10,'Bouwkost UITB'!$AG18,IF($V$4=Bron!$B$11,'Bouwkost VERB'!$AG18,IF($V$4=Bron!$B$12,'Bouwkost IER'!$AG17,IF(OR($V$4=Bron!$B$13,$V$4=Bron!$B$14),'Bouwkost VOLT'!$AG18,IF($V$4=Bron!$C$16,'Bouwkost AK+VERB'!$AG18,0))))))</f>
        <v>0</v>
      </c>
      <c r="X7" s="89">
        <f>IF(OR($X$4=Bron!$B$8,$X$4=Bron!$B$9,$X$4=Bron!$B$15),'Bouwkost NB'!$AG19,IF($X$4=Bron!$B$10,'Bouwkost UITB'!$AG18,IF($X$4=Bron!$B$11,'Bouwkost VERB'!$AG18,IF($X$4=Bron!$B$12,'Bouwkost IER'!$AG17,IF(OR($X$4=Bron!$B$13,$X$4=Bron!$B$14),'Bouwkost VOLT'!$AG18,IF($X$4=Bron!$C$16,'Bouwkost AK+VERB'!$AG18,0))))))</f>
        <v>0</v>
      </c>
    </row>
    <row r="8" spans="1:121" x14ac:dyDescent="0.3">
      <c r="A8" s="640" t="s">
        <v>419</v>
      </c>
      <c r="B8" s="89">
        <f>IF(OR($B$4=Bron!$B$8,$B$4=Bron!$B$9,$B$4=Bron!$B$15),'Bouwkost NB'!$K20,IF($B$4=Bron!$B$10,'Bouwkost UITB'!$K19,IF($B$4=Bron!$B$11,'Bouwkost VERB'!$K19,IF($B$4=Bron!$B$12,'Bouwkost IER'!$K18,IF(OR($B$4=Bron!$B$13,$B$4=Bron!$B$14),'Bouwkost VOLT'!$K19,IF($B$4=Bron!$C$16,'Bouwkost AK+VERB'!$K19,0))))))</f>
        <v>0</v>
      </c>
      <c r="D8" s="89">
        <f>IF(OR($D$4=Bron!$B$8,$D$4=Bron!$B$9,$D$4=Bron!$B$15),'Bouwkost NB'!$K20,IF($D$4=Bron!$B$10,'Bouwkost UITB'!$K19,IF($D$4=Bron!$B$11,'Bouwkost VERB'!$K19,IF($D$4=Bron!$B$12,'Bouwkost IER'!$K18,IF(OR($D$4=Bron!$B$13,$D$4=Bron!$B$14),'Bouwkost VOLT'!$K19,IF($D$4=Bron!$C$16,'Bouwkost AK+VERB'!$K19,0))))))</f>
        <v>0</v>
      </c>
      <c r="F8" s="89">
        <f>IF(OR($F$4=Bron!$B$8,$F$4=Bron!$B$9,$F$4=Bron!$B$15),'Bouwkost NB'!$K20,IF($F$4=Bron!$B$10,'Bouwkost UITB'!$K19,IF($F$4=Bron!$B$11,'Bouwkost VERB'!$K19,IF($F$4=Bron!$B$12,'Bouwkost IER'!$K18,IF(OR($F$4=Bron!$B$13,$F$4=Bron!$B$14),'Bouwkost VOLT'!$K19,IF($F$4=Bron!$C$16,'Bouwkost AK+VERB'!$K19,0))))))</f>
        <v>0</v>
      </c>
      <c r="H8" s="89">
        <f>IF(OR($H$4=Bron!$B$8,$H$4=Bron!$B$9,$H$4=Bron!$B$15),'Bouwkost NB'!$K20,IF($H$4=Bron!$B$10,'Bouwkost UITB'!$K19,IF($H$4=Bron!$B$11,'Bouwkost VERB'!$K19,IF($H$4=Bron!$B$12,'Bouwkost IER'!$K18,IF(OR($H$4=Bron!$B$13,$H$4=Bron!$B$14),'Bouwkost VOLT'!$K19,IF($H$4=Bron!$C$16,'Bouwkost AK+VERB'!$K19,0))))))</f>
        <v>0</v>
      </c>
      <c r="J8" s="89">
        <f>IF(OR($J$4=Bron!$B$8,$J$4=Bron!$B$9,$J$4=Bron!$B$15),'Bouwkost NB'!$V20,IF($J$4=Bron!$B$10,'Bouwkost UITB'!$V19,IF($J$4=Bron!$B$11,'Bouwkost VERB'!$V19,IF($J$4=Bron!$B$12,'Bouwkost IER'!$V18,IF(OR($J$4=Bron!$B$13,$J$4=Bron!$B$14),'Bouwkost VOLT'!$V19,IF($J$4=Bron!$C$16,'Bouwkost AK+VERB'!$V19,0))))))</f>
        <v>0</v>
      </c>
      <c r="L8" s="89">
        <f>IF(OR($L$4=Bron!$B$8,$L$4=Bron!$B$9,$L$4=Bron!$B$15),'Bouwkost NB'!$V20,IF($L$4=Bron!$B$10,'Bouwkost UITB'!$V19,IF($L$4=Bron!$B$11,'Bouwkost VERB'!$V19,IF($L$4=Bron!$B$12,'Bouwkost IER'!$V18,IF(OR($L$4=Bron!$B$13,$L$4=Bron!$B$14),'Bouwkost VOLT'!$V19,IF($L$4=Bron!$C$16,'Bouwkost AK+VERB'!$V19,0))))))</f>
        <v>0</v>
      </c>
      <c r="N8" s="89">
        <f>IF(OR($N$4=Bron!$B$8,$N$4=Bron!$B$9,,$N$4=Bron!$B$15),'Bouwkost NB'!$V20,IF($N$4=Bron!$B$10,'Bouwkost UITB'!$V19,IF($N$4=Bron!$B$11,'Bouwkost VERB'!$V19,IF($N$4=Bron!$B$12,'Bouwkost IER'!$V18,IF(OR($N$4=Bron!$B$13,$N$4=Bron!$B$14),'Bouwkost VOLT'!$V19,IF($N$4=Bron!$C$16,'Bouwkost AK+VERB'!$V19,0))))))</f>
        <v>0</v>
      </c>
      <c r="P8" s="89">
        <f>IF(OR($P$4=Bron!$B$8,$P$4=Bron!$B$9,$P$4=Bron!$B$15),'Bouwkost NB'!$V20,IF($P$4=Bron!$B$10,'Bouwkost UITB'!$V19,IF($P$4=Bron!$B$11,'Bouwkost VERB'!$V19,IF($P$4=Bron!$B$12,'Bouwkost IER'!$V18,IF(OR($P$4=Bron!$B$13,$P$4=Bron!$B$14),'Bouwkost VOLT'!$V19,IF($P$4=Bron!$C$16,'Bouwkost AK+VERB'!$V19,0))))))</f>
        <v>0</v>
      </c>
      <c r="R8" s="89">
        <f>IF(OR($R$4=Bron!$B$8,$R$4=Bron!$B$9,$R$4=Bron!$B$15),'Bouwkost NB'!$AG20,IF($R$4=Bron!$B$10,'Bouwkost UITB'!$AG19,IF($R$4=Bron!$B$11,'Bouwkost VERB'!$AG19,IF($R$4=Bron!$B$12,'Bouwkost IER'!$AG18,IF(OR($R$4=Bron!$B$13,$R$4=Bron!$B$14),'Bouwkost VOLT'!$AG19,IF($R$4=Bron!$C$16,'Bouwkost AK+VERB'!$AG19,0))))))</f>
        <v>0</v>
      </c>
      <c r="T8" s="89">
        <f>IF(OR($T$4=Bron!$B$8,$T$4=Bron!$B$9,$T$4=Bron!$B$15),'Bouwkost NB'!$AG20,IF($T$4=Bron!$B$10,'Bouwkost UITB'!$AG19,IF($T$4=Bron!$B$11,'Bouwkost VERB'!$AG19,IF($T$4=Bron!$B$12,'Bouwkost IER'!$AG18,IF(OR($T$4=Bron!$B$13,$T$4=Bron!$B$14),'Bouwkost VOLT'!$AG19,IF($T$4=Bron!$C$16,'Bouwkost AK+VERB'!$AG19,0))))))</f>
        <v>0</v>
      </c>
      <c r="V8" s="89">
        <f>IF(OR($V$4=Bron!$B$8,$V$4=Bron!$B$9,$V$4=Bron!$B$15),'Bouwkost NB'!$AG20,IF($V$4=Bron!$B$10,'Bouwkost UITB'!$AG19,IF($V$4=Bron!$B$11,'Bouwkost VERB'!$AG19,IF($V$4=Bron!$B$12,'Bouwkost IER'!$AG18,IF(OR($V$4=Bron!$B$13,$V$4=Bron!$B$14),'Bouwkost VOLT'!$AG19,IF($V$4=Bron!$C$16,'Bouwkost AK+VERB'!$AG19,0))))))</f>
        <v>0</v>
      </c>
      <c r="X8" s="89">
        <f>IF(OR($X$4=Bron!$B$8,$X$4=Bron!$B$9,$X$4=Bron!$B$15),'Bouwkost NB'!$AG20,IF($X$4=Bron!$B$10,'Bouwkost UITB'!$AG19,IF($X$4=Bron!$B$11,'Bouwkost VERB'!$AG19,IF($X$4=Bron!$B$12,'Bouwkost IER'!$AG18,IF(OR($X$4=Bron!$B$13,$X$4=Bron!$B$14),'Bouwkost VOLT'!$AG19,IF($X$4=Bron!$C$16,'Bouwkost AK+VERB'!$AG19,0))))))</f>
        <v>0</v>
      </c>
    </row>
    <row r="9" spans="1:121" x14ac:dyDescent="0.3">
      <c r="A9" s="336" t="s">
        <v>420</v>
      </c>
      <c r="B9" s="89">
        <f>IF(OR($B$4=Bron!$B$8,$B$4=Bron!$B$9,$B$4=Bron!$B$15),'Bouwkost NB'!$K21,IF($B$4=Bron!$B$10,'Bouwkost UITB'!$K20,IF($B$4=Bron!$B$11,'Bouwkost VERB'!$K20,IF($B$4=Bron!$B$12,'Bouwkost IER'!$K19,IF(OR($B$4=Bron!$B$13,$B$4=Bron!$B$14),'Bouwkost VOLT'!$K20,IF($B$4=Bron!$C$16,'Bouwkost AK+VERB'!$K20,0))))))</f>
        <v>0</v>
      </c>
      <c r="D9" s="89">
        <f>IF(OR($D$4=Bron!$B$8,$D$4=Bron!$B$9,$D$4=Bron!$B$15),'Bouwkost NB'!$K21,IF($D$4=Bron!$B$10,'Bouwkost UITB'!$K20,IF($D$4=Bron!$B$11,'Bouwkost VERB'!$K20,IF($D$4=Bron!$B$12,'Bouwkost IER'!$K19,IF(OR($D$4=Bron!$B$13,$D$4=Bron!$B$14),'Bouwkost VOLT'!$K20,IF($D$4=Bron!$C$16,'Bouwkost AK+VERB'!$K20,0))))))</f>
        <v>0</v>
      </c>
      <c r="F9" s="89">
        <f>IF(OR($F$4=Bron!$B$8,$F$4=Bron!$B$9,$F$4=Bron!$B$15),'Bouwkost NB'!$K21,IF($F$4=Bron!$B$10,'Bouwkost UITB'!$K20,IF($F$4=Bron!$B$11,'Bouwkost VERB'!$K20,IF($F$4=Bron!$B$12,'Bouwkost IER'!$K19,IF(OR($F$4=Bron!$B$13,$F$4=Bron!$B$14),'Bouwkost VOLT'!$K20,IF($F$4=Bron!$C$16,'Bouwkost AK+VERB'!$K20,0))))))</f>
        <v>0</v>
      </c>
      <c r="H9" s="89">
        <f>IF(OR($H$4=Bron!$B$8,$H$4=Bron!$B$9,$H$4=Bron!$B$15),'Bouwkost NB'!$K21,IF($H$4=Bron!$B$10,'Bouwkost UITB'!$K20,IF($H$4=Bron!$B$11,'Bouwkost VERB'!$K20,IF($H$4=Bron!$B$12,'Bouwkost IER'!$K19,IF(OR($H$4=Bron!$B$13,$H$4=Bron!$B$14),'Bouwkost VOLT'!$K20,IF($H$4=Bron!$C$16,'Bouwkost AK+VERB'!$K20,0))))))</f>
        <v>0</v>
      </c>
      <c r="J9" s="89">
        <f>IF(OR($J$4=Bron!$B$8,$J$4=Bron!$B$9,$J$4=Bron!$B$15),'Bouwkost NB'!$V21,IF($J$4=Bron!$B$10,'Bouwkost UITB'!$V20,IF($J$4=Bron!$B$11,'Bouwkost VERB'!$V20,IF($J$4=Bron!$B$12,'Bouwkost IER'!$V19,IF(OR($J$4=Bron!$B$13,$J$4=Bron!$B$14),'Bouwkost VOLT'!$V20,IF($J$4=Bron!$C$16,'Bouwkost AK+VERB'!$V20,0))))))</f>
        <v>0</v>
      </c>
      <c r="L9" s="89">
        <f>IF(OR($L$4=Bron!$B$8,$L$4=Bron!$B$9,$L$4=Bron!$B$15),'Bouwkost NB'!$V21,IF($L$4=Bron!$B$10,'Bouwkost UITB'!$V20,IF($L$4=Bron!$B$11,'Bouwkost VERB'!$V20,IF($L$4=Bron!$B$12,'Bouwkost IER'!$V19,IF(OR($L$4=Bron!$B$13,$L$4=Bron!$B$14),'Bouwkost VOLT'!$V20,IF($L$4=Bron!$C$16,'Bouwkost AK+VERB'!$V20,0))))))</f>
        <v>0</v>
      </c>
      <c r="N9" s="89">
        <f>IF(OR($N$4=Bron!$B$8,$N$4=Bron!$B$9,,$N$4=Bron!$B$15),'Bouwkost NB'!$V21,IF($N$4=Bron!$B$10,'Bouwkost UITB'!$V20,IF($N$4=Bron!$B$11,'Bouwkost VERB'!$V20,IF($N$4=Bron!$B$12,'Bouwkost IER'!$V19,IF(OR($N$4=Bron!$B$13,$N$4=Bron!$B$14),'Bouwkost VOLT'!$V20,IF($N$4=Bron!$C$16,'Bouwkost AK+VERB'!$V20,0))))))</f>
        <v>0</v>
      </c>
      <c r="P9" s="89">
        <f>IF(OR($P$4=Bron!$B$8,$P$4=Bron!$B$9,$P$4=Bron!$B$15),'Bouwkost NB'!$V21,IF($P$4=Bron!$B$10,'Bouwkost UITB'!$V20,IF($P$4=Bron!$B$11,'Bouwkost VERB'!$V20,IF($P$4=Bron!$B$12,'Bouwkost IER'!$V19,IF(OR($P$4=Bron!$B$13,$P$4=Bron!$B$14),'Bouwkost VOLT'!$V20,IF($P$4=Bron!$C$16,'Bouwkost AK+VERB'!$V20,0))))))</f>
        <v>0</v>
      </c>
      <c r="R9" s="89">
        <f>IF(OR($R$4=Bron!$B$8,$R$4=Bron!$B$9,$R$4=Bron!$B$15),'Bouwkost NB'!$AG21,IF($R$4=Bron!$B$10,'Bouwkost UITB'!$AG20,IF($R$4=Bron!$B$11,'Bouwkost VERB'!$AG20,IF($R$4=Bron!$B$12,'Bouwkost IER'!$AG19,IF(OR($R$4=Bron!$B$13,$R$4=Bron!$B$14),'Bouwkost VOLT'!$AG20,IF($R$4=Bron!$C$16,'Bouwkost AK+VERB'!$AG20,0))))))</f>
        <v>0</v>
      </c>
      <c r="T9" s="89">
        <f>IF(OR($T$4=Bron!$B$8,$T$4=Bron!$B$9,$T$4=Bron!$B$15),'Bouwkost NB'!$AG21,IF($T$4=Bron!$B$10,'Bouwkost UITB'!$AG20,IF($T$4=Bron!$B$11,'Bouwkost VERB'!$AG20,IF($T$4=Bron!$B$12,'Bouwkost IER'!$AG19,IF(OR($T$4=Bron!$B$13,$T$4=Bron!$B$14),'Bouwkost VOLT'!$AG20,IF($T$4=Bron!$C$16,'Bouwkost AK+VERB'!$AG20,0))))))</f>
        <v>0</v>
      </c>
      <c r="V9" s="89">
        <f>IF(OR($V$4=Bron!$B$8,$V$4=Bron!$B$9,$V$4=Bron!$B$15),'Bouwkost NB'!$AG21,IF($V$4=Bron!$B$10,'Bouwkost UITB'!$AG20,IF($V$4=Bron!$B$11,'Bouwkost VERB'!$AG20,IF($V$4=Bron!$B$12,'Bouwkost IER'!$AG19,IF(OR($V$4=Bron!$B$13,$V$4=Bron!$B$14),'Bouwkost VOLT'!$AG20,IF($V$4=Bron!$C$16,'Bouwkost AK+VERB'!$AG20,0))))))</f>
        <v>0</v>
      </c>
      <c r="X9" s="89">
        <f>IF(OR($X$4=Bron!$B$8,$X$4=Bron!$B$9,$X$4=Bron!$B$15),'Bouwkost NB'!$AG21,IF($X$4=Bron!$B$10,'Bouwkost UITB'!$AG20,IF($X$4=Bron!$B$11,'Bouwkost VERB'!$AG20,IF($X$4=Bron!$B$12,'Bouwkost IER'!$AG19,IF(OR($X$4=Bron!$B$13,$X$4=Bron!$B$14),'Bouwkost VOLT'!$AG20,IF($X$4=Bron!$C$16,'Bouwkost AK+VERB'!$AG20,0))))))</f>
        <v>0</v>
      </c>
    </row>
    <row r="10" spans="1:121" x14ac:dyDescent="0.3">
      <c r="A10" s="640" t="s">
        <v>421</v>
      </c>
      <c r="B10" s="89">
        <f>IF(OR($B$4=Bron!$B$8,$B$4=Bron!$B$9,$B$4=Bron!$B$15),'Bouwkost NB'!$K22,IF($B$4=Bron!$B$10,'Bouwkost UITB'!$K21,IF($B$4=Bron!$B$11,'Bouwkost VERB'!$K21,IF($B$4=Bron!$B$12,'Bouwkost IER'!$K20,IF(OR($B$4=Bron!$B$13,$B$4=Bron!$B$14),'Bouwkost VOLT'!$K21,IF($B$4=Bron!$C$16,'Bouwkost AK+VERB'!$K21,0))))))</f>
        <v>0</v>
      </c>
      <c r="D10" s="89">
        <f>IF(OR($D$4=Bron!$B$8,$D$4=Bron!$B$9,$D$4=Bron!$B$15),'Bouwkost NB'!$K22,IF($D$4=Bron!$B$10,'Bouwkost UITB'!$K21,IF($D$4=Bron!$B$11,'Bouwkost VERB'!$K21,IF($D$4=Bron!$B$12,'Bouwkost IER'!$K20,IF(OR($D$4=Bron!$B$13,$D$4=Bron!$B$14),'Bouwkost VOLT'!$K21,IF($D$4=Bron!$C$16,'Bouwkost AK+VERB'!$K21,0))))))</f>
        <v>0</v>
      </c>
      <c r="F10" s="89">
        <f>IF(OR($F$4=Bron!$B$8,$F$4=Bron!$B$9,$F$4=Bron!$B$15),'Bouwkost NB'!$K22,IF($F$4=Bron!$B$10,'Bouwkost UITB'!$K21,IF($F$4=Bron!$B$11,'Bouwkost VERB'!$K21,IF($F$4=Bron!$B$12,'Bouwkost IER'!$K20,IF(OR($F$4=Bron!$B$13,$F$4=Bron!$B$14),'Bouwkost VOLT'!$K21,IF($F$4=Bron!$C$16,'Bouwkost AK+VERB'!$K21,0))))))</f>
        <v>0</v>
      </c>
      <c r="H10" s="89">
        <f>IF(OR($H$4=Bron!$B$8,$H$4=Bron!$B$9,$H$4=Bron!$B$15),'Bouwkost NB'!$K22,IF($H$4=Bron!$B$10,'Bouwkost UITB'!$K21,IF($H$4=Bron!$B$11,'Bouwkost VERB'!$K21,IF($H$4=Bron!$B$12,'Bouwkost IER'!$K20,IF(OR($H$4=Bron!$B$13,$H$4=Bron!$B$14),'Bouwkost VOLT'!$K21,IF($H$4=Bron!$C$16,'Bouwkost AK+VERB'!$K21,0))))))</f>
        <v>0</v>
      </c>
      <c r="J10" s="89">
        <f>IF(OR($J$4=Bron!$B$8,$J$4=Bron!$B$9,$J$4=Bron!$B$15),'Bouwkost NB'!$V22,IF($J$4=Bron!$B$10,'Bouwkost UITB'!$V21,IF($J$4=Bron!$B$11,'Bouwkost VERB'!$V21,IF($J$4=Bron!$B$12,'Bouwkost IER'!$V20,IF(OR($J$4=Bron!$B$13,$J$4=Bron!$B$14),'Bouwkost VOLT'!$V21,IF($J$4=Bron!$C$16,'Bouwkost AK+VERB'!$V21,0))))))</f>
        <v>0</v>
      </c>
      <c r="L10" s="89">
        <f>IF(OR($L$4=Bron!$B$8,$L$4=Bron!$B$9,$L$4=Bron!$B$15),'Bouwkost NB'!$V22,IF($L$4=Bron!$B$10,'Bouwkost UITB'!$V21,IF($L$4=Bron!$B$11,'Bouwkost VERB'!$V21,IF($L$4=Bron!$B$12,'Bouwkost IER'!$V20,IF(OR($L$4=Bron!$B$13,$L$4=Bron!$B$14),'Bouwkost VOLT'!$V21,IF($L$4=Bron!$C$16,'Bouwkost AK+VERB'!$V21,0))))))</f>
        <v>0</v>
      </c>
      <c r="N10" s="89">
        <f>IF(OR($N$4=Bron!$B$8,$N$4=Bron!$B$9,,$N$4=Bron!$B$15),'Bouwkost NB'!$V22,IF($N$4=Bron!$B$10,'Bouwkost UITB'!$V21,IF($N$4=Bron!$B$11,'Bouwkost VERB'!$V21,IF($N$4=Bron!$B$12,'Bouwkost IER'!$V20,IF(OR($N$4=Bron!$B$13,$N$4=Bron!$B$14),'Bouwkost VOLT'!$V21,IF($N$4=Bron!$C$16,'Bouwkost AK+VERB'!$V21,0))))))</f>
        <v>0</v>
      </c>
      <c r="P10" s="89">
        <f>IF(OR($P$4=Bron!$B$8,$P$4=Bron!$B$9,$P$4=Bron!$B$15),'Bouwkost NB'!$V22,IF($P$4=Bron!$B$10,'Bouwkost UITB'!$V21,IF($P$4=Bron!$B$11,'Bouwkost VERB'!$V21,IF($P$4=Bron!$B$12,'Bouwkost IER'!$V20,IF(OR($P$4=Bron!$B$13,$P$4=Bron!$B$14),'Bouwkost VOLT'!$V21,IF($P$4=Bron!$C$16,'Bouwkost AK+VERB'!$V21,0))))))</f>
        <v>0</v>
      </c>
      <c r="R10" s="89">
        <f>IF(OR($R$4=Bron!$B$8,$R$4=Bron!$B$9,$R$4=Bron!$B$15),'Bouwkost NB'!$AG22,IF($R$4=Bron!$B$10,'Bouwkost UITB'!$AG21,IF($R$4=Bron!$B$11,'Bouwkost VERB'!$AG21,IF($R$4=Bron!$B$12,'Bouwkost IER'!$AG20,IF(OR($R$4=Bron!$B$13,$R$4=Bron!$B$14),'Bouwkost VOLT'!$AG21,IF($R$4=Bron!$C$16,'Bouwkost AK+VERB'!$AG21,0))))))</f>
        <v>0</v>
      </c>
      <c r="T10" s="89">
        <f>IF(OR($T$4=Bron!$B$8,$T$4=Bron!$B$9,$T$4=Bron!$B$15),'Bouwkost NB'!$AG22,IF($T$4=Bron!$B$10,'Bouwkost UITB'!$AG21,IF($T$4=Bron!$B$11,'Bouwkost VERB'!$AG21,IF($T$4=Bron!$B$12,'Bouwkost IER'!$AG20,IF(OR($T$4=Bron!$B$13,$T$4=Bron!$B$14),'Bouwkost VOLT'!$AG21,IF($T$4=Bron!$C$16,'Bouwkost AK+VERB'!$AG21,0))))))</f>
        <v>0</v>
      </c>
      <c r="V10" s="89">
        <f>IF(OR($V$4=Bron!$B$8,$V$4=Bron!$B$9,$V$4=Bron!$B$15),'Bouwkost NB'!$AG22,IF($V$4=Bron!$B$10,'Bouwkost UITB'!$AG21,IF($V$4=Bron!$B$11,'Bouwkost VERB'!$AG21,IF($V$4=Bron!$B$12,'Bouwkost IER'!$AG20,IF(OR($V$4=Bron!$B$13,$V$4=Bron!$B$14),'Bouwkost VOLT'!$AG21,IF($V$4=Bron!$C$16,'Bouwkost AK+VERB'!$AG21,0))))))</f>
        <v>0</v>
      </c>
      <c r="X10" s="89">
        <f>IF(OR($X$4=Bron!$B$8,$X$4=Bron!$B$9,$X$4=Bron!$B$15),'Bouwkost NB'!$AG22,IF($X$4=Bron!$B$10,'Bouwkost UITB'!$AG21,IF($X$4=Bron!$B$11,'Bouwkost VERB'!$AG21,IF($X$4=Bron!$B$12,'Bouwkost IER'!$AG20,IF(OR($X$4=Bron!$B$13,$X$4=Bron!$B$14),'Bouwkost VOLT'!$AG21,IF($X$4=Bron!$C$16,'Bouwkost AK+VERB'!$AG21,0))))))</f>
        <v>0</v>
      </c>
    </row>
    <row r="11" spans="1:121" x14ac:dyDescent="0.3">
      <c r="A11" s="640" t="s">
        <v>422</v>
      </c>
      <c r="B11" s="89">
        <f>IF(OR($B$4=Bron!$B$8,$B$4=Bron!$B$9,$B$4=Bron!$B$15),'Bouwkost NB'!$K23,IF($B$4=Bron!$B$10,'Bouwkost UITB'!$K22,IF($B$4=Bron!$B$11,'Bouwkost VERB'!$K22,IF($B$4=Bron!$B$12,'Bouwkost IER'!$K21,IF(OR($B$4=Bron!$B$13,$B$4=Bron!$B$14),'Bouwkost VOLT'!$K22,IF($B$4=Bron!$C$16,'Bouwkost AK+VERB'!$K22,0))))))</f>
        <v>0</v>
      </c>
      <c r="D11" s="89">
        <f>IF(OR($D$4=Bron!$B$8,$D$4=Bron!$B$9,$D$4=Bron!$B$15),'Bouwkost NB'!$K23,IF($D$4=Bron!$B$10,'Bouwkost UITB'!$K22,IF($D$4=Bron!$B$11,'Bouwkost VERB'!$K22,IF($D$4=Bron!$B$12,'Bouwkost IER'!$K21,IF(OR($D$4=Bron!$B$13,$D$4=Bron!$B$14),'Bouwkost VOLT'!$K22,IF($D$4=Bron!$C$16,'Bouwkost AK+VERB'!$K22,0))))))</f>
        <v>0</v>
      </c>
      <c r="F11" s="89">
        <f>IF(OR($F$4=Bron!$B$8,$F$4=Bron!$B$9,$F$4=Bron!$B$15),'Bouwkost NB'!$K23,IF($F$4=Bron!$B$10,'Bouwkost UITB'!$K22,IF($F$4=Bron!$B$11,'Bouwkost VERB'!$K22,IF($F$4=Bron!$B$12,'Bouwkost IER'!$K21,IF(OR($F$4=Bron!$B$13,$F$4=Bron!$B$14),'Bouwkost VOLT'!$K22,IF($F$4=Bron!$C$16,'Bouwkost AK+VERB'!$K22,0))))))</f>
        <v>0</v>
      </c>
      <c r="H11" s="89">
        <f>IF(OR($H$4=Bron!$B$8,$H$4=Bron!$B$9,$H$4=Bron!$B$15),'Bouwkost NB'!$K23,IF($H$4=Bron!$B$10,'Bouwkost UITB'!$K22,IF($H$4=Bron!$B$11,'Bouwkost VERB'!$K22,IF($H$4=Bron!$B$12,'Bouwkost IER'!$K21,IF(OR($H$4=Bron!$B$13,$H$4=Bron!$B$14),'Bouwkost VOLT'!$K22,IF($H$4=Bron!$C$16,'Bouwkost AK+VERB'!$K22,0))))))</f>
        <v>0</v>
      </c>
      <c r="J11" s="89">
        <f>IF(OR($J$4=Bron!$B$8,$J$4=Bron!$B$9,$J$4=Bron!$B$15),'Bouwkost NB'!$V23,IF($J$4=Bron!$B$10,'Bouwkost UITB'!$V22,IF($J$4=Bron!$B$11,'Bouwkost VERB'!$V22,IF($J$4=Bron!$B$12,'Bouwkost IER'!$V21,IF(OR($J$4=Bron!$B$13,$J$4=Bron!$B$14),'Bouwkost VOLT'!$V22,IF($J$4=Bron!$C$16,'Bouwkost AK+VERB'!$V22,0))))))</f>
        <v>0</v>
      </c>
      <c r="L11" s="89">
        <f>IF(OR($L$4=Bron!$B$8,$L$4=Bron!$B$9,$L$4=Bron!$B$15),'Bouwkost NB'!$V23,IF($L$4=Bron!$B$10,'Bouwkost UITB'!$V22,IF($L$4=Bron!$B$11,'Bouwkost VERB'!$V22,IF($L$4=Bron!$B$12,'Bouwkost IER'!$V21,IF(OR($L$4=Bron!$B$13,$L$4=Bron!$B$14),'Bouwkost VOLT'!$V22,IF($L$4=Bron!$C$16,'Bouwkost AK+VERB'!$V22,0))))))</f>
        <v>0</v>
      </c>
      <c r="N11" s="89">
        <f>IF(OR($N$4=Bron!$B$8,$N$4=Bron!$B$9,,$N$4=Bron!$B$15),'Bouwkost NB'!$V23,IF($N$4=Bron!$B$10,'Bouwkost UITB'!$V22,IF($N$4=Bron!$B$11,'Bouwkost VERB'!$V22,IF($N$4=Bron!$B$12,'Bouwkost IER'!$V21,IF(OR($N$4=Bron!$B$13,$N$4=Bron!$B$14),'Bouwkost VOLT'!$V22,IF($N$4=Bron!$C$16,'Bouwkost AK+VERB'!$V22,0))))))</f>
        <v>0</v>
      </c>
      <c r="P11" s="89">
        <f>IF(OR($P$4=Bron!$B$8,$P$4=Bron!$B$9,$P$4=Bron!$B$15),'Bouwkost NB'!$V23,IF($P$4=Bron!$B$10,'Bouwkost UITB'!$V22,IF($P$4=Bron!$B$11,'Bouwkost VERB'!$V22,IF($P$4=Bron!$B$12,'Bouwkost IER'!$V21,IF(OR($P$4=Bron!$B$13,$P$4=Bron!$B$14),'Bouwkost VOLT'!$V22,IF($P$4=Bron!$C$16,'Bouwkost AK+VERB'!$V22,0))))))</f>
        <v>0</v>
      </c>
      <c r="R11" s="89">
        <f>IF(OR($R$4=Bron!$B$8,$R$4=Bron!$B$9,$R$4=Bron!$B$15),'Bouwkost NB'!$AG23,IF($R$4=Bron!$B$10,'Bouwkost UITB'!$AG22,IF($R$4=Bron!$B$11,'Bouwkost VERB'!$AG22,IF($R$4=Bron!$B$12,'Bouwkost IER'!$AG21,IF(OR($R$4=Bron!$B$13,$R$4=Bron!$B$14),'Bouwkost VOLT'!$AG22,IF($R$4=Bron!$C$16,'Bouwkost AK+VERB'!$AG22,0))))))</f>
        <v>0</v>
      </c>
      <c r="T11" s="89">
        <f>IF(OR($T$4=Bron!$B$8,$T$4=Bron!$B$9,$T$4=Bron!$B$15),'Bouwkost NB'!$AG23,IF($T$4=Bron!$B$10,'Bouwkost UITB'!$AG22,IF($T$4=Bron!$B$11,'Bouwkost VERB'!$AG22,IF($T$4=Bron!$B$12,'Bouwkost IER'!$AG21,IF(OR($T$4=Bron!$B$13,$T$4=Bron!$B$14),'Bouwkost VOLT'!$AG22,IF($T$4=Bron!$C$16,'Bouwkost AK+VERB'!$AG22,0))))))</f>
        <v>0</v>
      </c>
      <c r="V11" s="89">
        <f>IF(OR($V$4=Bron!$B$8,$V$4=Bron!$B$9,$V$4=Bron!$B$15),'Bouwkost NB'!$AG23,IF($V$4=Bron!$B$10,'Bouwkost UITB'!$AG22,IF($V$4=Bron!$B$11,'Bouwkost VERB'!$AG22,IF($V$4=Bron!$B$12,'Bouwkost IER'!$AG21,IF(OR($V$4=Bron!$B$13,$V$4=Bron!$B$14),'Bouwkost VOLT'!$AG22,IF($V$4=Bron!$C$16,'Bouwkost AK+VERB'!$AG22,0))))))</f>
        <v>0</v>
      </c>
      <c r="X11" s="89">
        <f>IF(OR($X$4=Bron!$B$8,$X$4=Bron!$B$9,$X$4=Bron!$B$15),'Bouwkost NB'!$AG23,IF($X$4=Bron!$B$10,'Bouwkost UITB'!$AG22,IF($X$4=Bron!$B$11,'Bouwkost VERB'!$AG22,IF($X$4=Bron!$B$12,'Bouwkost IER'!$AG21,IF(OR($X$4=Bron!$B$13,$X$4=Bron!$B$14),'Bouwkost VOLT'!$AG22,IF($X$4=Bron!$C$16,'Bouwkost AK+VERB'!$AG22,0))))))</f>
        <v>0</v>
      </c>
    </row>
    <row r="12" spans="1:121" x14ac:dyDescent="0.3">
      <c r="A12" s="640" t="s">
        <v>423</v>
      </c>
      <c r="B12" s="89">
        <f>IF(OR($B$4=Bron!$B$8,$B$4=Bron!$B$9,$B$4=Bron!$B$15),'Bouwkost NB'!$K24,IF($B$4=Bron!$B$10,'Bouwkost UITB'!$K23,IF($B$4=Bron!$B$11,'Bouwkost VERB'!$K23,IF($B$4=Bron!$B$12,'Bouwkost IER'!$K22,IF(OR($B$4=Bron!$B$13,$B$4=Bron!$B$14),'Bouwkost VOLT'!$K23,IF($B$4=Bron!$C$16,'Bouwkost AK+VERB'!$K23,0))))))</f>
        <v>0</v>
      </c>
      <c r="D12" s="89">
        <f>IF(OR($D$4=Bron!$B$8,$D$4=Bron!$B$9,$D$4=Bron!$B$15),'Bouwkost NB'!$K24,IF($D$4=Bron!$B$10,'Bouwkost UITB'!$K23,IF($D$4=Bron!$B$11,'Bouwkost VERB'!$K23,IF($D$4=Bron!$B$12,'Bouwkost IER'!$K22,IF(OR($D$4=Bron!$B$13,$D$4=Bron!$B$14),'Bouwkost VOLT'!$K23,IF($D$4=Bron!$C$16,'Bouwkost AK+VERB'!$K23,0))))))</f>
        <v>0</v>
      </c>
      <c r="F12" s="89">
        <f>IF(OR($F$4=Bron!$B$8,$F$4=Bron!$B$9,$F$4=Bron!$B$15),'Bouwkost NB'!$K24,IF($F$4=Bron!$B$10,'Bouwkost UITB'!$K23,IF($F$4=Bron!$B$11,'Bouwkost VERB'!$K23,IF($F$4=Bron!$B$12,'Bouwkost IER'!$K22,IF(OR($F$4=Bron!$B$13,$F$4=Bron!$B$14),'Bouwkost VOLT'!$K23,IF($F$4=Bron!$C$16,'Bouwkost AK+VERB'!$K23,0))))))</f>
        <v>0</v>
      </c>
      <c r="H12" s="89">
        <f>IF(OR($H$4=Bron!$B$8,$H$4=Bron!$B$9,$H$4=Bron!$B$15),'Bouwkost NB'!$K24,IF($H$4=Bron!$B$10,'Bouwkost UITB'!$K23,IF($H$4=Bron!$B$11,'Bouwkost VERB'!$K23,IF($H$4=Bron!$B$12,'Bouwkost IER'!$K22,IF(OR($H$4=Bron!$B$13,$H$4=Bron!$B$14),'Bouwkost VOLT'!$K23,IF($H$4=Bron!$C$16,'Bouwkost AK+VERB'!$K23,0))))))</f>
        <v>0</v>
      </c>
      <c r="J12" s="89">
        <f>IF(OR($J$4=Bron!$B$8,$J$4=Bron!$B$9,$J$4=Bron!$B$15),'Bouwkost NB'!$V24,IF($J$4=Bron!$B$10,'Bouwkost UITB'!$V23,IF($J$4=Bron!$B$11,'Bouwkost VERB'!$V23,IF($J$4=Bron!$B$12,'Bouwkost IER'!$V22,IF(OR($J$4=Bron!$B$13,$J$4=Bron!$B$14),'Bouwkost VOLT'!$V23,IF($J$4=Bron!$C$16,'Bouwkost AK+VERB'!$V23,0))))))</f>
        <v>0</v>
      </c>
      <c r="L12" s="89">
        <f>IF(OR($L$4=Bron!$B$8,$L$4=Bron!$B$9,$L$4=Bron!$B$15),'Bouwkost NB'!$V24,IF($L$4=Bron!$B$10,'Bouwkost UITB'!$V23,IF($L$4=Bron!$B$11,'Bouwkost VERB'!$V23,IF($L$4=Bron!$B$12,'Bouwkost IER'!$V22,IF(OR($L$4=Bron!$B$13,$L$4=Bron!$B$14),'Bouwkost VOLT'!$V23,IF($L$4=Bron!$C$16,'Bouwkost AK+VERB'!$V23,0))))))</f>
        <v>0</v>
      </c>
      <c r="N12" s="89">
        <f>IF(OR($N$4=Bron!$B$8,$N$4=Bron!$B$9,,$N$4=Bron!$B$15),'Bouwkost NB'!$V24,IF($N$4=Bron!$B$10,'Bouwkost UITB'!$V23,IF($N$4=Bron!$B$11,'Bouwkost VERB'!$V23,IF($N$4=Bron!$B$12,'Bouwkost IER'!$V22,IF(OR($N$4=Bron!$B$13,$N$4=Bron!$B$14),'Bouwkost VOLT'!$V23,IF($N$4=Bron!$C$16,'Bouwkost AK+VERB'!$V23,0))))))</f>
        <v>0</v>
      </c>
      <c r="P12" s="89">
        <f>IF(OR($P$4=Bron!$B$8,$P$4=Bron!$B$9,$P$4=Bron!$B$15),'Bouwkost NB'!$V24,IF($P$4=Bron!$B$10,'Bouwkost UITB'!$V23,IF($P$4=Bron!$B$11,'Bouwkost VERB'!$V23,IF($P$4=Bron!$B$12,'Bouwkost IER'!$V22,IF(OR($P$4=Bron!$B$13,$P$4=Bron!$B$14),'Bouwkost VOLT'!$V23,IF($P$4=Bron!$C$16,'Bouwkost AK+VERB'!$V23,0))))))</f>
        <v>0</v>
      </c>
      <c r="R12" s="89">
        <f>IF(OR($R$4=Bron!$B$8,$R$4=Bron!$B$9,$R$4=Bron!$B$15),'Bouwkost NB'!$AG24,IF($R$4=Bron!$B$10,'Bouwkost UITB'!$AG23,IF($R$4=Bron!$B$11,'Bouwkost VERB'!$AG23,IF($R$4=Bron!$B$12,'Bouwkost IER'!$AG22,IF(OR($R$4=Bron!$B$13,$R$4=Bron!$B$14),'Bouwkost VOLT'!$AG23,IF($R$4=Bron!$C$16,'Bouwkost AK+VERB'!$AG23,0))))))</f>
        <v>0</v>
      </c>
      <c r="T12" s="89">
        <f>IF(OR($T$4=Bron!$B$8,$T$4=Bron!$B$9,$T$4=Bron!$B$15),'Bouwkost NB'!$AG24,IF($T$4=Bron!$B$10,'Bouwkost UITB'!$AG23,IF($T$4=Bron!$B$11,'Bouwkost VERB'!$AG23,IF($T$4=Bron!$B$12,'Bouwkost IER'!$AG22,IF(OR($T$4=Bron!$B$13,$T$4=Bron!$B$14),'Bouwkost VOLT'!$AG23,IF($T$4=Bron!$C$16,'Bouwkost AK+VERB'!$AG23,0))))))</f>
        <v>0</v>
      </c>
      <c r="V12" s="89">
        <f>IF(OR($V$4=Bron!$B$8,$V$4=Bron!$B$9,$V$4=Bron!$B$15),'Bouwkost NB'!$AG24,IF($V$4=Bron!$B$10,'Bouwkost UITB'!$AG23,IF($V$4=Bron!$B$11,'Bouwkost VERB'!$AG23,IF($V$4=Bron!$B$12,'Bouwkost IER'!$AG22,IF(OR($V$4=Bron!$B$13,$V$4=Bron!$B$14),'Bouwkost VOLT'!$AG23,IF($V$4=Bron!$C$16,'Bouwkost AK+VERB'!$AG23,0))))))</f>
        <v>0</v>
      </c>
      <c r="X12" s="89">
        <f>IF(OR($X$4=Bron!$B$8,$X$4=Bron!$B$9,$X$4=Bron!$B$15),'Bouwkost NB'!$AG24,IF($X$4=Bron!$B$10,'Bouwkost UITB'!$AG23,IF($X$4=Bron!$B$11,'Bouwkost VERB'!$AG23,IF($X$4=Bron!$B$12,'Bouwkost IER'!$AG22,IF(OR($X$4=Bron!$B$13,$X$4=Bron!$B$14),'Bouwkost VOLT'!$AG23,IF($X$4=Bron!$C$16,'Bouwkost AK+VERB'!$AG23,0))))))</f>
        <v>0</v>
      </c>
    </row>
    <row r="13" spans="1:121" x14ac:dyDescent="0.3">
      <c r="A13" s="336" t="s">
        <v>123</v>
      </c>
      <c r="B13" s="810">
        <f>IF(OR($B$4=Bron!$B$8,$B$4=Bron!$B$9,$B$4=Bron!$B$15),'Bouwkost NB'!$K25,IF($B$4=Bron!$B$10,'Bouwkost UITB'!$K24,IF($B$4=Bron!$B$11,'Bouwkost VERB'!$K24,IF($B$4=Bron!$B$12,'Bouwkost IER'!$K23,IF(OR($B$4=Bron!$B$13,$B$4=Bron!$B$14),'Bouwkost VOLT'!$K24,IF($B$4=Bron!$C$16,'Bouwkost AK+VERB'!$K24,0))))))</f>
        <v>0</v>
      </c>
      <c r="C13" s="810"/>
      <c r="D13" s="810">
        <f>IF(OR($D$4=Bron!$B$8,$D$4=Bron!$B$9,$D$4=Bron!$B$15),'Bouwkost NB'!$K25,IF($D$4=Bron!$B$10,'Bouwkost UITB'!$K24,IF($D$4=Bron!$B$11,'Bouwkost VERB'!$K24,IF($D$4=Bron!$B$12,'Bouwkost IER'!$K23,IF(OR($D$4=Bron!$B$13,$D$4=Bron!$B$14),'Bouwkost VOLT'!$K24,IF($D$4=Bron!$C$16,'Bouwkost AK+VERB'!$K24,0))))))</f>
        <v>0</v>
      </c>
      <c r="E13" s="810"/>
      <c r="F13" s="810">
        <f>IF(OR($F$4=Bron!$B$8,$F$4=Bron!$B$9,$F$4=Bron!$B$15),'Bouwkost NB'!$K25,IF($F$4=Bron!$B$10,'Bouwkost UITB'!$K24,IF($F$4=Bron!$B$11,'Bouwkost VERB'!$K24,IF($F$4=Bron!$B$12,'Bouwkost IER'!$K23,IF(OR($F$4=Bron!$B$13,$F$4=Bron!$B$14),'Bouwkost VOLT'!$K24,IF($F$4=Bron!$C$16,'Bouwkost AK+VERB'!$K24,0))))))</f>
        <v>0</v>
      </c>
      <c r="G13" s="810"/>
      <c r="H13" s="810">
        <f>IF(OR($H$4=Bron!$B$8,$H$4=Bron!$B$9,$H$4=Bron!$B$15),'Bouwkost NB'!$K25,IF($H$4=Bron!$B$10,'Bouwkost UITB'!$K24,IF($H$4=Bron!$B$11,'Bouwkost VERB'!$K24,IF($H$4=Bron!$B$12,'Bouwkost IER'!$K23,IF(OR($H$4=Bron!$B$13,$H$4=Bron!$B$14),'Bouwkost VOLT'!$K24,IF($H$4=Bron!$C$16,'Bouwkost AK+VERB'!$K24,0))))))</f>
        <v>0</v>
      </c>
      <c r="I13" s="810"/>
      <c r="J13" s="810">
        <f>IF(OR($J$4=Bron!$B$8,$J$4=Bron!$B$9,$J$4=Bron!$B$15),'Bouwkost NB'!$V25,IF($J$4=Bron!$B$10,'Bouwkost UITB'!$V24,IF($J$4=Bron!$B$11,'Bouwkost VERB'!$V24,IF($J$4=Bron!$B$12,'Bouwkost IER'!$V23,IF(OR($J$4=Bron!$B$13,$J$4=Bron!$B$14),'Bouwkost VOLT'!$V24,IF($J$4=Bron!$C$16,'Bouwkost AK+VERB'!$V24,0))))))</f>
        <v>0</v>
      </c>
      <c r="K13" s="810"/>
      <c r="L13" s="810">
        <f>IF(OR($L$4=Bron!$B$8,$L$4=Bron!$B$9,$L$4=Bron!$B$15),'Bouwkost NB'!$V25,IF($L$4=Bron!$B$10,'Bouwkost UITB'!$V24,IF($L$4=Bron!$B$11,'Bouwkost VERB'!$V24,IF($L$4=Bron!$B$12,'Bouwkost IER'!$V23,IF(OR($L$4=Bron!$B$13,$L$4=Bron!$B$14),'Bouwkost VOLT'!$V24,IF($L$4=Bron!$C$16,'Bouwkost AK+VERB'!$V24,0))))))</f>
        <v>0</v>
      </c>
      <c r="M13" s="810"/>
      <c r="N13" s="810">
        <f>IF(OR($N$4=Bron!$B$8,$N$4=Bron!$B$9,,$N$4=Bron!$B$15),'Bouwkost NB'!$V25,IF($N$4=Bron!$B$10,'Bouwkost UITB'!$V24,IF($N$4=Bron!$B$11,'Bouwkost VERB'!$V24,IF($N$4=Bron!$B$12,'Bouwkost IER'!$V23,IF(OR($N$4=Bron!$B$13,$N$4=Bron!$B$14),'Bouwkost VOLT'!$V24,IF($N$4=Bron!$C$16,'Bouwkost AK+VERB'!$V24,0))))))</f>
        <v>0</v>
      </c>
      <c r="O13" s="810"/>
      <c r="P13" s="810">
        <f>IF(OR($P$4=Bron!$B$8,$P$4=Bron!$B$9,$P$4=Bron!$B$15),'Bouwkost NB'!$V25,IF($P$4=Bron!$B$10,'Bouwkost UITB'!$V24,IF($P$4=Bron!$B$11,'Bouwkost VERB'!$V24,IF($P$4=Bron!$B$12,'Bouwkost IER'!$V23,IF(OR($P$4=Bron!$B$13,$P$4=Bron!$B$14),'Bouwkost VOLT'!$V24,IF($P$4=Bron!$C$16,'Bouwkost AK+VERB'!$V24,0))))))</f>
        <v>0</v>
      </c>
      <c r="Q13" s="810"/>
      <c r="R13" s="810">
        <f>IF(OR($R$4=Bron!$B$8,$R$4=Bron!$B$9,$R$4=Bron!$B$15),'Bouwkost NB'!$AG25,IF($R$4=Bron!$B$10,'Bouwkost UITB'!$AG24,IF($R$4=Bron!$B$11,'Bouwkost VERB'!$AG24,IF($R$4=Bron!$B$12,'Bouwkost IER'!$AG23,IF(OR($R$4=Bron!$B$13,$R$4=Bron!$B$14),'Bouwkost VOLT'!$AG24,IF($R$4=Bron!$C$16,'Bouwkost AK+VERB'!$AG24,0))))))</f>
        <v>0</v>
      </c>
      <c r="S13" s="810"/>
      <c r="T13" s="810">
        <f>IF(OR($T$4=Bron!$B$8,$T$4=Bron!$B$9,$T$4=Bron!$B$15),'Bouwkost NB'!$AG25,IF($T$4=Bron!$B$10,'Bouwkost UITB'!$AG24,IF($T$4=Bron!$B$11,'Bouwkost VERB'!$AG24,IF($T$4=Bron!$B$12,'Bouwkost IER'!$AG23,IF(OR($T$4=Bron!$B$13,$T$4=Bron!$B$14),'Bouwkost VOLT'!$AG24,IF($T$4=Bron!$C$16,'Bouwkost AK+VERB'!$AG24,0))))))</f>
        <v>0</v>
      </c>
      <c r="U13" s="810"/>
      <c r="V13" s="810">
        <f>IF(OR($V$4=Bron!$B$8,$V$4=Bron!$B$9,$V$4=Bron!$B$15),'Bouwkost NB'!$AG25,IF($V$4=Bron!$B$10,'Bouwkost UITB'!$AG24,IF($V$4=Bron!$B$11,'Bouwkost VERB'!$AG24,IF($V$4=Bron!$B$12,'Bouwkost IER'!$AG23,IF(OR($V$4=Bron!$B$13,$V$4=Bron!$B$14),'Bouwkost VOLT'!$AG24,IF($V$4=Bron!$C$16,'Bouwkost AK+VERB'!$AG24,0))))))</f>
        <v>0</v>
      </c>
      <c r="W13" s="810"/>
      <c r="X13" s="810">
        <f>IF(OR($X$4=Bron!$B$8,$X$4=Bron!$B$9,$X$4=Bron!$B$15),'Bouwkost NB'!$AG25,IF($X$4=Bron!$B$10,'Bouwkost UITB'!$AG24,IF($X$4=Bron!$B$11,'Bouwkost VERB'!$AG24,IF($X$4=Bron!$B$12,'Bouwkost IER'!$AG23,IF(OR($X$4=Bron!$B$13,$X$4=Bron!$B$14),'Bouwkost VOLT'!$AG24,IF($X$4=Bron!$C$16,'Bouwkost AK+VERB'!$AG24,0))))))</f>
        <v>0</v>
      </c>
    </row>
    <row r="14" spans="1:121" x14ac:dyDescent="0.3">
      <c r="A14" s="640" t="s">
        <v>425</v>
      </c>
      <c r="B14" s="89">
        <f>IF(OR($B$4=Bron!$B$8,$B$4=Bron!$B$9,$B$4=Bron!$B$15),'Bouwkost NB'!$K26,IF($B$4=Bron!$B$10,'Bouwkost UITB'!$K25,IF($B$4=Bron!$B$11,'Bouwkost VERB'!$K25,IF($B$4=Bron!$B$12,'Bouwkost IER'!$K24,IF(OR($B$4=Bron!$B$13,$B$4=Bron!$B$14),'Bouwkost VOLT'!$K25,IF($B$4=Bron!$C$16,'Bouwkost AK+VERB'!$K25,0))))))</f>
        <v>0</v>
      </c>
      <c r="D14" s="89">
        <f>IF(OR($D$4=Bron!$B$8,$D$4=Bron!$B$9,$D$4=Bron!$B$15),'Bouwkost NB'!$K26,IF($D$4=Bron!$B$10,'Bouwkost UITB'!$K25,IF($D$4=Bron!$B$11,'Bouwkost VERB'!$K25,IF($D$4=Bron!$B$12,'Bouwkost IER'!$K24,IF(OR($D$4=Bron!$B$13,$D$4=Bron!$B$14),'Bouwkost VOLT'!$K25,IF($D$4=Bron!$C$16,'Bouwkost AK+VERB'!$K25,0))))))</f>
        <v>0</v>
      </c>
      <c r="F14" s="89">
        <f>IF(OR($F$4=Bron!$B$8,$F$4=Bron!$B$9,$F$4=Bron!$B$15),'Bouwkost NB'!$K26,IF($F$4=Bron!$B$10,'Bouwkost UITB'!$K25,IF($F$4=Bron!$B$11,'Bouwkost VERB'!$K25,IF($F$4=Bron!$B$12,'Bouwkost IER'!$K24,IF(OR($F$4=Bron!$B$13,$F$4=Bron!$B$14),'Bouwkost VOLT'!$K25,IF($F$4=Bron!$C$16,'Bouwkost AK+VERB'!$K25,0))))))</f>
        <v>0</v>
      </c>
      <c r="H14" s="89">
        <f>IF(OR($H$4=Bron!$B$8,$H$4=Bron!$B$9,$H$4=Bron!$B$15),'Bouwkost NB'!$K26,IF($H$4=Bron!$B$10,'Bouwkost UITB'!$K25,IF($H$4=Bron!$B$11,'Bouwkost VERB'!$K25,IF($H$4=Bron!$B$12,'Bouwkost IER'!$K24,IF(OR($H$4=Bron!$B$13,$H$4=Bron!$B$14),'Bouwkost VOLT'!$K25,IF($H$4=Bron!$C$16,'Bouwkost AK+VERB'!$K25,0))))))</f>
        <v>0</v>
      </c>
      <c r="J14" s="89">
        <f>IF(OR($J$4=Bron!$B$8,$J$4=Bron!$B$9,$J$4=Bron!$B$15),'Bouwkost NB'!$V26,IF($J$4=Bron!$B$10,'Bouwkost UITB'!$V25,IF($J$4=Bron!$B$11,'Bouwkost VERB'!$V25,IF($J$4=Bron!$B$12,'Bouwkost IER'!$V24,IF(OR($J$4=Bron!$B$13,$J$4=Bron!$B$14),'Bouwkost VOLT'!$V25,IF($J$4=Bron!$C$16,'Bouwkost AK+VERB'!$V25,0))))))</f>
        <v>0</v>
      </c>
      <c r="L14" s="89">
        <f>IF(OR($L$4=Bron!$B$8,$L$4=Bron!$B$9,$L$4=Bron!$B$15),'Bouwkost NB'!$V26,IF($L$4=Bron!$B$10,'Bouwkost UITB'!$V25,IF($L$4=Bron!$B$11,'Bouwkost VERB'!$V25,IF($L$4=Bron!$B$12,'Bouwkost IER'!$V24,IF(OR($L$4=Bron!$B$13,$L$4=Bron!$B$14),'Bouwkost VOLT'!$V25,IF($L$4=Bron!$C$16,'Bouwkost AK+VERB'!$V25,0))))))</f>
        <v>0</v>
      </c>
      <c r="N14" s="89">
        <f>IF(OR($N$4=Bron!$B$8,$N$4=Bron!$B$9,,$N$4=Bron!$B$15),'Bouwkost NB'!$V26,IF($N$4=Bron!$B$10,'Bouwkost UITB'!$V25,IF($N$4=Bron!$B$11,'Bouwkost VERB'!$V25,IF($N$4=Bron!$B$12,'Bouwkost IER'!$V24,IF(OR($N$4=Bron!$B$13,$N$4=Bron!$B$14),'Bouwkost VOLT'!$V25,IF($N$4=Bron!$C$16,'Bouwkost AK+VERB'!$V25,0))))))</f>
        <v>0</v>
      </c>
      <c r="P14" s="89">
        <f>IF(OR($P$4=Bron!$B$8,$P$4=Bron!$B$9,$P$4=Bron!$B$15),'Bouwkost NB'!$V26,IF($P$4=Bron!$B$10,'Bouwkost UITB'!$V25,IF($P$4=Bron!$B$11,'Bouwkost VERB'!$V25,IF($P$4=Bron!$B$12,'Bouwkost IER'!$V24,IF(OR($P$4=Bron!$B$13,$P$4=Bron!$B$14),'Bouwkost VOLT'!$V25,IF($P$4=Bron!$C$16,'Bouwkost AK+VERB'!$V25,0))))))</f>
        <v>0</v>
      </c>
      <c r="R14" s="89">
        <f>IF(OR($R$4=Bron!$B$8,$R$4=Bron!$B$9,$R$4=Bron!$B$15),'Bouwkost NB'!$AG26,IF($R$4=Bron!$B$10,'Bouwkost UITB'!$AG25,IF($R$4=Bron!$B$11,'Bouwkost VERB'!$AG25,IF($R$4=Bron!$B$12,'Bouwkost IER'!$AG24,IF(OR($R$4=Bron!$B$13,$R$4=Bron!$B$14),'Bouwkost VOLT'!$AG25,IF($R$4=Bron!$C$16,'Bouwkost AK+VERB'!$AG25,0))))))</f>
        <v>0</v>
      </c>
      <c r="T14" s="89">
        <f>IF(OR($T$4=Bron!$B$8,$T$4=Bron!$B$9,$T$4=Bron!$B$15),'Bouwkost NB'!$AG26,IF($T$4=Bron!$B$10,'Bouwkost UITB'!$AG25,IF($T$4=Bron!$B$11,'Bouwkost VERB'!$AG25,IF($T$4=Bron!$B$12,'Bouwkost IER'!$AG24,IF(OR($T$4=Bron!$B$13,$T$4=Bron!$B$14),'Bouwkost VOLT'!$AG25,IF($T$4=Bron!$C$16,'Bouwkost AK+VERB'!$AG25,0))))))</f>
        <v>0</v>
      </c>
      <c r="V14" s="89">
        <f>IF(OR($V$4=Bron!$B$8,$V$4=Bron!$B$9,$V$4=Bron!$B$15),'Bouwkost NB'!$AG26,IF($V$4=Bron!$B$10,'Bouwkost UITB'!$AG25,IF($V$4=Bron!$B$11,'Bouwkost VERB'!$AG25,IF($V$4=Bron!$B$12,'Bouwkost IER'!$AG24,IF(OR($V$4=Bron!$B$13,$V$4=Bron!$B$14),'Bouwkost VOLT'!$AG25,IF($V$4=Bron!$C$16,'Bouwkost AK+VERB'!$AG25,0))))))</f>
        <v>0</v>
      </c>
      <c r="X14" s="89">
        <f>IF(OR($X$4=Bron!$B$8,$X$4=Bron!$B$9,$X$4=Bron!$B$15),'Bouwkost NB'!$AG26,IF($X$4=Bron!$B$10,'Bouwkost UITB'!$AG25,IF($X$4=Bron!$B$11,'Bouwkost VERB'!$AG25,IF($X$4=Bron!$B$12,'Bouwkost IER'!$AG24,IF(OR($X$4=Bron!$B$13,$X$4=Bron!$B$14),'Bouwkost VOLT'!$AG25,IF($X$4=Bron!$C$16,'Bouwkost AK+VERB'!$AG25,0))))))</f>
        <v>0</v>
      </c>
    </row>
    <row r="15" spans="1:121" x14ac:dyDescent="0.3">
      <c r="A15" s="640" t="s">
        <v>427</v>
      </c>
      <c r="B15" s="89">
        <f>IF(OR($B$4=Bron!$B$8,$B$4=Bron!$B$9,$B$4=Bron!$B$15),'Bouwkost NB'!$K27,IF($B$4=Bron!$B$10,'Bouwkost UITB'!$K26,IF($B$4=Bron!$B$11,'Bouwkost VERB'!$K26,IF($B$4=Bron!$B$12,'Bouwkost IER'!$K25,IF(OR($B$4=Bron!$B$13,$B$4=Bron!$B$14),'Bouwkost VOLT'!$K26,IF($B$4=Bron!$C$16,'Bouwkost AK+VERB'!$K26,0))))))</f>
        <v>0</v>
      </c>
      <c r="D15" s="89">
        <f>IF(OR($D$4=Bron!$B$8,$D$4=Bron!$B$9,$D$4=Bron!$B$15),'Bouwkost NB'!$K27,IF($D$4=Bron!$B$10,'Bouwkost UITB'!$K26,IF($D$4=Bron!$B$11,'Bouwkost VERB'!$K26,IF($D$4=Bron!$B$12,'Bouwkost IER'!$K25,IF(OR($D$4=Bron!$B$13,$D$4=Bron!$B$14),'Bouwkost VOLT'!$K26,IF($D$4=Bron!$C$16,'Bouwkost AK+VERB'!$K26,0))))))</f>
        <v>0</v>
      </c>
      <c r="F15" s="89">
        <f>IF(OR($F$4=Bron!$B$8,$F$4=Bron!$B$9,$F$4=Bron!$B$15),'Bouwkost NB'!$K27,IF($F$4=Bron!$B$10,'Bouwkost UITB'!$K26,IF($F$4=Bron!$B$11,'Bouwkost VERB'!$K26,IF($F$4=Bron!$B$12,'Bouwkost IER'!$K25,IF(OR($F$4=Bron!$B$13,$F$4=Bron!$B$14),'Bouwkost VOLT'!$K26,IF($F$4=Bron!$C$16,'Bouwkost AK+VERB'!$K26,0))))))</f>
        <v>0</v>
      </c>
      <c r="H15" s="89">
        <f>IF(OR($H$4=Bron!$B$8,$H$4=Bron!$B$9,$H$4=Bron!$B$15),'Bouwkost NB'!$K27,IF($H$4=Bron!$B$10,'Bouwkost UITB'!$K26,IF($H$4=Bron!$B$11,'Bouwkost VERB'!$K26,IF($H$4=Bron!$B$12,'Bouwkost IER'!$K25,IF(OR($H$4=Bron!$B$13,$H$4=Bron!$B$14),'Bouwkost VOLT'!$K26,IF($H$4=Bron!$C$16,'Bouwkost AK+VERB'!$K26,0))))))</f>
        <v>0</v>
      </c>
      <c r="J15" s="89">
        <f>IF(OR($J$4=Bron!$B$8,$J$4=Bron!$B$9,$J$4=Bron!$B$15),'Bouwkost NB'!$V27,IF($J$4=Bron!$B$10,'Bouwkost UITB'!$V26,IF($J$4=Bron!$B$11,'Bouwkost VERB'!$V26,IF($J$4=Bron!$B$12,'Bouwkost IER'!$V25,IF(OR($J$4=Bron!$B$13,$J$4=Bron!$B$14),'Bouwkost VOLT'!$V26,IF($J$4=Bron!$C$16,'Bouwkost AK+VERB'!$V26,0))))))</f>
        <v>0</v>
      </c>
      <c r="L15" s="89">
        <f>IF(OR($L$4=Bron!$B$8,$L$4=Bron!$B$9,$L$4=Bron!$B$15),'Bouwkost NB'!$V27,IF($L$4=Bron!$B$10,'Bouwkost UITB'!$V26,IF($L$4=Bron!$B$11,'Bouwkost VERB'!$V26,IF($L$4=Bron!$B$12,'Bouwkost IER'!$V25,IF(OR($L$4=Bron!$B$13,$L$4=Bron!$B$14),'Bouwkost VOLT'!$V26,IF($L$4=Bron!$C$16,'Bouwkost AK+VERB'!$V26,0))))))</f>
        <v>0</v>
      </c>
      <c r="N15" s="89">
        <f>IF(OR($N$4=Bron!$B$8,$N$4=Bron!$B$9,,$N$4=Bron!$B$15),'Bouwkost NB'!$V27,IF($N$4=Bron!$B$10,'Bouwkost UITB'!$V26,IF($N$4=Bron!$B$11,'Bouwkost VERB'!$V26,IF($N$4=Bron!$B$12,'Bouwkost IER'!$V25,IF(OR($N$4=Bron!$B$13,$N$4=Bron!$B$14),'Bouwkost VOLT'!$V26,IF($N$4=Bron!$C$16,'Bouwkost AK+VERB'!$V26,0))))))</f>
        <v>0</v>
      </c>
      <c r="P15" s="89">
        <f>IF(OR($P$4=Bron!$B$8,$P$4=Bron!$B$9,$P$4=Bron!$B$15),'Bouwkost NB'!$V27,IF($P$4=Bron!$B$10,'Bouwkost UITB'!$V26,IF($P$4=Bron!$B$11,'Bouwkost VERB'!$V26,IF($P$4=Bron!$B$12,'Bouwkost IER'!$V25,IF(OR($P$4=Bron!$B$13,$P$4=Bron!$B$14),'Bouwkost VOLT'!$V26,IF($P$4=Bron!$C$16,'Bouwkost AK+VERB'!$V26,0))))))</f>
        <v>0</v>
      </c>
      <c r="R15" s="89">
        <f>IF(OR($R$4=Bron!$B$8,$R$4=Bron!$B$9,$R$4=Bron!$B$15),'Bouwkost NB'!$AG27,IF($R$4=Bron!$B$10,'Bouwkost UITB'!$AG26,IF($R$4=Bron!$B$11,'Bouwkost VERB'!$AG26,IF($R$4=Bron!$B$12,'Bouwkost IER'!$AG25,IF(OR($R$4=Bron!$B$13,$R$4=Bron!$B$14),'Bouwkost VOLT'!$AG26,IF($R$4=Bron!$C$16,'Bouwkost AK+VERB'!$AG26,0))))))</f>
        <v>0</v>
      </c>
      <c r="T15" s="89">
        <f>IF(OR($T$4=Bron!$B$8,$T$4=Bron!$B$9,$T$4=Bron!$B$15),'Bouwkost NB'!$AG27,IF($T$4=Bron!$B$10,'Bouwkost UITB'!$AG26,IF($T$4=Bron!$B$11,'Bouwkost VERB'!$AG26,IF($T$4=Bron!$B$12,'Bouwkost IER'!$AG25,IF(OR($T$4=Bron!$B$13,$T$4=Bron!$B$14),'Bouwkost VOLT'!$AG26,IF($T$4=Bron!$C$16,'Bouwkost AK+VERB'!$AG26,0))))))</f>
        <v>0</v>
      </c>
      <c r="V15" s="89">
        <f>IF(OR($V$4=Bron!$B$8,$V$4=Bron!$B$9,$V$4=Bron!$B$15),'Bouwkost NB'!$AG27,IF($V$4=Bron!$B$10,'Bouwkost UITB'!$AG26,IF($V$4=Bron!$B$11,'Bouwkost VERB'!$AG26,IF($V$4=Bron!$B$12,'Bouwkost IER'!$AG25,IF(OR($V$4=Bron!$B$13,$V$4=Bron!$B$14),'Bouwkost VOLT'!$AG26,IF($V$4=Bron!$C$16,'Bouwkost AK+VERB'!$AG26,0))))))</f>
        <v>0</v>
      </c>
      <c r="X15" s="89">
        <f>IF(OR($X$4=Bron!$B$8,$X$4=Bron!$B$9,$X$4=Bron!$B$15),'Bouwkost NB'!$AG27,IF($X$4=Bron!$B$10,'Bouwkost UITB'!$AG26,IF($X$4=Bron!$B$11,'Bouwkost VERB'!$AG26,IF($X$4=Bron!$B$12,'Bouwkost IER'!$AG25,IF(OR($X$4=Bron!$B$13,$X$4=Bron!$B$14),'Bouwkost VOLT'!$AG26,IF($X$4=Bron!$C$16,'Bouwkost AK+VERB'!$AG26,0))))))</f>
        <v>0</v>
      </c>
    </row>
    <row r="16" spans="1:121" x14ac:dyDescent="0.3">
      <c r="A16" s="640" t="s">
        <v>428</v>
      </c>
      <c r="B16" s="89">
        <f>IF(OR($B$4=Bron!$B$8,$B$4=Bron!$B$9,$B$4=Bron!$B$15),'Bouwkost NB'!$K28,IF($B$4=Bron!$B$10,'Bouwkost UITB'!$K27,IF($B$4=Bron!$B$11,'Bouwkost VERB'!$K27,IF($B$4=Bron!$B$12,'Bouwkost IER'!$K26,IF(OR($B$4=Bron!$B$13,$B$4=Bron!$B$14),'Bouwkost VOLT'!$K27,IF($B$4=Bron!$C$16,'Bouwkost AK+VERB'!$K27,0))))))</f>
        <v>0</v>
      </c>
      <c r="D16" s="89">
        <f>IF(OR($D$4=Bron!$B$8,$D$4=Bron!$B$9,$D$4=Bron!$B$15),'Bouwkost NB'!$K28,IF($D$4=Bron!$B$10,'Bouwkost UITB'!$K27,IF($D$4=Bron!$B$11,'Bouwkost VERB'!$K27,IF($D$4=Bron!$B$12,'Bouwkost IER'!$K26,IF(OR($D$4=Bron!$B$13,$D$4=Bron!$B$14),'Bouwkost VOLT'!$K27,IF($D$4=Bron!$C$16,'Bouwkost AK+VERB'!$K27,0))))))</f>
        <v>0</v>
      </c>
      <c r="F16" s="89">
        <f>IF(OR($F$4=Bron!$B$8,$F$4=Bron!$B$9,$F$4=Bron!$B$15),'Bouwkost NB'!$K28,IF($F$4=Bron!$B$10,'Bouwkost UITB'!$K27,IF($F$4=Bron!$B$11,'Bouwkost VERB'!$K27,IF($F$4=Bron!$B$12,'Bouwkost IER'!$K26,IF(OR($F$4=Bron!$B$13,$F$4=Bron!$B$14),'Bouwkost VOLT'!$K27,IF($F$4=Bron!$C$16,'Bouwkost AK+VERB'!$K27,0))))))</f>
        <v>0</v>
      </c>
      <c r="H16" s="89">
        <f>IF(OR($H$4=Bron!$B$8,$H$4=Bron!$B$9,$H$4=Bron!$B$15),'Bouwkost NB'!$K28,IF($H$4=Bron!$B$10,'Bouwkost UITB'!$K27,IF($H$4=Bron!$B$11,'Bouwkost VERB'!$K27,IF($H$4=Bron!$B$12,'Bouwkost IER'!$K26,IF(OR($H$4=Bron!$B$13,$H$4=Bron!$B$14),'Bouwkost VOLT'!$K27,IF($H$4=Bron!$C$16,'Bouwkost AK+VERB'!$K27,0))))))</f>
        <v>0</v>
      </c>
      <c r="J16" s="89">
        <f>IF(OR($J$4=Bron!$B$8,$J$4=Bron!$B$9,$J$4=Bron!$B$15),'Bouwkost NB'!$V28,IF($J$4=Bron!$B$10,'Bouwkost UITB'!$V27,IF($J$4=Bron!$B$11,'Bouwkost VERB'!$V27,IF($J$4=Bron!$B$12,'Bouwkost IER'!$V26,IF(OR($J$4=Bron!$B$13,$J$4=Bron!$B$14),'Bouwkost VOLT'!$V27,IF($J$4=Bron!$C$16,'Bouwkost AK+VERB'!$V27,0))))))</f>
        <v>0</v>
      </c>
      <c r="L16" s="89">
        <f>IF(OR($L$4=Bron!$B$8,$L$4=Bron!$B$9,$L$4=Bron!$B$15),'Bouwkost NB'!$V28,IF($L$4=Bron!$B$10,'Bouwkost UITB'!$V27,IF($L$4=Bron!$B$11,'Bouwkost VERB'!$V27,IF($L$4=Bron!$B$12,'Bouwkost IER'!$V26,IF(OR($L$4=Bron!$B$13,$L$4=Bron!$B$14),'Bouwkost VOLT'!$V27,IF($L$4=Bron!$C$16,'Bouwkost AK+VERB'!$V27,0))))))</f>
        <v>0</v>
      </c>
      <c r="N16" s="89">
        <f>IF(OR($N$4=Bron!$B$8,$N$4=Bron!$B$9,,$N$4=Bron!$B$15),'Bouwkost NB'!$V28,IF($N$4=Bron!$B$10,'Bouwkost UITB'!$V27,IF($N$4=Bron!$B$11,'Bouwkost VERB'!$V27,IF($N$4=Bron!$B$12,'Bouwkost IER'!$V26,IF(OR($N$4=Bron!$B$13,$N$4=Bron!$B$14),'Bouwkost VOLT'!$V27,IF($N$4=Bron!$C$16,'Bouwkost AK+VERB'!$V27,0))))))</f>
        <v>0</v>
      </c>
      <c r="P16" s="89">
        <f>IF(OR($P$4=Bron!$B$8,$P$4=Bron!$B$9,$P$4=Bron!$B$15),'Bouwkost NB'!$V28,IF($P$4=Bron!$B$10,'Bouwkost UITB'!$V27,IF($P$4=Bron!$B$11,'Bouwkost VERB'!$V27,IF($P$4=Bron!$B$12,'Bouwkost IER'!$V26,IF(OR($P$4=Bron!$B$13,$P$4=Bron!$B$14),'Bouwkost VOLT'!$V27,IF($P$4=Bron!$C$16,'Bouwkost AK+VERB'!$V27,0))))))</f>
        <v>0</v>
      </c>
      <c r="R16" s="89">
        <f>IF(OR($R$4=Bron!$B$8,$R$4=Bron!$B$9,$R$4=Bron!$B$15),'Bouwkost NB'!$AG28,IF($R$4=Bron!$B$10,'Bouwkost UITB'!$AG27,IF($R$4=Bron!$B$11,'Bouwkost VERB'!$AG27,IF($R$4=Bron!$B$12,'Bouwkost IER'!$AG26,IF(OR($R$4=Bron!$B$13,$R$4=Bron!$B$14),'Bouwkost VOLT'!$AG27,IF($R$4=Bron!$C$16,'Bouwkost AK+VERB'!$AG27,0))))))</f>
        <v>0</v>
      </c>
      <c r="T16" s="89">
        <f>IF(OR($T$4=Bron!$B$8,$T$4=Bron!$B$9,$T$4=Bron!$B$15),'Bouwkost NB'!$AG28,IF($T$4=Bron!$B$10,'Bouwkost UITB'!$AG27,IF($T$4=Bron!$B$11,'Bouwkost VERB'!$AG27,IF($T$4=Bron!$B$12,'Bouwkost IER'!$AG26,IF(OR($T$4=Bron!$B$13,$T$4=Bron!$B$14),'Bouwkost VOLT'!$AG27,IF($T$4=Bron!$C$16,'Bouwkost AK+VERB'!$AG27,0))))))</f>
        <v>0</v>
      </c>
      <c r="V16" s="89">
        <f>IF(OR($V$4=Bron!$B$8,$V$4=Bron!$B$9,$V$4=Bron!$B$15),'Bouwkost NB'!$AG28,IF($V$4=Bron!$B$10,'Bouwkost UITB'!$AG27,IF($V$4=Bron!$B$11,'Bouwkost VERB'!$AG27,IF($V$4=Bron!$B$12,'Bouwkost IER'!$AG26,IF(OR($V$4=Bron!$B$13,$V$4=Bron!$B$14),'Bouwkost VOLT'!$AG27,IF($V$4=Bron!$C$16,'Bouwkost AK+VERB'!$AG27,0))))))</f>
        <v>0</v>
      </c>
      <c r="X16" s="89">
        <f>IF(OR($X$4=Bron!$B$8,$X$4=Bron!$B$9,$X$4=Bron!$B$15),'Bouwkost NB'!$AG28,IF($X$4=Bron!$B$10,'Bouwkost UITB'!$AG27,IF($X$4=Bron!$B$11,'Bouwkost VERB'!$AG27,IF($X$4=Bron!$B$12,'Bouwkost IER'!$AG26,IF(OR($X$4=Bron!$B$13,$X$4=Bron!$B$14),'Bouwkost VOLT'!$AG27,IF($X$4=Bron!$C$16,'Bouwkost AK+VERB'!$AG27,0))))))</f>
        <v>0</v>
      </c>
    </row>
    <row r="17" spans="1:24" x14ac:dyDescent="0.3">
      <c r="A17" s="641" t="s">
        <v>429</v>
      </c>
      <c r="B17" s="89">
        <f>IF(OR($B$4=Bron!$B$8,$B$4=Bron!$B$9,$B$4=Bron!$B$15),'Bouwkost NB'!$K29,IF($B$4=Bron!$B$10,'Bouwkost UITB'!$K28,IF($B$4=Bron!$B$11,'Bouwkost VERB'!$K28,IF($B$4=Bron!$B$12,'Bouwkost IER'!$K27,IF(OR($B$4=Bron!$B$13,$B$4=Bron!$B$14),'Bouwkost VOLT'!$K28,IF($B$4=Bron!$C$16,'Bouwkost AK+VERB'!$K28,0))))))</f>
        <v>0</v>
      </c>
      <c r="D17" s="89">
        <f>IF(OR($D$4=Bron!$B$8,$D$4=Bron!$B$9,$D$4=Bron!$B$15),'Bouwkost NB'!$K29,IF($D$4=Bron!$B$10,'Bouwkost UITB'!$K28,IF($D$4=Bron!$B$11,'Bouwkost VERB'!$K28,IF($D$4=Bron!$B$12,'Bouwkost IER'!$K27,IF(OR($D$4=Bron!$B$13,$D$4=Bron!$B$14),'Bouwkost VOLT'!$K28,IF($D$4=Bron!$C$16,'Bouwkost AK+VERB'!$K28,0))))))</f>
        <v>0</v>
      </c>
      <c r="F17" s="89">
        <f>IF(OR($F$4=Bron!$B$8,$F$4=Bron!$B$9,$F$4=Bron!$B$15),'Bouwkost NB'!$K29,IF($F$4=Bron!$B$10,'Bouwkost UITB'!$K28,IF($F$4=Bron!$B$11,'Bouwkost VERB'!$K28,IF($F$4=Bron!$B$12,'Bouwkost IER'!$K27,IF(OR($F$4=Bron!$B$13,$F$4=Bron!$B$14),'Bouwkost VOLT'!$K28,IF($F$4=Bron!$C$16,'Bouwkost AK+VERB'!$K28,0))))))</f>
        <v>0</v>
      </c>
      <c r="H17" s="89">
        <f>IF(OR($H$4=Bron!$B$8,$H$4=Bron!$B$9,$H$4=Bron!$B$15),'Bouwkost NB'!$K29,IF($H$4=Bron!$B$10,'Bouwkost UITB'!$K28,IF($H$4=Bron!$B$11,'Bouwkost VERB'!$K28,IF($H$4=Bron!$B$12,'Bouwkost IER'!$K27,IF(OR($H$4=Bron!$B$13,$H$4=Bron!$B$14),'Bouwkost VOLT'!$K28,IF($H$4=Bron!$C$16,'Bouwkost AK+VERB'!$K28,0))))))</f>
        <v>0</v>
      </c>
      <c r="J17" s="89">
        <f>IF(OR($J$4=Bron!$B$8,$J$4=Bron!$B$9,$J$4=Bron!$B$15),'Bouwkost NB'!$V29,IF($J$4=Bron!$B$10,'Bouwkost UITB'!$V28,IF($J$4=Bron!$B$11,'Bouwkost VERB'!$V28,IF($J$4=Bron!$B$12,'Bouwkost IER'!$V27,IF(OR($J$4=Bron!$B$13,$J$4=Bron!$B$14),'Bouwkost VOLT'!$V28,IF($J$4=Bron!$C$16,'Bouwkost AK+VERB'!$V28,0))))))</f>
        <v>0</v>
      </c>
      <c r="L17" s="89">
        <f>IF(OR($L$4=Bron!$B$8,$L$4=Bron!$B$9,$L$4=Bron!$B$15),'Bouwkost NB'!$V29,IF($L$4=Bron!$B$10,'Bouwkost UITB'!$V28,IF($L$4=Bron!$B$11,'Bouwkost VERB'!$V28,IF($L$4=Bron!$B$12,'Bouwkost IER'!$V27,IF(OR($L$4=Bron!$B$13,$L$4=Bron!$B$14),'Bouwkost VOLT'!$V28,IF($L$4=Bron!$C$16,'Bouwkost AK+VERB'!$V28,0))))))</f>
        <v>0</v>
      </c>
      <c r="N17" s="89">
        <f>IF(OR($N$4=Bron!$B$8,$N$4=Bron!$B$9,,$N$4=Bron!$B$15),'Bouwkost NB'!$V29,IF($N$4=Bron!$B$10,'Bouwkost UITB'!$V28,IF($N$4=Bron!$B$11,'Bouwkost VERB'!$V28,IF($N$4=Bron!$B$12,'Bouwkost IER'!$V27,IF(OR($N$4=Bron!$B$13,$N$4=Bron!$B$14),'Bouwkost VOLT'!$V28,IF($N$4=Bron!$C$16,'Bouwkost AK+VERB'!$V28,0))))))</f>
        <v>0</v>
      </c>
      <c r="P17" s="89">
        <f>IF(OR($P$4=Bron!$B$8,$P$4=Bron!$B$9,$P$4=Bron!$B$15),'Bouwkost NB'!$V29,IF($P$4=Bron!$B$10,'Bouwkost UITB'!$V28,IF($P$4=Bron!$B$11,'Bouwkost VERB'!$V28,IF($P$4=Bron!$B$12,'Bouwkost IER'!$V27,IF(OR($P$4=Bron!$B$13,$P$4=Bron!$B$14),'Bouwkost VOLT'!$V28,IF($P$4=Bron!$C$16,'Bouwkost AK+VERB'!$V28,0))))))</f>
        <v>0</v>
      </c>
      <c r="R17" s="89">
        <f>IF(OR($R$4=Bron!$B$8,$R$4=Bron!$B$9,$R$4=Bron!$B$15),'Bouwkost NB'!$AG29,IF($R$4=Bron!$B$10,'Bouwkost UITB'!$AG28,IF($R$4=Bron!$B$11,'Bouwkost VERB'!$AG28,IF($R$4=Bron!$B$12,'Bouwkost IER'!$AG27,IF(OR($R$4=Bron!$B$13,$R$4=Bron!$B$14),'Bouwkost VOLT'!$AG28,IF($R$4=Bron!$C$16,'Bouwkost AK+VERB'!$AG28,0))))))</f>
        <v>0</v>
      </c>
      <c r="T17" s="89">
        <f>IF(OR($T$4=Bron!$B$8,$T$4=Bron!$B$9,$T$4=Bron!$B$15),'Bouwkost NB'!$AG29,IF($T$4=Bron!$B$10,'Bouwkost UITB'!$AG28,IF($T$4=Bron!$B$11,'Bouwkost VERB'!$AG28,IF($T$4=Bron!$B$12,'Bouwkost IER'!$AG27,IF(OR($T$4=Bron!$B$13,$T$4=Bron!$B$14),'Bouwkost VOLT'!$AG28,IF($T$4=Bron!$C$16,'Bouwkost AK+VERB'!$AG28,0))))))</f>
        <v>0</v>
      </c>
      <c r="V17" s="89">
        <f>IF(OR($V$4=Bron!$B$8,$V$4=Bron!$B$9,$V$4=Bron!$B$15),'Bouwkost NB'!$AG29,IF($V$4=Bron!$B$10,'Bouwkost UITB'!$AG28,IF($V$4=Bron!$B$11,'Bouwkost VERB'!$AG28,IF($V$4=Bron!$B$12,'Bouwkost IER'!$AG27,IF(OR($V$4=Bron!$B$13,$V$4=Bron!$B$14),'Bouwkost VOLT'!$AG28,IF($V$4=Bron!$C$16,'Bouwkost AK+VERB'!$AG28,0))))))</f>
        <v>0</v>
      </c>
      <c r="X17" s="89">
        <f>IF(OR($X$4=Bron!$B$8,$X$4=Bron!$B$9,$X$4=Bron!$B$15),'Bouwkost NB'!$AG29,IF($X$4=Bron!$B$10,'Bouwkost UITB'!$AG28,IF($X$4=Bron!$B$11,'Bouwkost VERB'!$AG28,IF($X$4=Bron!$B$12,'Bouwkost IER'!$AG27,IF(OR($X$4=Bron!$B$13,$X$4=Bron!$B$14),'Bouwkost VOLT'!$AG28,IF($X$4=Bron!$C$16,'Bouwkost AK+VERB'!$AG28,0))))))</f>
        <v>0</v>
      </c>
    </row>
    <row r="18" spans="1:24" x14ac:dyDescent="0.3">
      <c r="A18" s="640" t="s">
        <v>430</v>
      </c>
      <c r="B18" s="89">
        <f>IF(OR($B$4=Bron!$B$8,$B$4=Bron!$B$9,$B$4=Bron!$B$15),'Bouwkost NB'!$K30,IF($B$4=Bron!$B$10,'Bouwkost UITB'!$K29,IF($B$4=Bron!$B$11,'Bouwkost VERB'!$K29,IF($B$4=Bron!$B$12,'Bouwkost IER'!$K28,IF(OR($B$4=Bron!$B$13,$B$4=Bron!$B$14),'Bouwkost VOLT'!$K29,IF($B$4=Bron!$C$16,'Bouwkost AK+VERB'!$K29,0))))))</f>
        <v>0</v>
      </c>
      <c r="D18" s="89">
        <f>IF(OR($D$4=Bron!$B$8,$D$4=Bron!$B$9,$D$4=Bron!$B$15),'Bouwkost NB'!$K30,IF($D$4=Bron!$B$10,'Bouwkost UITB'!$K29,IF($D$4=Bron!$B$11,'Bouwkost VERB'!$K29,IF($D$4=Bron!$B$12,'Bouwkost IER'!$K28,IF(OR($D$4=Bron!$B$13,$D$4=Bron!$B$14),'Bouwkost VOLT'!$K29,IF($D$4=Bron!$C$16,'Bouwkost AK+VERB'!$K29,0))))))</f>
        <v>0</v>
      </c>
      <c r="F18" s="89">
        <f>IF(OR($F$4=Bron!$B$8,$F$4=Bron!$B$9,$F$4=Bron!$B$15),'Bouwkost NB'!$K30,IF($F$4=Bron!$B$10,'Bouwkost UITB'!$K29,IF($F$4=Bron!$B$11,'Bouwkost VERB'!$K29,IF($F$4=Bron!$B$12,'Bouwkost IER'!$K28,IF(OR($F$4=Bron!$B$13,$F$4=Bron!$B$14),'Bouwkost VOLT'!$K29,IF($F$4=Bron!$C$16,'Bouwkost AK+VERB'!$K29,0))))))</f>
        <v>0</v>
      </c>
      <c r="H18" s="89">
        <f>IF(OR($H$4=Bron!$B$8,$H$4=Bron!$B$9,$H$4=Bron!$B$15),'Bouwkost NB'!$K30,IF($H$4=Bron!$B$10,'Bouwkost UITB'!$K29,IF($H$4=Bron!$B$11,'Bouwkost VERB'!$K29,IF($H$4=Bron!$B$12,'Bouwkost IER'!$K28,IF(OR($H$4=Bron!$B$13,$H$4=Bron!$B$14),'Bouwkost VOLT'!$K29,IF($H$4=Bron!$C$16,'Bouwkost AK+VERB'!$K29,0))))))</f>
        <v>0</v>
      </c>
      <c r="J18" s="89">
        <f>IF(OR($J$4=Bron!$B$8,$J$4=Bron!$B$9,$J$4=Bron!$B$15),'Bouwkost NB'!$V30,IF($J$4=Bron!$B$10,'Bouwkost UITB'!$V29,IF($J$4=Bron!$B$11,'Bouwkost VERB'!$V29,IF($J$4=Bron!$B$12,'Bouwkost IER'!$V28,IF(OR($J$4=Bron!$B$13,$J$4=Bron!$B$14),'Bouwkost VOLT'!$V29,IF($J$4=Bron!$C$16,'Bouwkost AK+VERB'!$V29,0))))))</f>
        <v>0</v>
      </c>
      <c r="L18" s="89">
        <f>IF(OR($L$4=Bron!$B$8,$L$4=Bron!$B$9,$L$4=Bron!$B$15),'Bouwkost NB'!$V30,IF($L$4=Bron!$B$10,'Bouwkost UITB'!$V29,IF($L$4=Bron!$B$11,'Bouwkost VERB'!$V29,IF($L$4=Bron!$B$12,'Bouwkost IER'!$V28,IF(OR($L$4=Bron!$B$13,$L$4=Bron!$B$14),'Bouwkost VOLT'!$V29,IF($L$4=Bron!$C$16,'Bouwkost AK+VERB'!$V29,0))))))</f>
        <v>0</v>
      </c>
      <c r="N18" s="89">
        <f>IF(OR($N$4=Bron!$B$8,$N$4=Bron!$B$9,,$N$4=Bron!$B$15),'Bouwkost NB'!$V30,IF($N$4=Bron!$B$10,'Bouwkost UITB'!$V29,IF($N$4=Bron!$B$11,'Bouwkost VERB'!$V29,IF($N$4=Bron!$B$12,'Bouwkost IER'!$V28,IF(OR($N$4=Bron!$B$13,$N$4=Bron!$B$14),'Bouwkost VOLT'!$V29,IF($N$4=Bron!$C$16,'Bouwkost AK+VERB'!$V29,0))))))</f>
        <v>0</v>
      </c>
      <c r="P18" s="89">
        <f>IF(OR($P$4=Bron!$B$8,$P$4=Bron!$B$9,$P$4=Bron!$B$15),'Bouwkost NB'!$V30,IF($P$4=Bron!$B$10,'Bouwkost UITB'!$V29,IF($P$4=Bron!$B$11,'Bouwkost VERB'!$V29,IF($P$4=Bron!$B$12,'Bouwkost IER'!$V28,IF(OR($P$4=Bron!$B$13,$P$4=Bron!$B$14),'Bouwkost VOLT'!$V29,IF($P$4=Bron!$C$16,'Bouwkost AK+VERB'!$V29,0))))))</f>
        <v>0</v>
      </c>
      <c r="R18" s="89">
        <f>IF(OR($R$4=Bron!$B$8,$R$4=Bron!$B$9,$R$4=Bron!$B$15),'Bouwkost NB'!$AG30,IF($R$4=Bron!$B$10,'Bouwkost UITB'!$AG29,IF($R$4=Bron!$B$11,'Bouwkost VERB'!$AG29,IF($R$4=Bron!$B$12,'Bouwkost IER'!$AG28,IF(OR($R$4=Bron!$B$13,$R$4=Bron!$B$14),'Bouwkost VOLT'!$AG29,IF($R$4=Bron!$C$16,'Bouwkost AK+VERB'!$AG29,0))))))</f>
        <v>0</v>
      </c>
      <c r="T18" s="89">
        <f>IF(OR($T$4=Bron!$B$8,$T$4=Bron!$B$9,$T$4=Bron!$B$15),'Bouwkost NB'!$AG30,IF($T$4=Bron!$B$10,'Bouwkost UITB'!$AG29,IF($T$4=Bron!$B$11,'Bouwkost VERB'!$AG29,IF($T$4=Bron!$B$12,'Bouwkost IER'!$AG28,IF(OR($T$4=Bron!$B$13,$T$4=Bron!$B$14),'Bouwkost VOLT'!$AG29,IF($T$4=Bron!$C$16,'Bouwkost AK+VERB'!$AG29,0))))))</f>
        <v>0</v>
      </c>
      <c r="V18" s="89">
        <f>IF(OR($V$4=Bron!$B$8,$V$4=Bron!$B$9,$V$4=Bron!$B$15),'Bouwkost NB'!$AG30,IF($V$4=Bron!$B$10,'Bouwkost UITB'!$AG29,IF($V$4=Bron!$B$11,'Bouwkost VERB'!$AG29,IF($V$4=Bron!$B$12,'Bouwkost IER'!$AG28,IF(OR($V$4=Bron!$B$13,$V$4=Bron!$B$14),'Bouwkost VOLT'!$AG29,IF($V$4=Bron!$C$16,'Bouwkost AK+VERB'!$AG29,0))))))</f>
        <v>0</v>
      </c>
      <c r="X18" s="89">
        <f>IF(OR($X$4=Bron!$B$8,$X$4=Bron!$B$9,$X$4=Bron!$B$15),'Bouwkost NB'!$AG30,IF($X$4=Bron!$B$10,'Bouwkost UITB'!$AG29,IF($X$4=Bron!$B$11,'Bouwkost VERB'!$AG29,IF($X$4=Bron!$B$12,'Bouwkost IER'!$AG28,IF(OR($X$4=Bron!$B$13,$X$4=Bron!$B$14),'Bouwkost VOLT'!$AG29,IF($X$4=Bron!$C$16,'Bouwkost AK+VERB'!$AG29,0))))))</f>
        <v>0</v>
      </c>
    </row>
    <row r="19" spans="1:24" x14ac:dyDescent="0.3">
      <c r="A19" s="640" t="s">
        <v>431</v>
      </c>
      <c r="B19" s="89">
        <f>IF(OR($B$4=Bron!$B$8,$B$4=Bron!$B$9,$B$4=Bron!$B$15),'Bouwkost NB'!$K31,IF($B$4=Bron!$B$10,'Bouwkost UITB'!$K30,IF($B$4=Bron!$B$11,'Bouwkost VERB'!$K30,IF($B$4=Bron!$B$12,'Bouwkost IER'!$K29,IF(OR($B$4=Bron!$B$13,$B$4=Bron!$B$14),'Bouwkost VOLT'!$K30,IF($B$4=Bron!$C$16,'Bouwkost AK+VERB'!$K30,0))))))</f>
        <v>0</v>
      </c>
      <c r="D19" s="89">
        <f>IF(OR($D$4=Bron!$B$8,$D$4=Bron!$B$9,$D$4=Bron!$B$15),'Bouwkost NB'!$K31,IF($D$4=Bron!$B$10,'Bouwkost UITB'!$K30,IF($D$4=Bron!$B$11,'Bouwkost VERB'!$K30,IF($D$4=Bron!$B$12,'Bouwkost IER'!$K29,IF(OR($D$4=Bron!$B$13,$D$4=Bron!$B$14),'Bouwkost VOLT'!$K30,IF($D$4=Bron!$C$16,'Bouwkost AK+VERB'!$K30,0))))))</f>
        <v>0</v>
      </c>
      <c r="F19" s="89">
        <f>IF(OR($F$4=Bron!$B$8,$F$4=Bron!$B$9,$F$4=Bron!$B$15),'Bouwkost NB'!$K31,IF($F$4=Bron!$B$10,'Bouwkost UITB'!$K30,IF($F$4=Bron!$B$11,'Bouwkost VERB'!$K30,IF($F$4=Bron!$B$12,'Bouwkost IER'!$K29,IF(OR($F$4=Bron!$B$13,$F$4=Bron!$B$14),'Bouwkost VOLT'!$K30,IF($F$4=Bron!$C$16,'Bouwkost AK+VERB'!$K30,0))))))</f>
        <v>0</v>
      </c>
      <c r="H19" s="89">
        <f>IF(OR($H$4=Bron!$B$8,$H$4=Bron!$B$9,$H$4=Bron!$B$15),'Bouwkost NB'!$K31,IF($H$4=Bron!$B$10,'Bouwkost UITB'!$K30,IF($H$4=Bron!$B$11,'Bouwkost VERB'!$K30,IF($H$4=Bron!$B$12,'Bouwkost IER'!$K29,IF(OR($H$4=Bron!$B$13,$H$4=Bron!$B$14),'Bouwkost VOLT'!$K30,IF($H$4=Bron!$C$16,'Bouwkost AK+VERB'!$K30,0))))))</f>
        <v>0</v>
      </c>
      <c r="J19" s="89">
        <f>IF(OR($J$4=Bron!$B$8,$J$4=Bron!$B$9,$J$4=Bron!$B$15),'Bouwkost NB'!$V31,IF($J$4=Bron!$B$10,'Bouwkost UITB'!$V30,IF($J$4=Bron!$B$11,'Bouwkost VERB'!$V30,IF($J$4=Bron!$B$12,'Bouwkost IER'!$V29,IF(OR($J$4=Bron!$B$13,$J$4=Bron!$B$14),'Bouwkost VOLT'!$V30,IF($J$4=Bron!$C$16,'Bouwkost AK+VERB'!$V30,0))))))</f>
        <v>0</v>
      </c>
      <c r="L19" s="89">
        <f>IF(OR($L$4=Bron!$B$8,$L$4=Bron!$B$9,$L$4=Bron!$B$15),'Bouwkost NB'!$V31,IF($L$4=Bron!$B$10,'Bouwkost UITB'!$V30,IF($L$4=Bron!$B$11,'Bouwkost VERB'!$V30,IF($L$4=Bron!$B$12,'Bouwkost IER'!$V29,IF(OR($L$4=Bron!$B$13,$L$4=Bron!$B$14),'Bouwkost VOLT'!$V30,IF($L$4=Bron!$C$16,'Bouwkost AK+VERB'!$V30,0))))))</f>
        <v>0</v>
      </c>
      <c r="N19" s="89">
        <f>IF(OR($N$4=Bron!$B$8,$N$4=Bron!$B$9,,$N$4=Bron!$B$15),'Bouwkost NB'!$V31,IF($N$4=Bron!$B$10,'Bouwkost UITB'!$V30,IF($N$4=Bron!$B$11,'Bouwkost VERB'!$V30,IF($N$4=Bron!$B$12,'Bouwkost IER'!$V29,IF(OR($N$4=Bron!$B$13,$N$4=Bron!$B$14),'Bouwkost VOLT'!$V30,IF($N$4=Bron!$C$16,'Bouwkost AK+VERB'!$V30,0))))))</f>
        <v>0</v>
      </c>
      <c r="P19" s="89">
        <f>IF(OR($P$4=Bron!$B$8,$P$4=Bron!$B$9,$P$4=Bron!$B$15),'Bouwkost NB'!$V31,IF($P$4=Bron!$B$10,'Bouwkost UITB'!$V30,IF($P$4=Bron!$B$11,'Bouwkost VERB'!$V30,IF($P$4=Bron!$B$12,'Bouwkost IER'!$V29,IF(OR($P$4=Bron!$B$13,$P$4=Bron!$B$14),'Bouwkost VOLT'!$V30,IF($P$4=Bron!$C$16,'Bouwkost AK+VERB'!$V30,0))))))</f>
        <v>0</v>
      </c>
      <c r="R19" s="89">
        <f>IF(OR($R$4=Bron!$B$8,$R$4=Bron!$B$9,$R$4=Bron!$B$15),'Bouwkost NB'!$AG31,IF($R$4=Bron!$B$10,'Bouwkost UITB'!$AG30,IF($R$4=Bron!$B$11,'Bouwkost VERB'!$AG30,IF($R$4=Bron!$B$12,'Bouwkost IER'!$AG29,IF(OR($R$4=Bron!$B$13,$R$4=Bron!$B$14),'Bouwkost VOLT'!$AG30,IF($R$4=Bron!$C$16,'Bouwkost AK+VERB'!$AG30,0))))))</f>
        <v>0</v>
      </c>
      <c r="T19" s="89">
        <f>IF(OR($T$4=Bron!$B$8,$T$4=Bron!$B$9,$T$4=Bron!$B$15),'Bouwkost NB'!$AG31,IF($T$4=Bron!$B$10,'Bouwkost UITB'!$AG30,IF($T$4=Bron!$B$11,'Bouwkost VERB'!$AG30,IF($T$4=Bron!$B$12,'Bouwkost IER'!$AG29,IF(OR($T$4=Bron!$B$13,$T$4=Bron!$B$14),'Bouwkost VOLT'!$AG30,IF($T$4=Bron!$C$16,'Bouwkost AK+VERB'!$AG30,0))))))</f>
        <v>0</v>
      </c>
      <c r="V19" s="89">
        <f>IF(OR($V$4=Bron!$B$8,$V$4=Bron!$B$9,$V$4=Bron!$B$15),'Bouwkost NB'!$AG31,IF($V$4=Bron!$B$10,'Bouwkost UITB'!$AG30,IF($V$4=Bron!$B$11,'Bouwkost VERB'!$AG30,IF($V$4=Bron!$B$12,'Bouwkost IER'!$AG29,IF(OR($V$4=Bron!$B$13,$V$4=Bron!$B$14),'Bouwkost VOLT'!$AG30,IF($V$4=Bron!$C$16,'Bouwkost AK+VERB'!$AG30,0))))))</f>
        <v>0</v>
      </c>
      <c r="X19" s="89">
        <f>IF(OR($X$4=Bron!$B$8,$X$4=Bron!$B$9,$X$4=Bron!$B$15),'Bouwkost NB'!$AG31,IF($X$4=Bron!$B$10,'Bouwkost UITB'!$AG30,IF($X$4=Bron!$B$11,'Bouwkost VERB'!$AG30,IF($X$4=Bron!$B$12,'Bouwkost IER'!$AG29,IF(OR($X$4=Bron!$B$13,$X$4=Bron!$B$14),'Bouwkost VOLT'!$AG30,IF($X$4=Bron!$C$16,'Bouwkost AK+VERB'!$AG30,0))))))</f>
        <v>0</v>
      </c>
    </row>
    <row r="20" spans="1:24" x14ac:dyDescent="0.3">
      <c r="A20" s="336" t="s">
        <v>124</v>
      </c>
      <c r="B20" s="810">
        <f>IF(OR($B$4=Bron!$B$8,$B$4=Bron!$B$9,$B$4=Bron!$B$15),'Bouwkost NB'!$K32,IF($B$4=Bron!$B$10,'Bouwkost UITB'!$K31,IF($B$4=Bron!$B$11,'Bouwkost VERB'!$K31,IF($B$4=Bron!$B$12,'Bouwkost IER'!$K30,IF(OR($B$4=Bron!$B$13,$B$4=Bron!$B$14),'Bouwkost VOLT'!$K31,IF($B$4=Bron!$C$16,'Bouwkost AK+VERB'!$K31,0))))))</f>
        <v>0</v>
      </c>
      <c r="C20" s="810"/>
      <c r="D20" s="810">
        <f>IF(OR($D$4=Bron!$B$8,$D$4=Bron!$B$9,$D$4=Bron!$B$15),'Bouwkost NB'!$K32,IF($D$4=Bron!$B$10,'Bouwkost UITB'!$K31,IF($D$4=Bron!$B$11,'Bouwkost VERB'!$K31,IF($D$4=Bron!$B$12,'Bouwkost IER'!$K30,IF(OR($D$4=Bron!$B$13,$D$4=Bron!$B$14),'Bouwkost VOLT'!$K31,IF($D$4=Bron!$C$16,'Bouwkost AK+VERB'!$K31,0))))))</f>
        <v>0</v>
      </c>
      <c r="E20" s="810"/>
      <c r="F20" s="810">
        <f>IF(OR($F$4=Bron!$B$8,$F$4=Bron!$B$9,$F$4=Bron!$B$15),'Bouwkost NB'!$K32,IF($F$4=Bron!$B$10,'Bouwkost UITB'!$K31,IF($F$4=Bron!$B$11,'Bouwkost VERB'!$K31,IF($F$4=Bron!$B$12,'Bouwkost IER'!$K30,IF(OR($F$4=Bron!$B$13,$F$4=Bron!$B$14),'Bouwkost VOLT'!$K31,IF($F$4=Bron!$C$16,'Bouwkost AK+VERB'!$K31,0))))))</f>
        <v>0</v>
      </c>
      <c r="G20" s="810"/>
      <c r="H20" s="810">
        <f>IF(OR($H$4=Bron!$B$8,$H$4=Bron!$B$9,$H$4=Bron!$B$15),'Bouwkost NB'!$K32,IF($H$4=Bron!$B$10,'Bouwkost UITB'!$K31,IF($H$4=Bron!$B$11,'Bouwkost VERB'!$K31,IF($H$4=Bron!$B$12,'Bouwkost IER'!$K30,IF(OR($H$4=Bron!$B$13,$H$4=Bron!$B$14),'Bouwkost VOLT'!$K31,IF($H$4=Bron!$C$16,'Bouwkost AK+VERB'!$K31,0))))))</f>
        <v>0</v>
      </c>
      <c r="I20" s="810"/>
      <c r="J20" s="810">
        <f>IF(OR($J$4=Bron!$B$8,$J$4=Bron!$B$9,$J$4=Bron!$B$15),'Bouwkost NB'!$V32,IF($J$4=Bron!$B$10,'Bouwkost UITB'!$V31,IF($J$4=Bron!$B$11,'Bouwkost VERB'!$V31,IF($J$4=Bron!$B$12,'Bouwkost IER'!$V30,IF(OR($J$4=Bron!$B$13,$J$4=Bron!$B$14),'Bouwkost VOLT'!$V31,IF($J$4=Bron!$C$16,'Bouwkost AK+VERB'!$V31,0))))))</f>
        <v>0</v>
      </c>
      <c r="K20" s="810"/>
      <c r="L20" s="810">
        <f>IF(OR($L$4=Bron!$B$8,$L$4=Bron!$B$9,$L$4=Bron!$B$15),'Bouwkost NB'!$V32,IF($L$4=Bron!$B$10,'Bouwkost UITB'!$V31,IF($L$4=Bron!$B$11,'Bouwkost VERB'!$V31,IF($L$4=Bron!$B$12,'Bouwkost IER'!$V30,IF(OR($L$4=Bron!$B$13,$L$4=Bron!$B$14),'Bouwkost VOLT'!$V31,IF($L$4=Bron!$C$16,'Bouwkost AK+VERB'!$V31,0))))))</f>
        <v>0</v>
      </c>
      <c r="M20" s="810"/>
      <c r="N20" s="810">
        <f>IF(OR($N$4=Bron!$B$8,$N$4=Bron!$B$9,,$N$4=Bron!$B$15),'Bouwkost NB'!$V32,IF($N$4=Bron!$B$10,'Bouwkost UITB'!$V31,IF($N$4=Bron!$B$11,'Bouwkost VERB'!$V31,IF($N$4=Bron!$B$12,'Bouwkost IER'!$V30,IF(OR($N$4=Bron!$B$13,$N$4=Bron!$B$14),'Bouwkost VOLT'!$V31,IF($N$4=Bron!$C$16,'Bouwkost AK+VERB'!$V31,0))))))</f>
        <v>0</v>
      </c>
      <c r="O20" s="810"/>
      <c r="P20" s="810">
        <f>IF(OR($P$4=Bron!$B$8,$P$4=Bron!$B$9,$P$4=Bron!$B$15),'Bouwkost NB'!$V32,IF($P$4=Bron!$B$10,'Bouwkost UITB'!$V31,IF($P$4=Bron!$B$11,'Bouwkost VERB'!$V31,IF($P$4=Bron!$B$12,'Bouwkost IER'!$V30,IF(OR($P$4=Bron!$B$13,$P$4=Bron!$B$14),'Bouwkost VOLT'!$V31,IF($P$4=Bron!$C$16,'Bouwkost AK+VERB'!$V31,0))))))</f>
        <v>0</v>
      </c>
      <c r="Q20" s="810"/>
      <c r="R20" s="810">
        <f>IF(OR($R$4=Bron!$B$8,$R$4=Bron!$B$9,$R$4=Bron!$B$15),'Bouwkost NB'!$AG32,IF($R$4=Bron!$B$10,'Bouwkost UITB'!$AG31,IF($R$4=Bron!$B$11,'Bouwkost VERB'!$AG31,IF($R$4=Bron!$B$12,'Bouwkost IER'!$AG30,IF(OR($R$4=Bron!$B$13,$R$4=Bron!$B$14),'Bouwkost VOLT'!$AG31,IF($R$4=Bron!$C$16,'Bouwkost AK+VERB'!$AG31,0))))))</f>
        <v>0</v>
      </c>
      <c r="S20" s="810"/>
      <c r="T20" s="810">
        <f>IF(OR($T$4=Bron!$B$8,$T$4=Bron!$B$9,$T$4=Bron!$B$15),'Bouwkost NB'!$AG32,IF($T$4=Bron!$B$10,'Bouwkost UITB'!$AG31,IF($T$4=Bron!$B$11,'Bouwkost VERB'!$AG31,IF($T$4=Bron!$B$12,'Bouwkost IER'!$AG30,IF(OR($T$4=Bron!$B$13,$T$4=Bron!$B$14),'Bouwkost VOLT'!$AG31,IF($T$4=Bron!$C$16,'Bouwkost AK+VERB'!$AG31,0))))))</f>
        <v>0</v>
      </c>
      <c r="U20" s="810"/>
      <c r="V20" s="810">
        <f>IF(OR($V$4=Bron!$B$8,$V$4=Bron!$B$9,$V$4=Bron!$B$15),'Bouwkost NB'!$AG32,IF($V$4=Bron!$B$10,'Bouwkost UITB'!$AG31,IF($V$4=Bron!$B$11,'Bouwkost VERB'!$AG31,IF($V$4=Bron!$B$12,'Bouwkost IER'!$AG30,IF(OR($V$4=Bron!$B$13,$V$4=Bron!$B$14),'Bouwkost VOLT'!$AG31,IF($V$4=Bron!$C$16,'Bouwkost AK+VERB'!$AG31,0))))))</f>
        <v>0</v>
      </c>
      <c r="W20" s="810"/>
      <c r="X20" s="810">
        <f>IF(OR($X$4=Bron!$B$8,$X$4=Bron!$B$9,$X$4=Bron!$B$15),'Bouwkost NB'!$AG32,IF($X$4=Bron!$B$10,'Bouwkost UITB'!$AG31,IF($X$4=Bron!$B$11,'Bouwkost VERB'!$AG31,IF($X$4=Bron!$B$12,'Bouwkost IER'!$AG30,IF(OR($X$4=Bron!$B$13,$X$4=Bron!$B$14),'Bouwkost VOLT'!$AG31,IF($X$4=Bron!$C$16,'Bouwkost AK+VERB'!$AG31,0))))))</f>
        <v>0</v>
      </c>
    </row>
    <row r="21" spans="1:24" x14ac:dyDescent="0.3">
      <c r="A21" s="640" t="s">
        <v>433</v>
      </c>
      <c r="B21" s="89">
        <f>IF(OR($B$4=Bron!$B$8,$B$4=Bron!$B$9,$B$4=Bron!$B$15),'Bouwkost NB'!$K33,IF($B$4=Bron!$B$10,'Bouwkost UITB'!$K32,IF($B$4=Bron!$B$11,'Bouwkost VERB'!$K32,IF($B$4=Bron!$B$12,'Bouwkost IER'!$K31,IF(OR($B$4=Bron!$B$13,$B$4=Bron!$B$14),'Bouwkost VOLT'!$K32,IF($B$4=Bron!$C$16,'Bouwkost AK+VERB'!$K32,0))))))</f>
        <v>0</v>
      </c>
      <c r="D21" s="89">
        <f>IF(OR($D$4=Bron!$B$8,$D$4=Bron!$B$9,$D$4=Bron!$B$15),'Bouwkost NB'!$K33,IF($D$4=Bron!$B$10,'Bouwkost UITB'!$K32,IF($D$4=Bron!$B$11,'Bouwkost VERB'!$K32,IF($D$4=Bron!$B$12,'Bouwkost IER'!$K31,IF(OR($D$4=Bron!$B$13,$D$4=Bron!$B$14),'Bouwkost VOLT'!$K32,IF($D$4=Bron!$C$16,'Bouwkost AK+VERB'!$K32,0))))))</f>
        <v>0</v>
      </c>
      <c r="F21" s="89">
        <f>IF(OR($F$4=Bron!$B$8,$F$4=Bron!$B$9,$F$4=Bron!$B$15),'Bouwkost NB'!$K33,IF($F$4=Bron!$B$10,'Bouwkost UITB'!$K32,IF($F$4=Bron!$B$11,'Bouwkost VERB'!$K32,IF($F$4=Bron!$B$12,'Bouwkost IER'!$K31,IF(OR($F$4=Bron!$B$13,$F$4=Bron!$B$14),'Bouwkost VOLT'!$K32,IF($F$4=Bron!$C$16,'Bouwkost AK+VERB'!$K32,0))))))</f>
        <v>0</v>
      </c>
      <c r="H21" s="89">
        <f>IF(OR($H$4=Bron!$B$8,$H$4=Bron!$B$9,$H$4=Bron!$B$15),'Bouwkost NB'!$K33,IF($H$4=Bron!$B$10,'Bouwkost UITB'!$K32,IF($H$4=Bron!$B$11,'Bouwkost VERB'!$K32,IF($H$4=Bron!$B$12,'Bouwkost IER'!$K31,IF(OR($H$4=Bron!$B$13,$H$4=Bron!$B$14),'Bouwkost VOLT'!$K32,IF($H$4=Bron!$C$16,'Bouwkost AK+VERB'!$K32,0))))))</f>
        <v>0</v>
      </c>
      <c r="J21" s="89">
        <f>IF(OR($J$4=Bron!$B$8,$J$4=Bron!$B$9,$J$4=Bron!$B$15),'Bouwkost NB'!$V33,IF($J$4=Bron!$B$10,'Bouwkost UITB'!$V32,IF($J$4=Bron!$B$11,'Bouwkost VERB'!$V32,IF($J$4=Bron!$B$12,'Bouwkost IER'!$V31,IF(OR($J$4=Bron!$B$13,$J$4=Bron!$B$14),'Bouwkost VOLT'!$V32,IF($J$4=Bron!$C$16,'Bouwkost AK+VERB'!$V32,0))))))</f>
        <v>0</v>
      </c>
      <c r="L21" s="89">
        <f>IF(OR($L$4=Bron!$B$8,$L$4=Bron!$B$9,$L$4=Bron!$B$15),'Bouwkost NB'!$V33,IF($L$4=Bron!$B$10,'Bouwkost UITB'!$V32,IF($L$4=Bron!$B$11,'Bouwkost VERB'!$V32,IF($L$4=Bron!$B$12,'Bouwkost IER'!$V31,IF(OR($L$4=Bron!$B$13,$L$4=Bron!$B$14),'Bouwkost VOLT'!$V32,IF($L$4=Bron!$C$16,'Bouwkost AK+VERB'!$V32,0))))))</f>
        <v>0</v>
      </c>
      <c r="N21" s="89">
        <f>IF(OR($N$4=Bron!$B$8,$N$4=Bron!$B$9,,$N$4=Bron!$B$15),'Bouwkost NB'!$V33,IF($N$4=Bron!$B$10,'Bouwkost UITB'!$V32,IF($N$4=Bron!$B$11,'Bouwkost VERB'!$V32,IF($N$4=Bron!$B$12,'Bouwkost IER'!$V31,IF(OR($N$4=Bron!$B$13,$N$4=Bron!$B$14),'Bouwkost VOLT'!$V32,IF($N$4=Bron!$C$16,'Bouwkost AK+VERB'!$V32,0))))))</f>
        <v>0</v>
      </c>
      <c r="P21" s="89">
        <f>IF(OR($P$4=Bron!$B$8,$P$4=Bron!$B$9,$P$4=Bron!$B$15),'Bouwkost NB'!$V33,IF($P$4=Bron!$B$10,'Bouwkost UITB'!$V32,IF($P$4=Bron!$B$11,'Bouwkost VERB'!$V32,IF($P$4=Bron!$B$12,'Bouwkost IER'!$V31,IF(OR($P$4=Bron!$B$13,$P$4=Bron!$B$14),'Bouwkost VOLT'!$V32,IF($P$4=Bron!$C$16,'Bouwkost AK+VERB'!$V32,0))))))</f>
        <v>0</v>
      </c>
      <c r="R21" s="89">
        <f>IF(OR($R$4=Bron!$B$8,$R$4=Bron!$B$9,$R$4=Bron!$B$15),'Bouwkost NB'!$AG33,IF($R$4=Bron!$B$10,'Bouwkost UITB'!$AG32,IF($R$4=Bron!$B$11,'Bouwkost VERB'!$AG32,IF($R$4=Bron!$B$12,'Bouwkost IER'!$AG31,IF(OR($R$4=Bron!$B$13,$R$4=Bron!$B$14),'Bouwkost VOLT'!$AG32,IF($R$4=Bron!$C$16,'Bouwkost AK+VERB'!$AG32,0))))))</f>
        <v>0</v>
      </c>
      <c r="T21" s="89">
        <f>IF(OR($T$4=Bron!$B$8,$T$4=Bron!$B$9,$T$4=Bron!$B$15),'Bouwkost NB'!$AG33,IF($T$4=Bron!$B$10,'Bouwkost UITB'!$AG32,IF($T$4=Bron!$B$11,'Bouwkost VERB'!$AG32,IF($T$4=Bron!$B$12,'Bouwkost IER'!$AG31,IF(OR($T$4=Bron!$B$13,$T$4=Bron!$B$14),'Bouwkost VOLT'!$AG32,IF($T$4=Bron!$C$16,'Bouwkost AK+VERB'!$AG32,0))))))</f>
        <v>0</v>
      </c>
      <c r="V21" s="89">
        <f>IF(OR($V$4=Bron!$B$8,$V$4=Bron!$B$9,$V$4=Bron!$B$15),'Bouwkost NB'!$AG33,IF($V$4=Bron!$B$10,'Bouwkost UITB'!$AG32,IF($V$4=Bron!$B$11,'Bouwkost VERB'!$AG32,IF($V$4=Bron!$B$12,'Bouwkost IER'!$AG31,IF(OR($V$4=Bron!$B$13,$V$4=Bron!$B$14),'Bouwkost VOLT'!$AG32,IF($V$4=Bron!$C$16,'Bouwkost AK+VERB'!$AG32,0))))))</f>
        <v>0</v>
      </c>
      <c r="X21" s="89">
        <f>IF(OR($X$4=Bron!$B$8,$X$4=Bron!$B$9,$X$4=Bron!$B$15),'Bouwkost NB'!$AG33,IF($X$4=Bron!$B$10,'Bouwkost UITB'!$AG32,IF($X$4=Bron!$B$11,'Bouwkost VERB'!$AG32,IF($X$4=Bron!$B$12,'Bouwkost IER'!$AG31,IF(OR($X$4=Bron!$B$13,$X$4=Bron!$B$14),'Bouwkost VOLT'!$AG32,IF($X$4=Bron!$C$16,'Bouwkost AK+VERB'!$AG32,0))))))</f>
        <v>0</v>
      </c>
    </row>
    <row r="22" spans="1:24" x14ac:dyDescent="0.3">
      <c r="A22" s="640" t="s">
        <v>434</v>
      </c>
      <c r="B22" s="89">
        <f>IF(OR($B$4=Bron!$B$8,$B$4=Bron!$B$9,$B$4=Bron!$B$15),'Bouwkost NB'!$K34,IF($B$4=Bron!$B$10,'Bouwkost UITB'!$K33,IF($B$4=Bron!$B$11,'Bouwkost VERB'!$K33,IF($B$4=Bron!$B$12,'Bouwkost IER'!$K32,IF(OR($B$4=Bron!$B$13,$B$4=Bron!$B$14),'Bouwkost VOLT'!$K33,IF($B$4=Bron!$C$16,'Bouwkost AK+VERB'!$K33,0))))))</f>
        <v>0</v>
      </c>
      <c r="D22" s="89">
        <f>IF(OR($D$4=Bron!$B$8,$D$4=Bron!$B$9,$D$4=Bron!$B$15),'Bouwkost NB'!$K34,IF($D$4=Bron!$B$10,'Bouwkost UITB'!$K33,IF($D$4=Bron!$B$11,'Bouwkost VERB'!$K33,IF($D$4=Bron!$B$12,'Bouwkost IER'!$K32,IF(OR($D$4=Bron!$B$13,$D$4=Bron!$B$14),'Bouwkost VOLT'!$K33,IF($D$4=Bron!$C$16,'Bouwkost AK+VERB'!$K33,0))))))</f>
        <v>0</v>
      </c>
      <c r="F22" s="89">
        <f>IF(OR($F$4=Bron!$B$8,$F$4=Bron!$B$9,$F$4=Bron!$B$15),'Bouwkost NB'!$K34,IF($F$4=Bron!$B$10,'Bouwkost UITB'!$K33,IF($F$4=Bron!$B$11,'Bouwkost VERB'!$K33,IF($F$4=Bron!$B$12,'Bouwkost IER'!$K32,IF(OR($F$4=Bron!$B$13,$F$4=Bron!$B$14),'Bouwkost VOLT'!$K33,IF($F$4=Bron!$C$16,'Bouwkost AK+VERB'!$K33,0))))))</f>
        <v>0</v>
      </c>
      <c r="H22" s="89">
        <f>IF(OR($H$4=Bron!$B$8,$H$4=Bron!$B$9,$H$4=Bron!$B$15),'Bouwkost NB'!$K34,IF($H$4=Bron!$B$10,'Bouwkost UITB'!$K33,IF($H$4=Bron!$B$11,'Bouwkost VERB'!$K33,IF($H$4=Bron!$B$12,'Bouwkost IER'!$K32,IF(OR($H$4=Bron!$B$13,$H$4=Bron!$B$14),'Bouwkost VOLT'!$K33,IF($H$4=Bron!$C$16,'Bouwkost AK+VERB'!$K33,0))))))</f>
        <v>0</v>
      </c>
      <c r="J22" s="89">
        <f>IF(OR($J$4=Bron!$B$8,$J$4=Bron!$B$9,$J$4=Bron!$B$15),'Bouwkost NB'!$V34,IF($J$4=Bron!$B$10,'Bouwkost UITB'!$V33,IF($J$4=Bron!$B$11,'Bouwkost VERB'!$V33,IF($J$4=Bron!$B$12,'Bouwkost IER'!$V32,IF(OR($J$4=Bron!$B$13,$J$4=Bron!$B$14),'Bouwkost VOLT'!$V33,IF($J$4=Bron!$C$16,'Bouwkost AK+VERB'!$V33,0))))))</f>
        <v>0</v>
      </c>
      <c r="L22" s="89">
        <f>IF(OR($L$4=Bron!$B$8,$L$4=Bron!$B$9,$L$4=Bron!$B$15),'Bouwkost NB'!$V34,IF($L$4=Bron!$B$10,'Bouwkost UITB'!$V33,IF($L$4=Bron!$B$11,'Bouwkost VERB'!$V33,IF($L$4=Bron!$B$12,'Bouwkost IER'!$V32,IF(OR($L$4=Bron!$B$13,$L$4=Bron!$B$14),'Bouwkost VOLT'!$V33,IF($L$4=Bron!$C$16,'Bouwkost AK+VERB'!$V33,0))))))</f>
        <v>0</v>
      </c>
      <c r="N22" s="89">
        <f>IF(OR($N$4=Bron!$B$8,$N$4=Bron!$B$9,,$N$4=Bron!$B$15),'Bouwkost NB'!$V34,IF($N$4=Bron!$B$10,'Bouwkost UITB'!$V33,IF($N$4=Bron!$B$11,'Bouwkost VERB'!$V33,IF($N$4=Bron!$B$12,'Bouwkost IER'!$V32,IF(OR($N$4=Bron!$B$13,$N$4=Bron!$B$14),'Bouwkost VOLT'!$V33,IF($N$4=Bron!$C$16,'Bouwkost AK+VERB'!$V33,0))))))</f>
        <v>0</v>
      </c>
      <c r="P22" s="89">
        <f>IF(OR($P$4=Bron!$B$8,$P$4=Bron!$B$9,$P$4=Bron!$B$15),'Bouwkost NB'!$V34,IF($P$4=Bron!$B$10,'Bouwkost UITB'!$V33,IF($P$4=Bron!$B$11,'Bouwkost VERB'!$V33,IF($P$4=Bron!$B$12,'Bouwkost IER'!$V32,IF(OR($P$4=Bron!$B$13,$P$4=Bron!$B$14),'Bouwkost VOLT'!$V33,IF($P$4=Bron!$C$16,'Bouwkost AK+VERB'!$V33,0))))))</f>
        <v>0</v>
      </c>
      <c r="R22" s="89">
        <f>IF(OR($R$4=Bron!$B$8,$R$4=Bron!$B$9,$R$4=Bron!$B$15),'Bouwkost NB'!$AG34,IF($R$4=Bron!$B$10,'Bouwkost UITB'!$AG33,IF($R$4=Bron!$B$11,'Bouwkost VERB'!$AG33,IF($R$4=Bron!$B$12,'Bouwkost IER'!$AG32,IF(OR($R$4=Bron!$B$13,$R$4=Bron!$B$14),'Bouwkost VOLT'!$AG33,IF($R$4=Bron!$C$16,'Bouwkost AK+VERB'!$AG33,0))))))</f>
        <v>0</v>
      </c>
      <c r="T22" s="89">
        <f>IF(OR($T$4=Bron!$B$8,$T$4=Bron!$B$9,$T$4=Bron!$B$15),'Bouwkost NB'!$AG34,IF($T$4=Bron!$B$10,'Bouwkost UITB'!$AG33,IF($T$4=Bron!$B$11,'Bouwkost VERB'!$AG33,IF($T$4=Bron!$B$12,'Bouwkost IER'!$AG32,IF(OR($T$4=Bron!$B$13,$T$4=Bron!$B$14),'Bouwkost VOLT'!$AG33,IF($T$4=Bron!$C$16,'Bouwkost AK+VERB'!$AG33,0))))))</f>
        <v>0</v>
      </c>
      <c r="V22" s="89">
        <f>IF(OR($V$4=Bron!$B$8,$V$4=Bron!$B$9,$V$4=Bron!$B$15),'Bouwkost NB'!$AG34,IF($V$4=Bron!$B$10,'Bouwkost UITB'!$AG33,IF($V$4=Bron!$B$11,'Bouwkost VERB'!$AG33,IF($V$4=Bron!$B$12,'Bouwkost IER'!$AG32,IF(OR($V$4=Bron!$B$13,$V$4=Bron!$B$14),'Bouwkost VOLT'!$AG33,IF($V$4=Bron!$C$16,'Bouwkost AK+VERB'!$AG33,0))))))</f>
        <v>0</v>
      </c>
      <c r="X22" s="89">
        <f>IF(OR($X$4=Bron!$B$8,$X$4=Bron!$B$9,$X$4=Bron!$B$15),'Bouwkost NB'!$AG34,IF($X$4=Bron!$B$10,'Bouwkost UITB'!$AG33,IF($X$4=Bron!$B$11,'Bouwkost VERB'!$AG33,IF($X$4=Bron!$B$12,'Bouwkost IER'!$AG32,IF(OR($X$4=Bron!$B$13,$X$4=Bron!$B$14),'Bouwkost VOLT'!$AG33,IF($X$4=Bron!$C$16,'Bouwkost AK+VERB'!$AG33,0))))))</f>
        <v>0</v>
      </c>
    </row>
    <row r="23" spans="1:24" x14ac:dyDescent="0.3">
      <c r="A23" s="640" t="s">
        <v>435</v>
      </c>
      <c r="B23" s="89">
        <f>IF(OR($B$4=Bron!$B$8,$B$4=Bron!$B$9,$B$4=Bron!$B$15),'Bouwkost NB'!$K35,IF($B$4=Bron!$B$10,'Bouwkost UITB'!$K34,IF($B$4=Bron!$B$11,'Bouwkost VERB'!$K34,IF($B$4=Bron!$B$12,'Bouwkost IER'!$K33,IF(OR($B$4=Bron!$B$13,$B$4=Bron!$B$14),'Bouwkost VOLT'!$K34,IF($B$4=Bron!$C$16,'Bouwkost AK+VERB'!$K34,0))))))</f>
        <v>0</v>
      </c>
      <c r="D23" s="89">
        <f>IF(OR($D$4=Bron!$B$8,$D$4=Bron!$B$9,$D$4=Bron!$B$15),'Bouwkost NB'!$K35,IF($D$4=Bron!$B$10,'Bouwkost UITB'!$K34,IF($D$4=Bron!$B$11,'Bouwkost VERB'!$K34,IF($D$4=Bron!$B$12,'Bouwkost IER'!$K33,IF(OR($D$4=Bron!$B$13,$D$4=Bron!$B$14),'Bouwkost VOLT'!$K34,IF($D$4=Bron!$C$16,'Bouwkost AK+VERB'!$K34,0))))))</f>
        <v>0</v>
      </c>
      <c r="F23" s="89">
        <f>IF(OR($F$4=Bron!$B$8,$F$4=Bron!$B$9,$F$4=Bron!$B$15),'Bouwkost NB'!$K35,IF($F$4=Bron!$B$10,'Bouwkost UITB'!$K34,IF($F$4=Bron!$B$11,'Bouwkost VERB'!$K34,IF($F$4=Bron!$B$12,'Bouwkost IER'!$K33,IF(OR($F$4=Bron!$B$13,$F$4=Bron!$B$14),'Bouwkost VOLT'!$K34,IF($F$4=Bron!$C$16,'Bouwkost AK+VERB'!$K34,0))))))</f>
        <v>0</v>
      </c>
      <c r="H23" s="89">
        <f>IF(OR($H$4=Bron!$B$8,$H$4=Bron!$B$9,$H$4=Bron!$B$15),'Bouwkost NB'!$K35,IF($H$4=Bron!$B$10,'Bouwkost UITB'!$K34,IF($H$4=Bron!$B$11,'Bouwkost VERB'!$K34,IF($H$4=Bron!$B$12,'Bouwkost IER'!$K33,IF(OR($H$4=Bron!$B$13,$H$4=Bron!$B$14),'Bouwkost VOLT'!$K34,IF($H$4=Bron!$C$16,'Bouwkost AK+VERB'!$K34,0))))))</f>
        <v>0</v>
      </c>
      <c r="J23" s="89">
        <f>IF(OR($J$4=Bron!$B$8,$J$4=Bron!$B$9,$J$4=Bron!$B$15),'Bouwkost NB'!$V35,IF($J$4=Bron!$B$10,'Bouwkost UITB'!$V34,IF($J$4=Bron!$B$11,'Bouwkost VERB'!$V34,IF($J$4=Bron!$B$12,'Bouwkost IER'!$V33,IF(OR($J$4=Bron!$B$13,$J$4=Bron!$B$14),'Bouwkost VOLT'!$V34,IF($J$4=Bron!$C$16,'Bouwkost AK+VERB'!$V34,0))))))</f>
        <v>0</v>
      </c>
      <c r="L23" s="89">
        <f>IF(OR($L$4=Bron!$B$8,$L$4=Bron!$B$9,$L$4=Bron!$B$15),'Bouwkost NB'!$V35,IF($L$4=Bron!$B$10,'Bouwkost UITB'!$V34,IF($L$4=Bron!$B$11,'Bouwkost VERB'!$V34,IF($L$4=Bron!$B$12,'Bouwkost IER'!$V33,IF(OR($L$4=Bron!$B$13,$L$4=Bron!$B$14),'Bouwkost VOLT'!$V34,IF($L$4=Bron!$C$16,'Bouwkost AK+VERB'!$V34,0))))))</f>
        <v>0</v>
      </c>
      <c r="N23" s="89">
        <f>IF(OR($N$4=Bron!$B$8,$N$4=Bron!$B$9,,$N$4=Bron!$B$15),'Bouwkost NB'!$V35,IF($N$4=Bron!$B$10,'Bouwkost UITB'!$V34,IF($N$4=Bron!$B$11,'Bouwkost VERB'!$V34,IF($N$4=Bron!$B$12,'Bouwkost IER'!$V33,IF(OR($N$4=Bron!$B$13,$N$4=Bron!$B$14),'Bouwkost VOLT'!$V34,IF($N$4=Bron!$C$16,'Bouwkost AK+VERB'!$V34,0))))))</f>
        <v>0</v>
      </c>
      <c r="P23" s="89">
        <f>IF(OR($P$4=Bron!$B$8,$P$4=Bron!$B$9,$P$4=Bron!$B$15),'Bouwkost NB'!$V35,IF($P$4=Bron!$B$10,'Bouwkost UITB'!$V34,IF($P$4=Bron!$B$11,'Bouwkost VERB'!$V34,IF($P$4=Bron!$B$12,'Bouwkost IER'!$V33,IF(OR($P$4=Bron!$B$13,$P$4=Bron!$B$14),'Bouwkost VOLT'!$V34,IF($P$4=Bron!$C$16,'Bouwkost AK+VERB'!$V34,0))))))</f>
        <v>0</v>
      </c>
      <c r="R23" s="89">
        <f>IF(OR($R$4=Bron!$B$8,$R$4=Bron!$B$9,$R$4=Bron!$B$15),'Bouwkost NB'!$AG35,IF($R$4=Bron!$B$10,'Bouwkost UITB'!$AG34,IF($R$4=Bron!$B$11,'Bouwkost VERB'!$AG34,IF($R$4=Bron!$B$12,'Bouwkost IER'!$AG33,IF(OR($R$4=Bron!$B$13,$R$4=Bron!$B$14),'Bouwkost VOLT'!$AG34,IF($R$4=Bron!$C$16,'Bouwkost AK+VERB'!$AG34,0))))))</f>
        <v>0</v>
      </c>
      <c r="T23" s="89">
        <f>IF(OR($T$4=Bron!$B$8,$T$4=Bron!$B$9,$T$4=Bron!$B$15),'Bouwkost NB'!$AG35,IF($T$4=Bron!$B$10,'Bouwkost UITB'!$AG34,IF($T$4=Bron!$B$11,'Bouwkost VERB'!$AG34,IF($T$4=Bron!$B$12,'Bouwkost IER'!$AG33,IF(OR($T$4=Bron!$B$13,$T$4=Bron!$B$14),'Bouwkost VOLT'!$AG34,IF($T$4=Bron!$C$16,'Bouwkost AK+VERB'!$AG34,0))))))</f>
        <v>0</v>
      </c>
      <c r="V23" s="89">
        <f>IF(OR($V$4=Bron!$B$8,$V$4=Bron!$B$9,$V$4=Bron!$B$15),'Bouwkost NB'!$AG35,IF($V$4=Bron!$B$10,'Bouwkost UITB'!$AG34,IF($V$4=Bron!$B$11,'Bouwkost VERB'!$AG34,IF($V$4=Bron!$B$12,'Bouwkost IER'!$AG33,IF(OR($V$4=Bron!$B$13,$V$4=Bron!$B$14),'Bouwkost VOLT'!$AG34,IF($V$4=Bron!$C$16,'Bouwkost AK+VERB'!$AG34,0))))))</f>
        <v>0</v>
      </c>
      <c r="X23" s="89">
        <f>IF(OR($X$4=Bron!$B$8,$X$4=Bron!$B$9,$X$4=Bron!$B$15),'Bouwkost NB'!$AG35,IF($X$4=Bron!$B$10,'Bouwkost UITB'!$AG34,IF($X$4=Bron!$B$11,'Bouwkost VERB'!$AG34,IF($X$4=Bron!$B$12,'Bouwkost IER'!$AG33,IF(OR($X$4=Bron!$B$13,$X$4=Bron!$B$14),'Bouwkost VOLT'!$AG34,IF($X$4=Bron!$C$16,'Bouwkost AK+VERB'!$AG34,0))))))</f>
        <v>0</v>
      </c>
    </row>
    <row r="24" spans="1:24" x14ac:dyDescent="0.3">
      <c r="A24" s="641" t="s">
        <v>436</v>
      </c>
      <c r="B24" s="89">
        <f>IF(OR($B$4=Bron!$B$8,$B$4=Bron!$B$9,$B$4=Bron!$B$15),'Bouwkost NB'!$K36,IF($B$4=Bron!$B$10,'Bouwkost UITB'!$K35,IF($B$4=Bron!$B$11,'Bouwkost VERB'!$K35,IF($B$4=Bron!$B$12,'Bouwkost IER'!$K34,IF(OR($B$4=Bron!$B$13,$B$4=Bron!$B$14),'Bouwkost VOLT'!$K35,IF($B$4=Bron!$C$16,'Bouwkost AK+VERB'!$K35,0))))))</f>
        <v>0</v>
      </c>
      <c r="D24" s="89">
        <f>IF(OR($D$4=Bron!$B$8,$D$4=Bron!$B$9,$D$4=Bron!$B$15),'Bouwkost NB'!$K36,IF($D$4=Bron!$B$10,'Bouwkost UITB'!$K35,IF($D$4=Bron!$B$11,'Bouwkost VERB'!$K35,IF($D$4=Bron!$B$12,'Bouwkost IER'!$K34,IF(OR($D$4=Bron!$B$13,$D$4=Bron!$B$14),'Bouwkost VOLT'!$K35,IF($D$4=Bron!$C$16,'Bouwkost AK+VERB'!$K35,0))))))</f>
        <v>0</v>
      </c>
      <c r="F24" s="89">
        <f>IF(OR($F$4=Bron!$B$8,$F$4=Bron!$B$9,$F$4=Bron!$B$15),'Bouwkost NB'!$K36,IF($F$4=Bron!$B$10,'Bouwkost UITB'!$K35,IF($F$4=Bron!$B$11,'Bouwkost VERB'!$K35,IF($F$4=Bron!$B$12,'Bouwkost IER'!$K34,IF(OR($F$4=Bron!$B$13,$F$4=Bron!$B$14),'Bouwkost VOLT'!$K35,IF($F$4=Bron!$C$16,'Bouwkost AK+VERB'!$K35,0))))))</f>
        <v>0</v>
      </c>
      <c r="H24" s="89">
        <f>IF(OR($H$4=Bron!$B$8,$H$4=Bron!$B$9,$H$4=Bron!$B$15),'Bouwkost NB'!$K36,IF($H$4=Bron!$B$10,'Bouwkost UITB'!$K35,IF($H$4=Bron!$B$11,'Bouwkost VERB'!$K35,IF($H$4=Bron!$B$12,'Bouwkost IER'!$K34,IF(OR($H$4=Bron!$B$13,$H$4=Bron!$B$14),'Bouwkost VOLT'!$K35,IF($H$4=Bron!$C$16,'Bouwkost AK+VERB'!$K35,0))))))</f>
        <v>0</v>
      </c>
      <c r="J24" s="89">
        <f>IF(OR($J$4=Bron!$B$8,$J$4=Bron!$B$9,$J$4=Bron!$B$15),'Bouwkost NB'!$V36,IF($J$4=Bron!$B$10,'Bouwkost UITB'!$V35,IF($J$4=Bron!$B$11,'Bouwkost VERB'!$V35,IF($J$4=Bron!$B$12,'Bouwkost IER'!$V34,IF(OR($J$4=Bron!$B$13,$J$4=Bron!$B$14),'Bouwkost VOLT'!$V35,IF($J$4=Bron!$C$16,'Bouwkost AK+VERB'!$V35,0))))))</f>
        <v>0</v>
      </c>
      <c r="L24" s="89">
        <f>IF(OR($L$4=Bron!$B$8,$L$4=Bron!$B$9,$L$4=Bron!$B$15),'Bouwkost NB'!$V36,IF($L$4=Bron!$B$10,'Bouwkost UITB'!$V35,IF($L$4=Bron!$B$11,'Bouwkost VERB'!$V35,IF($L$4=Bron!$B$12,'Bouwkost IER'!$V34,IF(OR($L$4=Bron!$B$13,$L$4=Bron!$B$14),'Bouwkost VOLT'!$V35,IF($L$4=Bron!$C$16,'Bouwkost AK+VERB'!$V35,0))))))</f>
        <v>0</v>
      </c>
      <c r="N24" s="89">
        <f>IF(OR($N$4=Bron!$B$8,$N$4=Bron!$B$9,,$N$4=Bron!$B$15),'Bouwkost NB'!$V36,IF($N$4=Bron!$B$10,'Bouwkost UITB'!$V35,IF($N$4=Bron!$B$11,'Bouwkost VERB'!$V35,IF($N$4=Bron!$B$12,'Bouwkost IER'!$V34,IF(OR($N$4=Bron!$B$13,$N$4=Bron!$B$14),'Bouwkost VOLT'!$V35,IF($N$4=Bron!$C$16,'Bouwkost AK+VERB'!$V35,0))))))</f>
        <v>0</v>
      </c>
      <c r="P24" s="89">
        <f>IF(OR($P$4=Bron!$B$8,$P$4=Bron!$B$9,$P$4=Bron!$B$15),'Bouwkost NB'!$V36,IF($P$4=Bron!$B$10,'Bouwkost UITB'!$V35,IF($P$4=Bron!$B$11,'Bouwkost VERB'!$V35,IF($P$4=Bron!$B$12,'Bouwkost IER'!$V34,IF(OR($P$4=Bron!$B$13,$P$4=Bron!$B$14),'Bouwkost VOLT'!$V35,IF($P$4=Bron!$C$16,'Bouwkost AK+VERB'!$V35,0))))))</f>
        <v>0</v>
      </c>
      <c r="R24" s="89">
        <f>IF(OR($R$4=Bron!$B$8,$R$4=Bron!$B$9,$R$4=Bron!$B$15),'Bouwkost NB'!$AG36,IF($R$4=Bron!$B$10,'Bouwkost UITB'!$AG35,IF($R$4=Bron!$B$11,'Bouwkost VERB'!$AG35,IF($R$4=Bron!$B$12,'Bouwkost IER'!$AG34,IF(OR($R$4=Bron!$B$13,$R$4=Bron!$B$14),'Bouwkost VOLT'!$AG35,IF($R$4=Bron!$C$16,'Bouwkost AK+VERB'!$AG35,0))))))</f>
        <v>0</v>
      </c>
      <c r="T24" s="89">
        <f>IF(OR($T$4=Bron!$B$8,$T$4=Bron!$B$9,$T$4=Bron!$B$15),'Bouwkost NB'!$AG36,IF($T$4=Bron!$B$10,'Bouwkost UITB'!$AG35,IF($T$4=Bron!$B$11,'Bouwkost VERB'!$AG35,IF($T$4=Bron!$B$12,'Bouwkost IER'!$AG34,IF(OR($T$4=Bron!$B$13,$T$4=Bron!$B$14),'Bouwkost VOLT'!$AG35,IF($T$4=Bron!$C$16,'Bouwkost AK+VERB'!$AG35,0))))))</f>
        <v>0</v>
      </c>
      <c r="V24" s="89">
        <f>IF(OR($V$4=Bron!$B$8,$V$4=Bron!$B$9,$V$4=Bron!$B$15),'Bouwkost NB'!$AG36,IF($V$4=Bron!$B$10,'Bouwkost UITB'!$AG35,IF($V$4=Bron!$B$11,'Bouwkost VERB'!$AG35,IF($V$4=Bron!$B$12,'Bouwkost IER'!$AG34,IF(OR($V$4=Bron!$B$13,$V$4=Bron!$B$14),'Bouwkost VOLT'!$AG35,IF($V$4=Bron!$C$16,'Bouwkost AK+VERB'!$AG35,0))))))</f>
        <v>0</v>
      </c>
      <c r="X24" s="89">
        <f>IF(OR($X$4=Bron!$B$8,$X$4=Bron!$B$9,$X$4=Bron!$B$15),'Bouwkost NB'!$AG36,IF($X$4=Bron!$B$10,'Bouwkost UITB'!$AG35,IF($X$4=Bron!$B$11,'Bouwkost VERB'!$AG35,IF($X$4=Bron!$B$12,'Bouwkost IER'!$AG34,IF(OR($X$4=Bron!$B$13,$X$4=Bron!$B$14),'Bouwkost VOLT'!$AG35,IF($X$4=Bron!$C$16,'Bouwkost AK+VERB'!$AG35,0))))))</f>
        <v>0</v>
      </c>
    </row>
    <row r="25" spans="1:24" x14ac:dyDescent="0.3">
      <c r="A25" s="641" t="s">
        <v>429</v>
      </c>
      <c r="B25" s="89">
        <f>IF(OR($B$4=Bron!$B$8,$B$4=Bron!$B$9,$B$4=Bron!$B$15),'Bouwkost NB'!$K37,IF($B$4=Bron!$B$10,'Bouwkost UITB'!$K36,IF($B$4=Bron!$B$11,'Bouwkost VERB'!$K36,IF($B$4=Bron!$B$12,'Bouwkost IER'!$K35,IF(OR($B$4=Bron!$B$13,$B$4=Bron!$B$14),'Bouwkost VOLT'!$K36,IF($B$4=Bron!$C$16,'Bouwkost AK+VERB'!$K36,0))))))</f>
        <v>0</v>
      </c>
      <c r="D25" s="89">
        <f>IF(OR($D$4=Bron!$B$8,$D$4=Bron!$B$9,$D$4=Bron!$B$15),'Bouwkost NB'!$K37,IF($D$4=Bron!$B$10,'Bouwkost UITB'!$K36,IF($D$4=Bron!$B$11,'Bouwkost VERB'!$K36,IF($D$4=Bron!$B$12,'Bouwkost IER'!$K35,IF(OR($D$4=Bron!$B$13,$D$4=Bron!$B$14),'Bouwkost VOLT'!$K36,IF($D$4=Bron!$C$16,'Bouwkost AK+VERB'!$K36,0))))))</f>
        <v>0</v>
      </c>
      <c r="F25" s="89">
        <f>IF(OR($F$4=Bron!$B$8,$F$4=Bron!$B$9,$F$4=Bron!$B$15),'Bouwkost NB'!$K37,IF($F$4=Bron!$B$10,'Bouwkost UITB'!$K36,IF($F$4=Bron!$B$11,'Bouwkost VERB'!$K36,IF($F$4=Bron!$B$12,'Bouwkost IER'!$K35,IF(OR($F$4=Bron!$B$13,$F$4=Bron!$B$14),'Bouwkost VOLT'!$K36,IF($F$4=Bron!$C$16,'Bouwkost AK+VERB'!$K36,0))))))</f>
        <v>0</v>
      </c>
      <c r="H25" s="89">
        <f>IF(OR($H$4=Bron!$B$8,$H$4=Bron!$B$9,$H$4=Bron!$B$15),'Bouwkost NB'!$K37,IF($H$4=Bron!$B$10,'Bouwkost UITB'!$K36,IF($H$4=Bron!$B$11,'Bouwkost VERB'!$K36,IF($H$4=Bron!$B$12,'Bouwkost IER'!$K35,IF(OR($H$4=Bron!$B$13,$H$4=Bron!$B$14),'Bouwkost VOLT'!$K36,IF($H$4=Bron!$C$16,'Bouwkost AK+VERB'!$K36,0))))))</f>
        <v>0</v>
      </c>
      <c r="J25" s="89">
        <f>IF(OR($J$4=Bron!$B$8,$J$4=Bron!$B$9,$J$4=Bron!$B$15),'Bouwkost NB'!$V37,IF($J$4=Bron!$B$10,'Bouwkost UITB'!$V36,IF($J$4=Bron!$B$11,'Bouwkost VERB'!$V36,IF($J$4=Bron!$B$12,'Bouwkost IER'!$V35,IF(OR($J$4=Bron!$B$13,$J$4=Bron!$B$14),'Bouwkost VOLT'!$V36,IF($J$4=Bron!$C$16,'Bouwkost AK+VERB'!$V36,0))))))</f>
        <v>0</v>
      </c>
      <c r="L25" s="89">
        <f>IF(OR($L$4=Bron!$B$8,$L$4=Bron!$B$9,$L$4=Bron!$B$15),'Bouwkost NB'!$V37,IF($L$4=Bron!$B$10,'Bouwkost UITB'!$V36,IF($L$4=Bron!$B$11,'Bouwkost VERB'!$V36,IF($L$4=Bron!$B$12,'Bouwkost IER'!$V35,IF(OR($L$4=Bron!$B$13,$L$4=Bron!$B$14),'Bouwkost VOLT'!$V36,IF($L$4=Bron!$C$16,'Bouwkost AK+VERB'!$V36,0))))))</f>
        <v>0</v>
      </c>
      <c r="N25" s="89">
        <f>IF(OR($N$4=Bron!$B$8,$N$4=Bron!$B$9,,$N$4=Bron!$B$15),'Bouwkost NB'!$V37,IF($N$4=Bron!$B$10,'Bouwkost UITB'!$V36,IF($N$4=Bron!$B$11,'Bouwkost VERB'!$V36,IF($N$4=Bron!$B$12,'Bouwkost IER'!$V35,IF(OR($N$4=Bron!$B$13,$N$4=Bron!$B$14),'Bouwkost VOLT'!$V36,IF($N$4=Bron!$C$16,'Bouwkost AK+VERB'!$V36,0))))))</f>
        <v>0</v>
      </c>
      <c r="P25" s="89">
        <f>IF(OR($P$4=Bron!$B$8,$P$4=Bron!$B$9,$P$4=Bron!$B$15),'Bouwkost NB'!$V37,IF($P$4=Bron!$B$10,'Bouwkost UITB'!$V36,IF($P$4=Bron!$B$11,'Bouwkost VERB'!$V36,IF($P$4=Bron!$B$12,'Bouwkost IER'!$V35,IF(OR($P$4=Bron!$B$13,$P$4=Bron!$B$14),'Bouwkost VOLT'!$V36,IF($P$4=Bron!$C$16,'Bouwkost AK+VERB'!$V36,0))))))</f>
        <v>0</v>
      </c>
      <c r="R25" s="89">
        <f>IF(OR($R$4=Bron!$B$8,$R$4=Bron!$B$9,$R$4=Bron!$B$15),'Bouwkost NB'!$AG37,IF($R$4=Bron!$B$10,'Bouwkost UITB'!$AG36,IF($R$4=Bron!$B$11,'Bouwkost VERB'!$AG36,IF($R$4=Bron!$B$12,'Bouwkost IER'!$AG35,IF(OR($R$4=Bron!$B$13,$R$4=Bron!$B$14),'Bouwkost VOLT'!$AG36,IF($R$4=Bron!$C$16,'Bouwkost AK+VERB'!$AG36,0))))))</f>
        <v>0</v>
      </c>
      <c r="T25" s="89">
        <f>IF(OR($T$4=Bron!$B$8,$T$4=Bron!$B$9,$T$4=Bron!$B$15),'Bouwkost NB'!$AG37,IF($T$4=Bron!$B$10,'Bouwkost UITB'!$AG36,IF($T$4=Bron!$B$11,'Bouwkost VERB'!$AG36,IF($T$4=Bron!$B$12,'Bouwkost IER'!$AG35,IF(OR($T$4=Bron!$B$13,$T$4=Bron!$B$14),'Bouwkost VOLT'!$AG36,IF($T$4=Bron!$C$16,'Bouwkost AK+VERB'!$AG36,0))))))</f>
        <v>0</v>
      </c>
      <c r="V25" s="89">
        <f>IF(OR($V$4=Bron!$B$8,$V$4=Bron!$B$9,$V$4=Bron!$B$15),'Bouwkost NB'!$AG37,IF($V$4=Bron!$B$10,'Bouwkost UITB'!$AG36,IF($V$4=Bron!$B$11,'Bouwkost VERB'!$AG36,IF($V$4=Bron!$B$12,'Bouwkost IER'!$AG35,IF(OR($V$4=Bron!$B$13,$V$4=Bron!$B$14),'Bouwkost VOLT'!$AG36,IF($V$4=Bron!$C$16,'Bouwkost AK+VERB'!$AG36,0))))))</f>
        <v>0</v>
      </c>
      <c r="X25" s="89">
        <f>IF(OR($X$4=Bron!$B$8,$X$4=Bron!$B$9,$X$4=Bron!$B$15),'Bouwkost NB'!$AG37,IF($X$4=Bron!$B$10,'Bouwkost UITB'!$AG36,IF($X$4=Bron!$B$11,'Bouwkost VERB'!$AG36,IF($X$4=Bron!$B$12,'Bouwkost IER'!$AG35,IF(OR($X$4=Bron!$B$13,$X$4=Bron!$B$14),'Bouwkost VOLT'!$AG36,IF($X$4=Bron!$C$16,'Bouwkost AK+VERB'!$AG36,0))))))</f>
        <v>0</v>
      </c>
    </row>
    <row r="26" spans="1:24" x14ac:dyDescent="0.3">
      <c r="A26" s="640" t="s">
        <v>430</v>
      </c>
      <c r="B26" s="89">
        <f>IF(OR($B$4=Bron!$B$8,$B$4=Bron!$B$9,$B$4=Bron!$B$15),'Bouwkost NB'!$K38,IF($B$4=Bron!$B$10,'Bouwkost UITB'!$K37,IF($B$4=Bron!$B$11,'Bouwkost VERB'!$K37,IF($B$4=Bron!$B$12,'Bouwkost IER'!$K36,IF(OR($B$4=Bron!$B$13,$B$4=Bron!$B$14),'Bouwkost VOLT'!$K37,IF($B$4=Bron!$C$16,'Bouwkost AK+VERB'!$K37,0))))))</f>
        <v>0</v>
      </c>
      <c r="D26" s="89">
        <f>IF(OR($D$4=Bron!$B$8,$D$4=Bron!$B$9,$D$4=Bron!$B$15),'Bouwkost NB'!$K38,IF($D$4=Bron!$B$10,'Bouwkost UITB'!$K37,IF($D$4=Bron!$B$11,'Bouwkost VERB'!$K37,IF($D$4=Bron!$B$12,'Bouwkost IER'!$K36,IF(OR($D$4=Bron!$B$13,$D$4=Bron!$B$14),'Bouwkost VOLT'!$K37,IF($D$4=Bron!$C$16,'Bouwkost AK+VERB'!$K37,0))))))</f>
        <v>0</v>
      </c>
      <c r="F26" s="89">
        <f>IF(OR($F$4=Bron!$B$8,$F$4=Bron!$B$9,$F$4=Bron!$B$15),'Bouwkost NB'!$K38,IF($F$4=Bron!$B$10,'Bouwkost UITB'!$K37,IF($F$4=Bron!$B$11,'Bouwkost VERB'!$K37,IF($F$4=Bron!$B$12,'Bouwkost IER'!$K36,IF(OR($F$4=Bron!$B$13,$F$4=Bron!$B$14),'Bouwkost VOLT'!$K37,IF($F$4=Bron!$C$16,'Bouwkost AK+VERB'!$K37,0))))))</f>
        <v>0</v>
      </c>
      <c r="H26" s="89">
        <f>IF(OR($H$4=Bron!$B$8,$H$4=Bron!$B$9,$H$4=Bron!$B$15),'Bouwkost NB'!$K38,IF($H$4=Bron!$B$10,'Bouwkost UITB'!$K37,IF($H$4=Bron!$B$11,'Bouwkost VERB'!$K37,IF($H$4=Bron!$B$12,'Bouwkost IER'!$K36,IF(OR($H$4=Bron!$B$13,$H$4=Bron!$B$14),'Bouwkost VOLT'!$K37,IF($H$4=Bron!$C$16,'Bouwkost AK+VERB'!$K37,0))))))</f>
        <v>0</v>
      </c>
      <c r="J26" s="89">
        <f>IF(OR($J$4=Bron!$B$8,$J$4=Bron!$B$9,$J$4=Bron!$B$15),'Bouwkost NB'!$V38,IF($J$4=Bron!$B$10,'Bouwkost UITB'!$V37,IF($J$4=Bron!$B$11,'Bouwkost VERB'!$V37,IF($J$4=Bron!$B$12,'Bouwkost IER'!$V36,IF(OR($J$4=Bron!$B$13,$J$4=Bron!$B$14),'Bouwkost VOLT'!$V37,IF($J$4=Bron!$C$16,'Bouwkost AK+VERB'!$V37,0))))))</f>
        <v>0</v>
      </c>
      <c r="L26" s="89">
        <f>IF(OR($L$4=Bron!$B$8,$L$4=Bron!$B$9,$L$4=Bron!$B$15),'Bouwkost NB'!$V38,IF($L$4=Bron!$B$10,'Bouwkost UITB'!$V37,IF($L$4=Bron!$B$11,'Bouwkost VERB'!$V37,IF($L$4=Bron!$B$12,'Bouwkost IER'!$V36,IF(OR($L$4=Bron!$B$13,$L$4=Bron!$B$14),'Bouwkost VOLT'!$V37,IF($L$4=Bron!$C$16,'Bouwkost AK+VERB'!$V37,0))))))</f>
        <v>0</v>
      </c>
      <c r="N26" s="89">
        <f>IF(OR($N$4=Bron!$B$8,$N$4=Bron!$B$9,,$N$4=Bron!$B$15),'Bouwkost NB'!$V38,IF($N$4=Bron!$B$10,'Bouwkost UITB'!$V37,IF($N$4=Bron!$B$11,'Bouwkost VERB'!$V37,IF($N$4=Bron!$B$12,'Bouwkost IER'!$V36,IF(OR($N$4=Bron!$B$13,$N$4=Bron!$B$14),'Bouwkost VOLT'!$V37,IF($N$4=Bron!$C$16,'Bouwkost AK+VERB'!$V37,0))))))</f>
        <v>0</v>
      </c>
      <c r="P26" s="89">
        <f>IF(OR($P$4=Bron!$B$8,$P$4=Bron!$B$9,$P$4=Bron!$B$15),'Bouwkost NB'!$V38,IF($P$4=Bron!$B$10,'Bouwkost UITB'!$V37,IF($P$4=Bron!$B$11,'Bouwkost VERB'!$V37,IF($P$4=Bron!$B$12,'Bouwkost IER'!$V36,IF(OR($P$4=Bron!$B$13,$P$4=Bron!$B$14),'Bouwkost VOLT'!$V37,IF($P$4=Bron!$C$16,'Bouwkost AK+VERB'!$V37,0))))))</f>
        <v>0</v>
      </c>
      <c r="R26" s="89">
        <f>IF(OR($R$4=Bron!$B$8,$R$4=Bron!$B$9,$R$4=Bron!$B$15),'Bouwkost NB'!$AG38,IF($R$4=Bron!$B$10,'Bouwkost UITB'!$AG37,IF($R$4=Bron!$B$11,'Bouwkost VERB'!$AG37,IF($R$4=Bron!$B$12,'Bouwkost IER'!$AG36,IF(OR($R$4=Bron!$B$13,$R$4=Bron!$B$14),'Bouwkost VOLT'!$AG37,IF($R$4=Bron!$C$16,'Bouwkost AK+VERB'!$AG37,0))))))</f>
        <v>0</v>
      </c>
      <c r="T26" s="89">
        <f>IF(OR($T$4=Bron!$B$8,$T$4=Bron!$B$9,$T$4=Bron!$B$15),'Bouwkost NB'!$AG38,IF($T$4=Bron!$B$10,'Bouwkost UITB'!$AG37,IF($T$4=Bron!$B$11,'Bouwkost VERB'!$AG37,IF($T$4=Bron!$B$12,'Bouwkost IER'!$AG36,IF(OR($T$4=Bron!$B$13,$T$4=Bron!$B$14),'Bouwkost VOLT'!$AG37,IF($T$4=Bron!$C$16,'Bouwkost AK+VERB'!$AG37,0))))))</f>
        <v>0</v>
      </c>
      <c r="V26" s="89">
        <f>IF(OR($V$4=Bron!$B$8,$V$4=Bron!$B$9,$V$4=Bron!$B$15),'Bouwkost NB'!$AG38,IF($V$4=Bron!$B$10,'Bouwkost UITB'!$AG37,IF($V$4=Bron!$B$11,'Bouwkost VERB'!$AG37,IF($V$4=Bron!$B$12,'Bouwkost IER'!$AG36,IF(OR($V$4=Bron!$B$13,$V$4=Bron!$B$14),'Bouwkost VOLT'!$AG37,IF($V$4=Bron!$C$16,'Bouwkost AK+VERB'!$AG37,0))))))</f>
        <v>0</v>
      </c>
      <c r="X26" s="89">
        <f>IF(OR($X$4=Bron!$B$8,$X$4=Bron!$B$9,$X$4=Bron!$B$15),'Bouwkost NB'!$AG38,IF($X$4=Bron!$B$10,'Bouwkost UITB'!$AG37,IF($X$4=Bron!$B$11,'Bouwkost VERB'!$AG37,IF($X$4=Bron!$B$12,'Bouwkost IER'!$AG36,IF(OR($X$4=Bron!$B$13,$X$4=Bron!$B$14),'Bouwkost VOLT'!$AG37,IF($X$4=Bron!$C$16,'Bouwkost AK+VERB'!$AG37,0))))))</f>
        <v>0</v>
      </c>
    </row>
    <row r="27" spans="1:24" x14ac:dyDescent="0.3">
      <c r="A27" s="642" t="s">
        <v>431</v>
      </c>
      <c r="B27" s="89">
        <f>IF(OR($B$4=Bron!$B$8,$B$4=Bron!$B$9,$B$4=Bron!$B$15),'Bouwkost NB'!$K39,IF($B$4=Bron!$B$10,'Bouwkost UITB'!$K38,IF($B$4=Bron!$B$11,'Bouwkost VERB'!$K38,IF($B$4=Bron!$B$12,'Bouwkost IER'!$K37,IF(OR($B$4=Bron!$B$13,$B$4=Bron!$B$14),'Bouwkost VOLT'!$K38,IF($B$4=Bron!$C$16,'Bouwkost AK+VERB'!$K38,0))))))</f>
        <v>0</v>
      </c>
      <c r="D27" s="89">
        <f>IF(OR($D$4=Bron!$B$8,$D$4=Bron!$B$9,$D$4=Bron!$B$15),'Bouwkost NB'!$K39,IF($D$4=Bron!$B$10,'Bouwkost UITB'!$K38,IF($D$4=Bron!$B$11,'Bouwkost VERB'!$K38,IF($D$4=Bron!$B$12,'Bouwkost IER'!$K37,IF(OR($D$4=Bron!$B$13,$D$4=Bron!$B$14),'Bouwkost VOLT'!$K38,IF($D$4=Bron!$C$16,'Bouwkost AK+VERB'!$K38,0))))))</f>
        <v>0</v>
      </c>
      <c r="F27" s="89">
        <f>IF(OR($F$4=Bron!$B$8,$F$4=Bron!$B$9,$F$4=Bron!$B$15),'Bouwkost NB'!$K39,IF($F$4=Bron!$B$10,'Bouwkost UITB'!$K38,IF($F$4=Bron!$B$11,'Bouwkost VERB'!$K38,IF($F$4=Bron!$B$12,'Bouwkost IER'!$K37,IF(OR($F$4=Bron!$B$13,$F$4=Bron!$B$14),'Bouwkost VOLT'!$K38,IF($F$4=Bron!$C$16,'Bouwkost AK+VERB'!$K38,0))))))</f>
        <v>0</v>
      </c>
      <c r="H27" s="89">
        <f>IF(OR($H$4=Bron!$B$8,$H$4=Bron!$B$9,$H$4=Bron!$B$15),'Bouwkost NB'!$K39,IF($H$4=Bron!$B$10,'Bouwkost UITB'!$K38,IF($H$4=Bron!$B$11,'Bouwkost VERB'!$K38,IF($H$4=Bron!$B$12,'Bouwkost IER'!$K37,IF(OR($H$4=Bron!$B$13,$H$4=Bron!$B$14),'Bouwkost VOLT'!$K38,IF($H$4=Bron!$C$16,'Bouwkost AK+VERB'!$K38,0))))))</f>
        <v>0</v>
      </c>
      <c r="J27" s="89">
        <f>IF(OR($J$4=Bron!$B$8,$J$4=Bron!$B$9,$J$4=Bron!$B$15),'Bouwkost NB'!$V39,IF($J$4=Bron!$B$10,'Bouwkost UITB'!$V38,IF($J$4=Bron!$B$11,'Bouwkost VERB'!$V38,IF($J$4=Bron!$B$12,'Bouwkost IER'!$V37,IF(OR($J$4=Bron!$B$13,$J$4=Bron!$B$14),'Bouwkost VOLT'!$V38,IF($J$4=Bron!$C$16,'Bouwkost AK+VERB'!$V38,0))))))</f>
        <v>0</v>
      </c>
      <c r="L27" s="89">
        <f>IF(OR($L$4=Bron!$B$8,$L$4=Bron!$B$9,$L$4=Bron!$B$15),'Bouwkost NB'!$V39,IF($L$4=Bron!$B$10,'Bouwkost UITB'!$V38,IF($L$4=Bron!$B$11,'Bouwkost VERB'!$V38,IF($L$4=Bron!$B$12,'Bouwkost IER'!$V37,IF(OR($L$4=Bron!$B$13,$L$4=Bron!$B$14),'Bouwkost VOLT'!$V38,IF($L$4=Bron!$C$16,'Bouwkost AK+VERB'!$V38,0))))))</f>
        <v>0</v>
      </c>
      <c r="N27" s="89">
        <f>IF(OR($N$4=Bron!$B$8,$N$4=Bron!$B$9,,$N$4=Bron!$B$15),'Bouwkost NB'!$V39,IF($N$4=Bron!$B$10,'Bouwkost UITB'!$V38,IF($N$4=Bron!$B$11,'Bouwkost VERB'!$V38,IF($N$4=Bron!$B$12,'Bouwkost IER'!$V37,IF(OR($N$4=Bron!$B$13,$N$4=Bron!$B$14),'Bouwkost VOLT'!$V38,IF($N$4=Bron!$C$16,'Bouwkost AK+VERB'!$V38,0))))))</f>
        <v>0</v>
      </c>
      <c r="P27" s="89">
        <f>IF(OR($P$4=Bron!$B$8,$P$4=Bron!$B$9,$P$4=Bron!$B$15),'Bouwkost NB'!$V39,IF($P$4=Bron!$B$10,'Bouwkost UITB'!$V38,IF($P$4=Bron!$B$11,'Bouwkost VERB'!$V38,IF($P$4=Bron!$B$12,'Bouwkost IER'!$V37,IF(OR($P$4=Bron!$B$13,$P$4=Bron!$B$14),'Bouwkost VOLT'!$V38,IF($P$4=Bron!$C$16,'Bouwkost AK+VERB'!$V38,0))))))</f>
        <v>0</v>
      </c>
      <c r="R27" s="89">
        <f>IF(OR($R$4=Bron!$B$8,$R$4=Bron!$B$9,$R$4=Bron!$B$15),'Bouwkost NB'!$AG39,IF($R$4=Bron!$B$10,'Bouwkost UITB'!$AG38,IF($R$4=Bron!$B$11,'Bouwkost VERB'!$AG38,IF($R$4=Bron!$B$12,'Bouwkost IER'!$AG37,IF(OR($R$4=Bron!$B$13,$R$4=Bron!$B$14),'Bouwkost VOLT'!$AG38,IF($R$4=Bron!$C$16,'Bouwkost AK+VERB'!$AG38,0))))))</f>
        <v>0</v>
      </c>
      <c r="T27" s="89">
        <f>IF(OR($T$4=Bron!$B$8,$T$4=Bron!$B$9,$T$4=Bron!$B$15),'Bouwkost NB'!$AG39,IF($T$4=Bron!$B$10,'Bouwkost UITB'!$AG38,IF($T$4=Bron!$B$11,'Bouwkost VERB'!$AG38,IF($T$4=Bron!$B$12,'Bouwkost IER'!$AG37,IF(OR($T$4=Bron!$B$13,$T$4=Bron!$B$14),'Bouwkost VOLT'!$AG38,IF($T$4=Bron!$C$16,'Bouwkost AK+VERB'!$AG38,0))))))</f>
        <v>0</v>
      </c>
      <c r="V27" s="89">
        <f>IF(OR($V$4=Bron!$B$8,$V$4=Bron!$B$9,$V$4=Bron!$B$15),'Bouwkost NB'!$AG39,IF($V$4=Bron!$B$10,'Bouwkost UITB'!$AG38,IF($V$4=Bron!$B$11,'Bouwkost VERB'!$AG38,IF($V$4=Bron!$B$12,'Bouwkost IER'!$AG37,IF(OR($V$4=Bron!$B$13,$V$4=Bron!$B$14),'Bouwkost VOLT'!$AG38,IF($V$4=Bron!$C$16,'Bouwkost AK+VERB'!$AG38,0))))))</f>
        <v>0</v>
      </c>
      <c r="X27" s="89">
        <f>IF(OR($X$4=Bron!$B$8,$X$4=Bron!$B$9,$X$4=Bron!$B$15),'Bouwkost NB'!$AG39,IF($X$4=Bron!$B$10,'Bouwkost UITB'!$AG38,IF($X$4=Bron!$B$11,'Bouwkost VERB'!$AG38,IF($X$4=Bron!$B$12,'Bouwkost IER'!$AG37,IF(OR($X$4=Bron!$B$13,$X$4=Bron!$B$14),'Bouwkost VOLT'!$AG38,IF($X$4=Bron!$C$16,'Bouwkost AK+VERB'!$AG38,0))))))</f>
        <v>0</v>
      </c>
    </row>
    <row r="28" spans="1:24" x14ac:dyDescent="0.3">
      <c r="A28" s="336" t="s">
        <v>125</v>
      </c>
      <c r="B28" s="810">
        <f>IF(OR($B$4=Bron!$B$8,$B$4=Bron!$B$9,$B$4=Bron!$B$15),'Bouwkost NB'!$K40,IF($B$4=Bron!$B$10,'Bouwkost UITB'!$K39,IF($B$4=Bron!$B$11,'Bouwkost VERB'!$K39,IF($B$4=Bron!$B$12,'Bouwkost IER'!$K38,IF(OR($B$4=Bron!$B$13,$B$4=Bron!$B$14),'Bouwkost VOLT'!$K39,IF($B$4=Bron!$C$16,'Bouwkost AK+VERB'!$K39,0))))))</f>
        <v>0</v>
      </c>
      <c r="C28" s="810"/>
      <c r="D28" s="810">
        <f>IF(OR($D$4=Bron!$B$8,$D$4=Bron!$B$9,$D$4=Bron!$B$15),'Bouwkost NB'!$K40,IF($D$4=Bron!$B$10,'Bouwkost UITB'!$K39,IF($D$4=Bron!$B$11,'Bouwkost VERB'!$K39,IF($D$4=Bron!$B$12,'Bouwkost IER'!$K38,IF(OR($D$4=Bron!$B$13,$D$4=Bron!$B$14),'Bouwkost VOLT'!$K39,IF($D$4=Bron!$C$16,'Bouwkost AK+VERB'!$K39,0))))))</f>
        <v>0</v>
      </c>
      <c r="E28" s="810"/>
      <c r="F28" s="810">
        <f>IF(OR($F$4=Bron!$B$8,$F$4=Bron!$B$9,$F$4=Bron!$B$15),'Bouwkost NB'!$K40,IF($F$4=Bron!$B$10,'Bouwkost UITB'!$K39,IF($F$4=Bron!$B$11,'Bouwkost VERB'!$K39,IF($F$4=Bron!$B$12,'Bouwkost IER'!$K38,IF(OR($F$4=Bron!$B$13,$F$4=Bron!$B$14),'Bouwkost VOLT'!$K39,IF($F$4=Bron!$C$16,'Bouwkost AK+VERB'!$K39,0))))))</f>
        <v>0</v>
      </c>
      <c r="G28" s="810"/>
      <c r="H28" s="810">
        <f>IF(OR($H$4=Bron!$B$8,$H$4=Bron!$B$9,$H$4=Bron!$B$15),'Bouwkost NB'!$K40,IF($H$4=Bron!$B$10,'Bouwkost UITB'!$K39,IF($H$4=Bron!$B$11,'Bouwkost VERB'!$K39,IF($H$4=Bron!$B$12,'Bouwkost IER'!$K38,IF(OR($H$4=Bron!$B$13,$H$4=Bron!$B$14),'Bouwkost VOLT'!$K39,IF($H$4=Bron!$C$16,'Bouwkost AK+VERB'!$K39,0))))))</f>
        <v>0</v>
      </c>
      <c r="I28" s="810"/>
      <c r="J28" s="810">
        <f>IF(OR($J$4=Bron!$B$8,$J$4=Bron!$B$9,$J$4=Bron!$B$15),'Bouwkost NB'!$V40,IF($J$4=Bron!$B$10,'Bouwkost UITB'!$V39,IF($J$4=Bron!$B$11,'Bouwkost VERB'!$V39,IF($J$4=Bron!$B$12,'Bouwkost IER'!$V38,IF(OR($J$4=Bron!$B$13,$J$4=Bron!$B$14),'Bouwkost VOLT'!$V39,IF($J$4=Bron!$C$16,'Bouwkost AK+VERB'!$V39,0))))))</f>
        <v>0</v>
      </c>
      <c r="K28" s="810"/>
      <c r="L28" s="810">
        <f>IF(OR($L$4=Bron!$B$8,$L$4=Bron!$B$9,$L$4=Bron!$B$15),'Bouwkost NB'!$V40,IF($L$4=Bron!$B$10,'Bouwkost UITB'!$V39,IF($L$4=Bron!$B$11,'Bouwkost VERB'!$V39,IF($L$4=Bron!$B$12,'Bouwkost IER'!$V38,IF(OR($L$4=Bron!$B$13,$L$4=Bron!$B$14),'Bouwkost VOLT'!$V39,IF($L$4=Bron!$C$16,'Bouwkost AK+VERB'!$V39,0))))))</f>
        <v>0</v>
      </c>
      <c r="M28" s="810"/>
      <c r="N28" s="810">
        <f>IF(OR($N$4=Bron!$B$8,$N$4=Bron!$B$9,,$N$4=Bron!$B$15),'Bouwkost NB'!$V40,IF($N$4=Bron!$B$10,'Bouwkost UITB'!$V39,IF($N$4=Bron!$B$11,'Bouwkost VERB'!$V39,IF($N$4=Bron!$B$12,'Bouwkost IER'!$V38,IF(OR($N$4=Bron!$B$13,$N$4=Bron!$B$14),'Bouwkost VOLT'!$V39,IF($N$4=Bron!$C$16,'Bouwkost AK+VERB'!$V39,0))))))</f>
        <v>0</v>
      </c>
      <c r="O28" s="810"/>
      <c r="P28" s="810">
        <f>IF(OR($P$4=Bron!$B$8,$P$4=Bron!$B$9,$P$4=Bron!$B$15),'Bouwkost NB'!$V40,IF($P$4=Bron!$B$10,'Bouwkost UITB'!$V39,IF($P$4=Bron!$B$11,'Bouwkost VERB'!$V39,IF($P$4=Bron!$B$12,'Bouwkost IER'!$V38,IF(OR($P$4=Bron!$B$13,$P$4=Bron!$B$14),'Bouwkost VOLT'!$V39,IF($P$4=Bron!$C$16,'Bouwkost AK+VERB'!$V39,0))))))</f>
        <v>0</v>
      </c>
      <c r="Q28" s="810"/>
      <c r="R28" s="810">
        <f>IF(OR($R$4=Bron!$B$8,$R$4=Bron!$B$9,$R$4=Bron!$B$15),'Bouwkost NB'!$AG40,IF($R$4=Bron!$B$10,'Bouwkost UITB'!$AG39,IF($R$4=Bron!$B$11,'Bouwkost VERB'!$AG39,IF($R$4=Bron!$B$12,'Bouwkost IER'!$AG38,IF(OR($R$4=Bron!$B$13,$R$4=Bron!$B$14),'Bouwkost VOLT'!$AG39,IF($R$4=Bron!$C$16,'Bouwkost AK+VERB'!$AG39,0))))))</f>
        <v>0</v>
      </c>
      <c r="S28" s="810"/>
      <c r="T28" s="810">
        <f>IF(OR($T$4=Bron!$B$8,$T$4=Bron!$B$9,$T$4=Bron!$B$15),'Bouwkost NB'!$AG40,IF($T$4=Bron!$B$10,'Bouwkost UITB'!$AG39,IF($T$4=Bron!$B$11,'Bouwkost VERB'!$AG39,IF($T$4=Bron!$B$12,'Bouwkost IER'!$AG38,IF(OR($T$4=Bron!$B$13,$T$4=Bron!$B$14),'Bouwkost VOLT'!$AG39,IF($T$4=Bron!$C$16,'Bouwkost AK+VERB'!$AG39,0))))))</f>
        <v>0</v>
      </c>
      <c r="U28" s="810"/>
      <c r="V28" s="810">
        <f>IF(OR($V$4=Bron!$B$8,$V$4=Bron!$B$9,$V$4=Bron!$B$15),'Bouwkost NB'!$AG40,IF($V$4=Bron!$B$10,'Bouwkost UITB'!$AG39,IF($V$4=Bron!$B$11,'Bouwkost VERB'!$AG39,IF($V$4=Bron!$B$12,'Bouwkost IER'!$AG38,IF(OR($V$4=Bron!$B$13,$V$4=Bron!$B$14),'Bouwkost VOLT'!$AG39,IF($V$4=Bron!$C$16,'Bouwkost AK+VERB'!$AG39,0))))))</f>
        <v>0</v>
      </c>
      <c r="W28" s="810"/>
      <c r="X28" s="810">
        <f>IF(OR($X$4=Bron!$B$8,$X$4=Bron!$B$9,$X$4=Bron!$B$15),'Bouwkost NB'!$AG40,IF($X$4=Bron!$B$10,'Bouwkost UITB'!$AG39,IF($X$4=Bron!$B$11,'Bouwkost VERB'!$AG39,IF($X$4=Bron!$B$12,'Bouwkost IER'!$AG38,IF(OR($X$4=Bron!$B$13,$X$4=Bron!$B$14),'Bouwkost VOLT'!$AG39,IF($X$4=Bron!$C$16,'Bouwkost AK+VERB'!$AG39,0))))))</f>
        <v>0</v>
      </c>
    </row>
    <row r="29" spans="1:24" x14ac:dyDescent="0.3">
      <c r="A29" s="640" t="s">
        <v>437</v>
      </c>
      <c r="B29" s="89">
        <f>IF(OR($B$4=Bron!$B$8,$B$4=Bron!$B$9,$B$4=Bron!$B$15),'Bouwkost NB'!$K41,IF($B$4=Bron!$B$10,'Bouwkost UITB'!$K40,IF($B$4=Bron!$B$11,'Bouwkost VERB'!$K40,IF($B$4=Bron!$B$12,'Bouwkost IER'!$K39,IF(OR($B$4=Bron!$B$13,$B$4=Bron!$B$14),'Bouwkost VOLT'!$K40,IF($B$4=Bron!$C$16,'Bouwkost AK+VERB'!$K40,0))))))</f>
        <v>0</v>
      </c>
      <c r="D29" s="89">
        <f>IF(OR($D$4=Bron!$B$8,$D$4=Bron!$B$9,$D$4=Bron!$B$15),'Bouwkost NB'!$K41,IF($D$4=Bron!$B$10,'Bouwkost UITB'!$K40,IF($D$4=Bron!$B$11,'Bouwkost VERB'!$K40,IF($D$4=Bron!$B$12,'Bouwkost IER'!$K39,IF(OR($D$4=Bron!$B$13,$D$4=Bron!$B$14),'Bouwkost VOLT'!$K40,IF($D$4=Bron!$C$16,'Bouwkost AK+VERB'!$K40,0))))))</f>
        <v>0</v>
      </c>
      <c r="F29" s="89">
        <f>IF(OR($F$4=Bron!$B$8,$F$4=Bron!$B$9,$F$4=Bron!$B$15),'Bouwkost NB'!$K41,IF($F$4=Bron!$B$10,'Bouwkost UITB'!$K40,IF($F$4=Bron!$B$11,'Bouwkost VERB'!$K40,IF($F$4=Bron!$B$12,'Bouwkost IER'!$K39,IF(OR($F$4=Bron!$B$13,$F$4=Bron!$B$14),'Bouwkost VOLT'!$K40,IF($F$4=Bron!$C$16,'Bouwkost AK+VERB'!$K40,0))))))</f>
        <v>0</v>
      </c>
      <c r="H29" s="89">
        <f>IF(OR($H$4=Bron!$B$8,$H$4=Bron!$B$9,$H$4=Bron!$B$15),'Bouwkost NB'!$K41,IF($H$4=Bron!$B$10,'Bouwkost UITB'!$K40,IF($H$4=Bron!$B$11,'Bouwkost VERB'!$K40,IF($H$4=Bron!$B$12,'Bouwkost IER'!$K39,IF(OR($H$4=Bron!$B$13,$H$4=Bron!$B$14),'Bouwkost VOLT'!$K40,IF($H$4=Bron!$C$16,'Bouwkost AK+VERB'!$K40,0))))))</f>
        <v>0</v>
      </c>
      <c r="J29" s="89">
        <f>IF(OR($J$4=Bron!$B$8,$J$4=Bron!$B$9,$J$4=Bron!$B$15),'Bouwkost NB'!$V41,IF($J$4=Bron!$B$10,'Bouwkost UITB'!$V40,IF($J$4=Bron!$B$11,'Bouwkost VERB'!$V40,IF($J$4=Bron!$B$12,'Bouwkost IER'!$V39,IF(OR($J$4=Bron!$B$13,$J$4=Bron!$B$14),'Bouwkost VOLT'!$V40,IF($J$4=Bron!$C$16,'Bouwkost AK+VERB'!$V40,0))))))</f>
        <v>0</v>
      </c>
      <c r="L29" s="89">
        <f>IF(OR($L$4=Bron!$B$8,$L$4=Bron!$B$9,$L$4=Bron!$B$15),'Bouwkost NB'!$V41,IF($L$4=Bron!$B$10,'Bouwkost UITB'!$V40,IF($L$4=Bron!$B$11,'Bouwkost VERB'!$V40,IF($L$4=Bron!$B$12,'Bouwkost IER'!$V39,IF(OR($L$4=Bron!$B$13,$L$4=Bron!$B$14),'Bouwkost VOLT'!$V40,IF($L$4=Bron!$C$16,'Bouwkost AK+VERB'!$V40,0))))))</f>
        <v>0</v>
      </c>
      <c r="N29" s="89">
        <f>IF(OR($N$4=Bron!$B$8,$N$4=Bron!$B$9,,$N$4=Bron!$B$15),'Bouwkost NB'!$V41,IF($N$4=Bron!$B$10,'Bouwkost UITB'!$V40,IF($N$4=Bron!$B$11,'Bouwkost VERB'!$V40,IF($N$4=Bron!$B$12,'Bouwkost IER'!$V39,IF(OR($N$4=Bron!$B$13,$N$4=Bron!$B$14),'Bouwkost VOLT'!$V40,IF($N$4=Bron!$C$16,'Bouwkost AK+VERB'!$V40,0))))))</f>
        <v>0</v>
      </c>
      <c r="P29" s="89">
        <f>IF(OR($P$4=Bron!$B$8,$P$4=Bron!$B$9,$P$4=Bron!$B$15),'Bouwkost NB'!$V41,IF($P$4=Bron!$B$10,'Bouwkost UITB'!$V40,IF($P$4=Bron!$B$11,'Bouwkost VERB'!$V40,IF($P$4=Bron!$B$12,'Bouwkost IER'!$V39,IF(OR($P$4=Bron!$B$13,$P$4=Bron!$B$14),'Bouwkost VOLT'!$V40,IF($P$4=Bron!$C$16,'Bouwkost AK+VERB'!$V40,0))))))</f>
        <v>0</v>
      </c>
      <c r="R29" s="89">
        <f>IF(OR($R$4=Bron!$B$8,$R$4=Bron!$B$9,$R$4=Bron!$B$15),'Bouwkost NB'!$AG41,IF($R$4=Bron!$B$10,'Bouwkost UITB'!$AG40,IF($R$4=Bron!$B$11,'Bouwkost VERB'!$AG40,IF($R$4=Bron!$B$12,'Bouwkost IER'!$AG39,IF(OR($R$4=Bron!$B$13,$R$4=Bron!$B$14),'Bouwkost VOLT'!$AG40,IF($R$4=Bron!$C$16,'Bouwkost AK+VERB'!$AG40,0))))))</f>
        <v>0</v>
      </c>
      <c r="T29" s="89">
        <f>IF(OR($T$4=Bron!$B$8,$T$4=Bron!$B$9,$T$4=Bron!$B$15),'Bouwkost NB'!$AG41,IF($T$4=Bron!$B$10,'Bouwkost UITB'!$AG40,IF($T$4=Bron!$B$11,'Bouwkost VERB'!$AG40,IF($T$4=Bron!$B$12,'Bouwkost IER'!$AG39,IF(OR($T$4=Bron!$B$13,$T$4=Bron!$B$14),'Bouwkost VOLT'!$AG40,IF($T$4=Bron!$C$16,'Bouwkost AK+VERB'!$AG40,0))))))</f>
        <v>0</v>
      </c>
      <c r="V29" s="89">
        <f>IF(OR($V$4=Bron!$B$8,$V$4=Bron!$B$9,$V$4=Bron!$B$15),'Bouwkost NB'!$AG41,IF($V$4=Bron!$B$10,'Bouwkost UITB'!$AG40,IF($V$4=Bron!$B$11,'Bouwkost VERB'!$AG40,IF($V$4=Bron!$B$12,'Bouwkost IER'!$AG39,IF(OR($V$4=Bron!$B$13,$V$4=Bron!$B$14),'Bouwkost VOLT'!$AG40,IF($V$4=Bron!$C$16,'Bouwkost AK+VERB'!$AG40,0))))))</f>
        <v>0</v>
      </c>
      <c r="X29" s="89">
        <f>IF(OR($X$4=Bron!$B$8,$X$4=Bron!$B$9,$X$4=Bron!$B$15),'Bouwkost NB'!$AG41,IF($X$4=Bron!$B$10,'Bouwkost UITB'!$AG40,IF($X$4=Bron!$B$11,'Bouwkost VERB'!$AG40,IF($X$4=Bron!$B$12,'Bouwkost IER'!$AG39,IF(OR($X$4=Bron!$B$13,$X$4=Bron!$B$14),'Bouwkost VOLT'!$AG40,IF($X$4=Bron!$C$16,'Bouwkost AK+VERB'!$AG40,0))))))</f>
        <v>0</v>
      </c>
    </row>
    <row r="30" spans="1:24" x14ac:dyDescent="0.3">
      <c r="A30" s="640" t="s">
        <v>438</v>
      </c>
      <c r="B30" s="89">
        <f>IF(OR($B$4=Bron!$B$8,$B$4=Bron!$B$9,$B$4=Bron!$B$15),'Bouwkost NB'!$K42,IF($B$4=Bron!$B$10,'Bouwkost UITB'!$K41,IF($B$4=Bron!$B$11,'Bouwkost VERB'!$K41,IF($B$4=Bron!$B$12,'Bouwkost IER'!$K40,IF(OR($B$4=Bron!$B$13,$B$4=Bron!$B$14),'Bouwkost VOLT'!$K41,IF($B$4=Bron!$C$16,'Bouwkost AK+VERB'!$K41,0))))))</f>
        <v>0</v>
      </c>
      <c r="D30" s="89">
        <f>IF(OR($D$4=Bron!$B$8,$D$4=Bron!$B$9,$D$4=Bron!$B$15),'Bouwkost NB'!$K42,IF($D$4=Bron!$B$10,'Bouwkost UITB'!$K41,IF($D$4=Bron!$B$11,'Bouwkost VERB'!$K41,IF($D$4=Bron!$B$12,'Bouwkost IER'!$K40,IF(OR($D$4=Bron!$B$13,$D$4=Bron!$B$14),'Bouwkost VOLT'!$K41,IF($D$4=Bron!$C$16,'Bouwkost AK+VERB'!$K41,0))))))</f>
        <v>0</v>
      </c>
      <c r="F30" s="89">
        <f>IF(OR($F$4=Bron!$B$8,$F$4=Bron!$B$9,$F$4=Bron!$B$15),'Bouwkost NB'!$K42,IF($F$4=Bron!$B$10,'Bouwkost UITB'!$K41,IF($F$4=Bron!$B$11,'Bouwkost VERB'!$K41,IF($F$4=Bron!$B$12,'Bouwkost IER'!$K40,IF(OR($F$4=Bron!$B$13,$F$4=Bron!$B$14),'Bouwkost VOLT'!$K41,IF($F$4=Bron!$C$16,'Bouwkost AK+VERB'!$K41,0))))))</f>
        <v>0</v>
      </c>
      <c r="H30" s="89">
        <f>IF(OR($H$4=Bron!$B$8,$H$4=Bron!$B$9,$H$4=Bron!$B$15),'Bouwkost NB'!$K42,IF($H$4=Bron!$B$10,'Bouwkost UITB'!$K41,IF($H$4=Bron!$B$11,'Bouwkost VERB'!$K41,IF($H$4=Bron!$B$12,'Bouwkost IER'!$K40,IF(OR($H$4=Bron!$B$13,$H$4=Bron!$B$14),'Bouwkost VOLT'!$K41,IF($H$4=Bron!$C$16,'Bouwkost AK+VERB'!$K41,0))))))</f>
        <v>0</v>
      </c>
      <c r="J30" s="89">
        <f>IF(OR($J$4=Bron!$B$8,$J$4=Bron!$B$9,$J$4=Bron!$B$15),'Bouwkost NB'!$V42,IF($J$4=Bron!$B$10,'Bouwkost UITB'!$V41,IF($J$4=Bron!$B$11,'Bouwkost VERB'!$V41,IF($J$4=Bron!$B$12,'Bouwkost IER'!$V40,IF(OR($J$4=Bron!$B$13,$J$4=Bron!$B$14),'Bouwkost VOLT'!$V41,IF($J$4=Bron!$C$16,'Bouwkost AK+VERB'!$V41,0))))))</f>
        <v>0</v>
      </c>
      <c r="L30" s="89">
        <f>IF(OR($L$4=Bron!$B$8,$L$4=Bron!$B$9,$L$4=Bron!$B$15),'Bouwkost NB'!$V42,IF($L$4=Bron!$B$10,'Bouwkost UITB'!$V41,IF($L$4=Bron!$B$11,'Bouwkost VERB'!$V41,IF($L$4=Bron!$B$12,'Bouwkost IER'!$V40,IF(OR($L$4=Bron!$B$13,$L$4=Bron!$B$14),'Bouwkost VOLT'!$V41,IF($L$4=Bron!$C$16,'Bouwkost AK+VERB'!$V41,0))))))</f>
        <v>0</v>
      </c>
      <c r="N30" s="89">
        <f>IF(OR($N$4=Bron!$B$8,$N$4=Bron!$B$9,,$N$4=Bron!$B$15),'Bouwkost NB'!$V42,IF($N$4=Bron!$B$10,'Bouwkost UITB'!$V41,IF($N$4=Bron!$B$11,'Bouwkost VERB'!$V41,IF($N$4=Bron!$B$12,'Bouwkost IER'!$V40,IF(OR($N$4=Bron!$B$13,$N$4=Bron!$B$14),'Bouwkost VOLT'!$V41,IF($N$4=Bron!$C$16,'Bouwkost AK+VERB'!$V41,0))))))</f>
        <v>0</v>
      </c>
      <c r="P30" s="89">
        <f>IF(OR($P$4=Bron!$B$8,$P$4=Bron!$B$9,$P$4=Bron!$B$15),'Bouwkost NB'!$V42,IF($P$4=Bron!$B$10,'Bouwkost UITB'!$V41,IF($P$4=Bron!$B$11,'Bouwkost VERB'!$V41,IF($P$4=Bron!$B$12,'Bouwkost IER'!$V40,IF(OR($P$4=Bron!$B$13,$P$4=Bron!$B$14),'Bouwkost VOLT'!$V41,IF($P$4=Bron!$C$16,'Bouwkost AK+VERB'!$V41,0))))))</f>
        <v>0</v>
      </c>
      <c r="R30" s="89">
        <f>IF(OR($R$4=Bron!$B$8,$R$4=Bron!$B$9,$R$4=Bron!$B$15),'Bouwkost NB'!$AG42,IF($R$4=Bron!$B$10,'Bouwkost UITB'!$AG41,IF($R$4=Bron!$B$11,'Bouwkost VERB'!$AG41,IF($R$4=Bron!$B$12,'Bouwkost IER'!$AG40,IF(OR($R$4=Bron!$B$13,$R$4=Bron!$B$14),'Bouwkost VOLT'!$AG41,IF($R$4=Bron!$C$16,'Bouwkost AK+VERB'!$AG41,0))))))</f>
        <v>0</v>
      </c>
      <c r="T30" s="89">
        <f>IF(OR($T$4=Bron!$B$8,$T$4=Bron!$B$9,$T$4=Bron!$B$15),'Bouwkost NB'!$AG42,IF($T$4=Bron!$B$10,'Bouwkost UITB'!$AG41,IF($T$4=Bron!$B$11,'Bouwkost VERB'!$AG41,IF($T$4=Bron!$B$12,'Bouwkost IER'!$AG40,IF(OR($T$4=Bron!$B$13,$T$4=Bron!$B$14),'Bouwkost VOLT'!$AG41,IF($T$4=Bron!$C$16,'Bouwkost AK+VERB'!$AG41,0))))))</f>
        <v>0</v>
      </c>
      <c r="V30" s="89">
        <f>IF(OR($V$4=Bron!$B$8,$V$4=Bron!$B$9,$V$4=Bron!$B$15),'Bouwkost NB'!$AG42,IF($V$4=Bron!$B$10,'Bouwkost UITB'!$AG41,IF($V$4=Bron!$B$11,'Bouwkost VERB'!$AG41,IF($V$4=Bron!$B$12,'Bouwkost IER'!$AG40,IF(OR($V$4=Bron!$B$13,$V$4=Bron!$B$14),'Bouwkost VOLT'!$AG41,IF($V$4=Bron!$C$16,'Bouwkost AK+VERB'!$AG41,0))))))</f>
        <v>0</v>
      </c>
      <c r="X30" s="89">
        <f>IF(OR($X$4=Bron!$B$8,$X$4=Bron!$B$9,$X$4=Bron!$B$15),'Bouwkost NB'!$AG42,IF($X$4=Bron!$B$10,'Bouwkost UITB'!$AG41,IF($X$4=Bron!$B$11,'Bouwkost VERB'!$AG41,IF($X$4=Bron!$B$12,'Bouwkost IER'!$AG40,IF(OR($X$4=Bron!$B$13,$X$4=Bron!$B$14),'Bouwkost VOLT'!$AG41,IF($X$4=Bron!$C$16,'Bouwkost AK+VERB'!$AG41,0))))))</f>
        <v>0</v>
      </c>
    </row>
    <row r="31" spans="1:24" x14ac:dyDescent="0.3">
      <c r="A31" s="640" t="s">
        <v>439</v>
      </c>
      <c r="B31" s="89">
        <f>IF(OR($B$4=Bron!$B$8,$B$4=Bron!$B$9,$B$4=Bron!$B$15),'Bouwkost NB'!$K43,IF($B$4=Bron!$B$10,'Bouwkost UITB'!$K42,IF($B$4=Bron!$B$11,'Bouwkost VERB'!$K42,IF($B$4=Bron!$B$12,'Bouwkost IER'!$K41,IF(OR($B$4=Bron!$B$13,$B$4=Bron!$B$14),'Bouwkost VOLT'!$K42,IF($B$4=Bron!$C$16,'Bouwkost AK+VERB'!$K42,0))))))</f>
        <v>0</v>
      </c>
      <c r="D31" s="89">
        <f>IF(OR($D$4=Bron!$B$8,$D$4=Bron!$B$9,$D$4=Bron!$B$15),'Bouwkost NB'!$K43,IF($D$4=Bron!$B$10,'Bouwkost UITB'!$K42,IF($D$4=Bron!$B$11,'Bouwkost VERB'!$K42,IF($D$4=Bron!$B$12,'Bouwkost IER'!$K41,IF(OR($D$4=Bron!$B$13,$D$4=Bron!$B$14),'Bouwkost VOLT'!$K42,IF($D$4=Bron!$C$16,'Bouwkost AK+VERB'!$K42,0))))))</f>
        <v>0</v>
      </c>
      <c r="F31" s="89">
        <f>IF(OR($F$4=Bron!$B$8,$F$4=Bron!$B$9,$F$4=Bron!$B$15),'Bouwkost NB'!$K43,IF($F$4=Bron!$B$10,'Bouwkost UITB'!$K42,IF($F$4=Bron!$B$11,'Bouwkost VERB'!$K42,IF($F$4=Bron!$B$12,'Bouwkost IER'!$K41,IF(OR($F$4=Bron!$B$13,$F$4=Bron!$B$14),'Bouwkost VOLT'!$K42,IF($F$4=Bron!$C$16,'Bouwkost AK+VERB'!$K42,0))))))</f>
        <v>0</v>
      </c>
      <c r="H31" s="89">
        <f>IF(OR($H$4=Bron!$B$8,$H$4=Bron!$B$9,$H$4=Bron!$B$15),'Bouwkost NB'!$K43,IF($H$4=Bron!$B$10,'Bouwkost UITB'!$K42,IF($H$4=Bron!$B$11,'Bouwkost VERB'!$K42,IF($H$4=Bron!$B$12,'Bouwkost IER'!$K41,IF(OR($H$4=Bron!$B$13,$H$4=Bron!$B$14),'Bouwkost VOLT'!$K42,IF($H$4=Bron!$C$16,'Bouwkost AK+VERB'!$K42,0))))))</f>
        <v>0</v>
      </c>
      <c r="J31" s="89">
        <f>IF(OR($J$4=Bron!$B$8,$J$4=Bron!$B$9,$J$4=Bron!$B$15),'Bouwkost NB'!$V43,IF($J$4=Bron!$B$10,'Bouwkost UITB'!$V42,IF($J$4=Bron!$B$11,'Bouwkost VERB'!$V42,IF($J$4=Bron!$B$12,'Bouwkost IER'!$V41,IF(OR($J$4=Bron!$B$13,$J$4=Bron!$B$14),'Bouwkost VOLT'!$V42,IF($J$4=Bron!$C$16,'Bouwkost AK+VERB'!$V42,0))))))</f>
        <v>0</v>
      </c>
      <c r="L31" s="89">
        <f>IF(OR($L$4=Bron!$B$8,$L$4=Bron!$B$9,$L$4=Bron!$B$15),'Bouwkost NB'!$V43,IF($L$4=Bron!$B$10,'Bouwkost UITB'!$V42,IF($L$4=Bron!$B$11,'Bouwkost VERB'!$V42,IF($L$4=Bron!$B$12,'Bouwkost IER'!$V41,IF(OR($L$4=Bron!$B$13,$L$4=Bron!$B$14),'Bouwkost VOLT'!$V42,IF($L$4=Bron!$C$16,'Bouwkost AK+VERB'!$V42,0))))))</f>
        <v>0</v>
      </c>
      <c r="N31" s="89">
        <f>IF(OR($N$4=Bron!$B$8,$N$4=Bron!$B$9,,$N$4=Bron!$B$15),'Bouwkost NB'!$V43,IF($N$4=Bron!$B$10,'Bouwkost UITB'!$V42,IF($N$4=Bron!$B$11,'Bouwkost VERB'!$V42,IF($N$4=Bron!$B$12,'Bouwkost IER'!$V41,IF(OR($N$4=Bron!$B$13,$N$4=Bron!$B$14),'Bouwkost VOLT'!$V42,IF($N$4=Bron!$C$16,'Bouwkost AK+VERB'!$V42,0))))))</f>
        <v>0</v>
      </c>
      <c r="P31" s="89">
        <f>IF(OR($P$4=Bron!$B$8,$P$4=Bron!$B$9,$P$4=Bron!$B$15),'Bouwkost NB'!$V43,IF($P$4=Bron!$B$10,'Bouwkost UITB'!$V42,IF($P$4=Bron!$B$11,'Bouwkost VERB'!$V42,IF($P$4=Bron!$B$12,'Bouwkost IER'!$V41,IF(OR($P$4=Bron!$B$13,$P$4=Bron!$B$14),'Bouwkost VOLT'!$V42,IF($P$4=Bron!$C$16,'Bouwkost AK+VERB'!$V42,0))))))</f>
        <v>0</v>
      </c>
      <c r="R31" s="89">
        <f>IF(OR($R$4=Bron!$B$8,$R$4=Bron!$B$9,$R$4=Bron!$B$15),'Bouwkost NB'!$AG43,IF($R$4=Bron!$B$10,'Bouwkost UITB'!$AG42,IF($R$4=Bron!$B$11,'Bouwkost VERB'!$AG42,IF($R$4=Bron!$B$12,'Bouwkost IER'!$AG41,IF(OR($R$4=Bron!$B$13,$R$4=Bron!$B$14),'Bouwkost VOLT'!$AG42,IF($R$4=Bron!$C$16,'Bouwkost AK+VERB'!$AG42,0))))))</f>
        <v>0</v>
      </c>
      <c r="T31" s="89">
        <f>IF(OR($T$4=Bron!$B$8,$T$4=Bron!$B$9,$T$4=Bron!$B$15),'Bouwkost NB'!$AG43,IF($T$4=Bron!$B$10,'Bouwkost UITB'!$AG42,IF($T$4=Bron!$B$11,'Bouwkost VERB'!$AG42,IF($T$4=Bron!$B$12,'Bouwkost IER'!$AG41,IF(OR($T$4=Bron!$B$13,$T$4=Bron!$B$14),'Bouwkost VOLT'!$AG42,IF($T$4=Bron!$C$16,'Bouwkost AK+VERB'!$AG42,0))))))</f>
        <v>0</v>
      </c>
      <c r="V31" s="89">
        <f>IF(OR($V$4=Bron!$B$8,$V$4=Bron!$B$9,$V$4=Bron!$B$15),'Bouwkost NB'!$AG43,IF($V$4=Bron!$B$10,'Bouwkost UITB'!$AG42,IF($V$4=Bron!$B$11,'Bouwkost VERB'!$AG42,IF($V$4=Bron!$B$12,'Bouwkost IER'!$AG41,IF(OR($V$4=Bron!$B$13,$V$4=Bron!$B$14),'Bouwkost VOLT'!$AG42,IF($V$4=Bron!$C$16,'Bouwkost AK+VERB'!$AG42,0))))))</f>
        <v>0</v>
      </c>
      <c r="X31" s="89">
        <f>IF(OR($X$4=Bron!$B$8,$X$4=Bron!$B$9,$X$4=Bron!$B$15),'Bouwkost NB'!$AG43,IF($X$4=Bron!$B$10,'Bouwkost UITB'!$AG42,IF($X$4=Bron!$B$11,'Bouwkost VERB'!$AG42,IF($X$4=Bron!$B$12,'Bouwkost IER'!$AG41,IF(OR($X$4=Bron!$B$13,$X$4=Bron!$B$14),'Bouwkost VOLT'!$AG42,IF($X$4=Bron!$C$16,'Bouwkost AK+VERB'!$AG42,0))))))</f>
        <v>0</v>
      </c>
    </row>
    <row r="32" spans="1:24" x14ac:dyDescent="0.3">
      <c r="A32" s="641" t="s">
        <v>440</v>
      </c>
      <c r="B32" s="89">
        <f>IF(OR($B$4=Bron!$B$8,$B$4=Bron!$B$9,$B$4=Bron!$B$15),'Bouwkost NB'!$K44,IF($B$4=Bron!$B$10,'Bouwkost UITB'!$K43,IF($B$4=Bron!$B$11,'Bouwkost VERB'!$K43,IF($B$4=Bron!$B$12,'Bouwkost IER'!$K42,IF(OR($B$4=Bron!$B$13,$B$4=Bron!$B$14),'Bouwkost VOLT'!$K43,IF($B$4=Bron!$C$16,'Bouwkost AK+VERB'!$K43,0))))))</f>
        <v>0</v>
      </c>
      <c r="D32" s="89">
        <f>IF(OR($D$4=Bron!$B$8,$D$4=Bron!$B$9,$D$4=Bron!$B$15),'Bouwkost NB'!$K44,IF($D$4=Bron!$B$10,'Bouwkost UITB'!$K43,IF($D$4=Bron!$B$11,'Bouwkost VERB'!$K43,IF($D$4=Bron!$B$12,'Bouwkost IER'!$K42,IF(OR($D$4=Bron!$B$13,$D$4=Bron!$B$14),'Bouwkost VOLT'!$K43,IF($D$4=Bron!$C$16,'Bouwkost AK+VERB'!$K43,0))))))</f>
        <v>0</v>
      </c>
      <c r="F32" s="89">
        <f>IF(OR($F$4=Bron!$B$8,$F$4=Bron!$B$9,$F$4=Bron!$B$15),'Bouwkost NB'!$K44,IF($F$4=Bron!$B$10,'Bouwkost UITB'!$K43,IF($F$4=Bron!$B$11,'Bouwkost VERB'!$K43,IF($F$4=Bron!$B$12,'Bouwkost IER'!$K42,IF(OR($F$4=Bron!$B$13,$F$4=Bron!$B$14),'Bouwkost VOLT'!$K43,IF($F$4=Bron!$C$16,'Bouwkost AK+VERB'!$K43,0))))))</f>
        <v>0</v>
      </c>
      <c r="H32" s="89">
        <f>IF(OR($H$4=Bron!$B$8,$H$4=Bron!$B$9,$H$4=Bron!$B$15),'Bouwkost NB'!$K44,IF($H$4=Bron!$B$10,'Bouwkost UITB'!$K43,IF($H$4=Bron!$B$11,'Bouwkost VERB'!$K43,IF($H$4=Bron!$B$12,'Bouwkost IER'!$K42,IF(OR($H$4=Bron!$B$13,$H$4=Bron!$B$14),'Bouwkost VOLT'!$K43,IF($H$4=Bron!$C$16,'Bouwkost AK+VERB'!$K43,0))))))</f>
        <v>0</v>
      </c>
      <c r="J32" s="89">
        <f>IF(OR($J$4=Bron!$B$8,$J$4=Bron!$B$9,$J$4=Bron!$B$15),'Bouwkost NB'!$V44,IF($J$4=Bron!$B$10,'Bouwkost UITB'!$V43,IF($J$4=Bron!$B$11,'Bouwkost VERB'!$V43,IF($J$4=Bron!$B$12,'Bouwkost IER'!$V42,IF(OR($J$4=Bron!$B$13,$J$4=Bron!$B$14),'Bouwkost VOLT'!$V43,IF($J$4=Bron!$C$16,'Bouwkost AK+VERB'!$V43,0))))))</f>
        <v>0</v>
      </c>
      <c r="L32" s="89">
        <f>IF(OR($L$4=Bron!$B$8,$L$4=Bron!$B$9,$L$4=Bron!$B$15),'Bouwkost NB'!$V44,IF($L$4=Bron!$B$10,'Bouwkost UITB'!$V43,IF($L$4=Bron!$B$11,'Bouwkost VERB'!$V43,IF($L$4=Bron!$B$12,'Bouwkost IER'!$V42,IF(OR($L$4=Bron!$B$13,$L$4=Bron!$B$14),'Bouwkost VOLT'!$V43,IF($L$4=Bron!$C$16,'Bouwkost AK+VERB'!$V43,0))))))</f>
        <v>0</v>
      </c>
      <c r="N32" s="89">
        <f>IF(OR($N$4=Bron!$B$8,$N$4=Bron!$B$9,,$N$4=Bron!$B$15),'Bouwkost NB'!$V44,IF($N$4=Bron!$B$10,'Bouwkost UITB'!$V43,IF($N$4=Bron!$B$11,'Bouwkost VERB'!$V43,IF($N$4=Bron!$B$12,'Bouwkost IER'!$V42,IF(OR($N$4=Bron!$B$13,$N$4=Bron!$B$14),'Bouwkost VOLT'!$V43,IF($N$4=Bron!$C$16,'Bouwkost AK+VERB'!$V43,0))))))</f>
        <v>0</v>
      </c>
      <c r="P32" s="89">
        <f>IF(OR($P$4=Bron!$B$8,$P$4=Bron!$B$9,$P$4=Bron!$B$15),'Bouwkost NB'!$V44,IF($P$4=Bron!$B$10,'Bouwkost UITB'!$V43,IF($P$4=Bron!$B$11,'Bouwkost VERB'!$V43,IF($P$4=Bron!$B$12,'Bouwkost IER'!$V42,IF(OR($P$4=Bron!$B$13,$P$4=Bron!$B$14),'Bouwkost VOLT'!$V43,IF($P$4=Bron!$C$16,'Bouwkost AK+VERB'!$V43,0))))))</f>
        <v>0</v>
      </c>
      <c r="R32" s="89">
        <f>IF(OR($R$4=Bron!$B$8,$R$4=Bron!$B$9,$R$4=Bron!$B$15),'Bouwkost NB'!$AG44,IF($R$4=Bron!$B$10,'Bouwkost UITB'!$AG43,IF($R$4=Bron!$B$11,'Bouwkost VERB'!$AG43,IF($R$4=Bron!$B$12,'Bouwkost IER'!$AG42,IF(OR($R$4=Bron!$B$13,$R$4=Bron!$B$14),'Bouwkost VOLT'!$AG43,IF($R$4=Bron!$C$16,'Bouwkost AK+VERB'!$AG43,0))))))</f>
        <v>0</v>
      </c>
      <c r="T32" s="89">
        <f>IF(OR($T$4=Bron!$B$8,$T$4=Bron!$B$9,$T$4=Bron!$B$15),'Bouwkost NB'!$AG44,IF($T$4=Bron!$B$10,'Bouwkost UITB'!$AG43,IF($T$4=Bron!$B$11,'Bouwkost VERB'!$AG43,IF($T$4=Bron!$B$12,'Bouwkost IER'!$AG42,IF(OR($T$4=Bron!$B$13,$T$4=Bron!$B$14),'Bouwkost VOLT'!$AG43,IF($T$4=Bron!$C$16,'Bouwkost AK+VERB'!$AG43,0))))))</f>
        <v>0</v>
      </c>
      <c r="V32" s="89">
        <f>IF(OR($V$4=Bron!$B$8,$V$4=Bron!$B$9,$V$4=Bron!$B$15),'Bouwkost NB'!$AG44,IF($V$4=Bron!$B$10,'Bouwkost UITB'!$AG43,IF($V$4=Bron!$B$11,'Bouwkost VERB'!$AG43,IF($V$4=Bron!$B$12,'Bouwkost IER'!$AG42,IF(OR($V$4=Bron!$B$13,$V$4=Bron!$B$14),'Bouwkost VOLT'!$AG43,IF($V$4=Bron!$C$16,'Bouwkost AK+VERB'!$AG43,0))))))</f>
        <v>0</v>
      </c>
      <c r="X32" s="89">
        <f>IF(OR($X$4=Bron!$B$8,$X$4=Bron!$B$9,$X$4=Bron!$B$15),'Bouwkost NB'!$AG44,IF($X$4=Bron!$B$10,'Bouwkost UITB'!$AG43,IF($X$4=Bron!$B$11,'Bouwkost VERB'!$AG43,IF($X$4=Bron!$B$12,'Bouwkost IER'!$AG42,IF(OR($X$4=Bron!$B$13,$X$4=Bron!$B$14),'Bouwkost VOLT'!$AG43,IF($X$4=Bron!$C$16,'Bouwkost AK+VERB'!$AG43,0))))))</f>
        <v>0</v>
      </c>
    </row>
    <row r="33" spans="1:25" x14ac:dyDescent="0.3">
      <c r="A33" s="641" t="s">
        <v>441</v>
      </c>
      <c r="B33" s="89">
        <f>IF(OR($B$4=Bron!$B$8,$B$4=Bron!$B$9,$B$4=Bron!$B$15),'Bouwkost NB'!$K45,IF($B$4=Bron!$B$10,'Bouwkost UITB'!$K44,IF($B$4=Bron!$B$11,'Bouwkost VERB'!$K44,IF($B$4=Bron!$B$12,'Bouwkost IER'!$K43,IF(OR($B$4=Bron!$B$13,$B$4=Bron!$B$14),'Bouwkost VOLT'!$K44,IF($B$4=Bron!$C$16,'Bouwkost AK+VERB'!$K44,0))))))</f>
        <v>0</v>
      </c>
      <c r="D33" s="89">
        <f>IF(OR($D$4=Bron!$B$8,$D$4=Bron!$B$9,$D$4=Bron!$B$15),'Bouwkost NB'!$K45,IF($D$4=Bron!$B$10,'Bouwkost UITB'!$K44,IF($D$4=Bron!$B$11,'Bouwkost VERB'!$K44,IF($D$4=Bron!$B$12,'Bouwkost IER'!$K43,IF(OR($D$4=Bron!$B$13,$D$4=Bron!$B$14),'Bouwkost VOLT'!$K44,IF($D$4=Bron!$C$16,'Bouwkost AK+VERB'!$K44,0))))))</f>
        <v>0</v>
      </c>
      <c r="F33" s="89">
        <f>IF(OR($F$4=Bron!$B$8,$F$4=Bron!$B$9,$F$4=Bron!$B$15),'Bouwkost NB'!$K45,IF($F$4=Bron!$B$10,'Bouwkost UITB'!$K44,IF($F$4=Bron!$B$11,'Bouwkost VERB'!$K44,IF($F$4=Bron!$B$12,'Bouwkost IER'!$K43,IF(OR($F$4=Bron!$B$13,$F$4=Bron!$B$14),'Bouwkost VOLT'!$K44,IF($F$4=Bron!$C$16,'Bouwkost AK+VERB'!$K44,0))))))</f>
        <v>0</v>
      </c>
      <c r="H33" s="89">
        <f>IF(OR($H$4=Bron!$B$8,$H$4=Bron!$B$9,$H$4=Bron!$B$15),'Bouwkost NB'!$K45,IF($H$4=Bron!$B$10,'Bouwkost UITB'!$K44,IF($H$4=Bron!$B$11,'Bouwkost VERB'!$K44,IF($H$4=Bron!$B$12,'Bouwkost IER'!$K43,IF(OR($H$4=Bron!$B$13,$H$4=Bron!$B$14),'Bouwkost VOLT'!$K44,IF($H$4=Bron!$C$16,'Bouwkost AK+VERB'!$K44,0))))))</f>
        <v>0</v>
      </c>
      <c r="J33" s="89">
        <f>IF(OR($J$4=Bron!$B$8,$J$4=Bron!$B$9,$J$4=Bron!$B$15),'Bouwkost NB'!$V45,IF($J$4=Bron!$B$10,'Bouwkost UITB'!$V44,IF($J$4=Bron!$B$11,'Bouwkost VERB'!$V44,IF($J$4=Bron!$B$12,'Bouwkost IER'!$V43,IF(OR($J$4=Bron!$B$13,$J$4=Bron!$B$14),'Bouwkost VOLT'!$V44,IF($J$4=Bron!$C$16,'Bouwkost AK+VERB'!$V44,0))))))</f>
        <v>0</v>
      </c>
      <c r="L33" s="89">
        <f>IF(OR($L$4=Bron!$B$8,$L$4=Bron!$B$9,$L$4=Bron!$B$15),'Bouwkost NB'!$V45,IF($L$4=Bron!$B$10,'Bouwkost UITB'!$V44,IF($L$4=Bron!$B$11,'Bouwkost VERB'!$V44,IF($L$4=Bron!$B$12,'Bouwkost IER'!$V43,IF(OR($L$4=Bron!$B$13,$L$4=Bron!$B$14),'Bouwkost VOLT'!$V44,IF($L$4=Bron!$C$16,'Bouwkost AK+VERB'!$V44,0))))))</f>
        <v>0</v>
      </c>
      <c r="N33" s="89">
        <f>IF(OR($N$4=Bron!$B$8,$N$4=Bron!$B$9,,$N$4=Bron!$B$15),'Bouwkost NB'!$V45,IF($N$4=Bron!$B$10,'Bouwkost UITB'!$V44,IF($N$4=Bron!$B$11,'Bouwkost VERB'!$V44,IF($N$4=Bron!$B$12,'Bouwkost IER'!$V43,IF(OR($N$4=Bron!$B$13,$N$4=Bron!$B$14),'Bouwkost VOLT'!$V44,IF($N$4=Bron!$C$16,'Bouwkost AK+VERB'!$V44,0))))))</f>
        <v>0</v>
      </c>
      <c r="P33" s="89">
        <f>IF(OR($P$4=Bron!$B$8,$P$4=Bron!$B$9,$P$4=Bron!$B$15),'Bouwkost NB'!$V45,IF($P$4=Bron!$B$10,'Bouwkost UITB'!$V44,IF($P$4=Bron!$B$11,'Bouwkost VERB'!$V44,IF($P$4=Bron!$B$12,'Bouwkost IER'!$V43,IF(OR($P$4=Bron!$B$13,$P$4=Bron!$B$14),'Bouwkost VOLT'!$V44,IF($P$4=Bron!$C$16,'Bouwkost AK+VERB'!$V44,0))))))</f>
        <v>0</v>
      </c>
      <c r="R33" s="89">
        <f>IF(OR($R$4=Bron!$B$8,$R$4=Bron!$B$9,$R$4=Bron!$B$15),'Bouwkost NB'!$AG45,IF($R$4=Bron!$B$10,'Bouwkost UITB'!$AG44,IF($R$4=Bron!$B$11,'Bouwkost VERB'!$AG44,IF($R$4=Bron!$B$12,'Bouwkost IER'!$AG43,IF(OR($R$4=Bron!$B$13,$R$4=Bron!$B$14),'Bouwkost VOLT'!$AG44,IF($R$4=Bron!$C$16,'Bouwkost AK+VERB'!$AG44,0))))))</f>
        <v>0</v>
      </c>
      <c r="T33" s="89">
        <f>IF(OR($T$4=Bron!$B$8,$T$4=Bron!$B$9,$T$4=Bron!$B$15),'Bouwkost NB'!$AG45,IF($T$4=Bron!$B$10,'Bouwkost UITB'!$AG44,IF($T$4=Bron!$B$11,'Bouwkost VERB'!$AG44,IF($T$4=Bron!$B$12,'Bouwkost IER'!$AG43,IF(OR($T$4=Bron!$B$13,$T$4=Bron!$B$14),'Bouwkost VOLT'!$AG44,IF($T$4=Bron!$C$16,'Bouwkost AK+VERB'!$AG44,0))))))</f>
        <v>0</v>
      </c>
      <c r="V33" s="89">
        <f>IF(OR($V$4=Bron!$B$8,$V$4=Bron!$B$9,$V$4=Bron!$B$15),'Bouwkost NB'!$AG45,IF($V$4=Bron!$B$10,'Bouwkost UITB'!$AG44,IF($V$4=Bron!$B$11,'Bouwkost VERB'!$AG44,IF($V$4=Bron!$B$12,'Bouwkost IER'!$AG43,IF(OR($V$4=Bron!$B$13,$V$4=Bron!$B$14),'Bouwkost VOLT'!$AG44,IF($V$4=Bron!$C$16,'Bouwkost AK+VERB'!$AG44,0))))))</f>
        <v>0</v>
      </c>
      <c r="X33" s="89">
        <f>IF(OR($X$4=Bron!$B$8,$X$4=Bron!$B$9,$X$4=Bron!$B$15),'Bouwkost NB'!$AG45,IF($X$4=Bron!$B$10,'Bouwkost UITB'!$AG44,IF($X$4=Bron!$B$11,'Bouwkost VERB'!$AG44,IF($X$4=Bron!$B$12,'Bouwkost IER'!$AG43,IF(OR($X$4=Bron!$B$13,$X$4=Bron!$B$14),'Bouwkost VOLT'!$AG44,IF($X$4=Bron!$C$16,'Bouwkost AK+VERB'!$AG44,0))))))</f>
        <v>0</v>
      </c>
    </row>
    <row r="34" spans="1:25" x14ac:dyDescent="0.3">
      <c r="A34" s="640" t="s">
        <v>429</v>
      </c>
      <c r="B34" s="89">
        <f>IF(OR($B$4=Bron!$B$8,$B$4=Bron!$B$9,$B$4=Bron!$B$15),'Bouwkost NB'!$K46,IF($B$4=Bron!$B$10,'Bouwkost UITB'!$K45,IF($B$4=Bron!$B$11,'Bouwkost VERB'!$K45,IF($B$4=Bron!$B$12,'Bouwkost IER'!$K44,IF(OR($B$4=Bron!$B$13,$B$4=Bron!$B$14),'Bouwkost VOLT'!$K45,IF($B$4=Bron!$C$16,'Bouwkost AK+VERB'!$K45,0))))))</f>
        <v>0</v>
      </c>
      <c r="D34" s="89">
        <f>IF(OR($D$4=Bron!$B$8,$D$4=Bron!$B$9,$D$4=Bron!$B$15),'Bouwkost NB'!$K46,IF($D$4=Bron!$B$10,'Bouwkost UITB'!$K45,IF($D$4=Bron!$B$11,'Bouwkost VERB'!$K45,IF($D$4=Bron!$B$12,'Bouwkost IER'!$K44,IF(OR($D$4=Bron!$B$13,$D$4=Bron!$B$14),'Bouwkost VOLT'!$K45,IF($D$4=Bron!$C$16,'Bouwkost AK+VERB'!$K45,0))))))</f>
        <v>0</v>
      </c>
      <c r="F34" s="89">
        <f>IF(OR($F$4=Bron!$B$8,$F$4=Bron!$B$9,$F$4=Bron!$B$15),'Bouwkost NB'!$K46,IF($F$4=Bron!$B$10,'Bouwkost UITB'!$K45,IF($F$4=Bron!$B$11,'Bouwkost VERB'!$K45,IF($F$4=Bron!$B$12,'Bouwkost IER'!$K44,IF(OR($F$4=Bron!$B$13,$F$4=Bron!$B$14),'Bouwkost VOLT'!$K45,IF($F$4=Bron!$C$16,'Bouwkost AK+VERB'!$K45,0))))))</f>
        <v>0</v>
      </c>
      <c r="H34" s="89">
        <f>IF(OR($H$4=Bron!$B$8,$H$4=Bron!$B$9,$H$4=Bron!$B$15),'Bouwkost NB'!$K46,IF($H$4=Bron!$B$10,'Bouwkost UITB'!$K45,IF($H$4=Bron!$B$11,'Bouwkost VERB'!$K45,IF($H$4=Bron!$B$12,'Bouwkost IER'!$K44,IF(OR($H$4=Bron!$B$13,$H$4=Bron!$B$14),'Bouwkost VOLT'!$K45,IF($H$4=Bron!$C$16,'Bouwkost AK+VERB'!$K45,0))))))</f>
        <v>0</v>
      </c>
      <c r="J34" s="89">
        <f>IF(OR($J$4=Bron!$B$8,$J$4=Bron!$B$9,$J$4=Bron!$B$15),'Bouwkost NB'!$V46,IF($J$4=Bron!$B$10,'Bouwkost UITB'!$V45,IF($J$4=Bron!$B$11,'Bouwkost VERB'!$V45,IF($J$4=Bron!$B$12,'Bouwkost IER'!$V44,IF(OR($J$4=Bron!$B$13,$J$4=Bron!$B$14),'Bouwkost VOLT'!$V45,IF($J$4=Bron!$C$16,'Bouwkost AK+VERB'!$V45,0))))))</f>
        <v>0</v>
      </c>
      <c r="L34" s="89">
        <f>IF(OR($L$4=Bron!$B$8,$L$4=Bron!$B$9,$L$4=Bron!$B$15),'Bouwkost NB'!$V46,IF($L$4=Bron!$B$10,'Bouwkost UITB'!$V45,IF($L$4=Bron!$B$11,'Bouwkost VERB'!$V45,IF($L$4=Bron!$B$12,'Bouwkost IER'!$V44,IF(OR($L$4=Bron!$B$13,$L$4=Bron!$B$14),'Bouwkost VOLT'!$V45,IF($L$4=Bron!$C$16,'Bouwkost AK+VERB'!$V45,0))))))</f>
        <v>0</v>
      </c>
      <c r="N34" s="89">
        <f>IF(OR($N$4=Bron!$B$8,$N$4=Bron!$B$9,,$N$4=Bron!$B$15),'Bouwkost NB'!$V46,IF($N$4=Bron!$B$10,'Bouwkost UITB'!$V45,IF($N$4=Bron!$B$11,'Bouwkost VERB'!$V45,IF($N$4=Bron!$B$12,'Bouwkost IER'!$V44,IF(OR($N$4=Bron!$B$13,$N$4=Bron!$B$14),'Bouwkost VOLT'!$V45,IF($N$4=Bron!$C$16,'Bouwkost AK+VERB'!$V45,0))))))</f>
        <v>0</v>
      </c>
      <c r="P34" s="89">
        <f>IF(OR($P$4=Bron!$B$8,$P$4=Bron!$B$9,$P$4=Bron!$B$15),'Bouwkost NB'!$V46,IF($P$4=Bron!$B$10,'Bouwkost UITB'!$V45,IF($P$4=Bron!$B$11,'Bouwkost VERB'!$V45,IF($P$4=Bron!$B$12,'Bouwkost IER'!$V44,IF(OR($P$4=Bron!$B$13,$P$4=Bron!$B$14),'Bouwkost VOLT'!$V45,IF($P$4=Bron!$C$16,'Bouwkost AK+VERB'!$V45,0))))))</f>
        <v>0</v>
      </c>
      <c r="R34" s="89">
        <f>IF(OR($R$4=Bron!$B$8,$R$4=Bron!$B$9,$R$4=Bron!$B$15),'Bouwkost NB'!$AG46,IF($R$4=Bron!$B$10,'Bouwkost UITB'!$AG45,IF($R$4=Bron!$B$11,'Bouwkost VERB'!$AG45,IF($R$4=Bron!$B$12,'Bouwkost IER'!$AG44,IF(OR($R$4=Bron!$B$13,$R$4=Bron!$B$14),'Bouwkost VOLT'!$AG45,IF($R$4=Bron!$C$16,'Bouwkost AK+VERB'!$AG45,0))))))</f>
        <v>0</v>
      </c>
      <c r="T34" s="89">
        <f>IF(OR($T$4=Bron!$B$8,$T$4=Bron!$B$9,$T$4=Bron!$B$15),'Bouwkost NB'!$AG46,IF($T$4=Bron!$B$10,'Bouwkost UITB'!$AG45,IF($T$4=Bron!$B$11,'Bouwkost VERB'!$AG45,IF($T$4=Bron!$B$12,'Bouwkost IER'!$AG44,IF(OR($T$4=Bron!$B$13,$T$4=Bron!$B$14),'Bouwkost VOLT'!$AG45,IF($T$4=Bron!$C$16,'Bouwkost AK+VERB'!$AG45,0))))))</f>
        <v>0</v>
      </c>
      <c r="V34" s="89">
        <f>IF(OR($V$4=Bron!$B$8,$V$4=Bron!$B$9,$V$4=Bron!$B$15),'Bouwkost NB'!$AG46,IF($V$4=Bron!$B$10,'Bouwkost UITB'!$AG45,IF($V$4=Bron!$B$11,'Bouwkost VERB'!$AG45,IF($V$4=Bron!$B$12,'Bouwkost IER'!$AG44,IF(OR($V$4=Bron!$B$13,$V$4=Bron!$B$14),'Bouwkost VOLT'!$AG45,IF($V$4=Bron!$C$16,'Bouwkost AK+VERB'!$AG45,0))))))</f>
        <v>0</v>
      </c>
      <c r="X34" s="89">
        <f>IF(OR($X$4=Bron!$B$8,$X$4=Bron!$B$9,$X$4=Bron!$B$15),'Bouwkost NB'!$AG46,IF($X$4=Bron!$B$10,'Bouwkost UITB'!$AG45,IF($X$4=Bron!$B$11,'Bouwkost VERB'!$AG45,IF($X$4=Bron!$B$12,'Bouwkost IER'!$AG44,IF(OR($X$4=Bron!$B$13,$X$4=Bron!$B$14),'Bouwkost VOLT'!$AG45,IF($X$4=Bron!$C$16,'Bouwkost AK+VERB'!$AG45,0))))))</f>
        <v>0</v>
      </c>
    </row>
    <row r="35" spans="1:25" x14ac:dyDescent="0.3">
      <c r="A35" s="640" t="s">
        <v>430</v>
      </c>
      <c r="B35" s="89">
        <f>IF(OR($B$4=Bron!$B$8,$B$4=Bron!$B$9,$B$4=Bron!$B$15),'Bouwkost NB'!$K47,IF($B$4=Bron!$B$10,'Bouwkost UITB'!$K46,IF($B$4=Bron!$B$11,'Bouwkost VERB'!$K46,IF($B$4=Bron!$B$12,'Bouwkost IER'!$K45,IF(OR($B$4=Bron!$B$13,$B$4=Bron!$B$14),'Bouwkost VOLT'!$K46,IF($B$4=Bron!$C$16,'Bouwkost AK+VERB'!$K46,0))))))</f>
        <v>0</v>
      </c>
      <c r="D35" s="89">
        <f>IF(OR($D$4=Bron!$B$8,$D$4=Bron!$B$9,$D$4=Bron!$B$15),'Bouwkost NB'!$K47,IF($D$4=Bron!$B$10,'Bouwkost UITB'!$K46,IF($D$4=Bron!$B$11,'Bouwkost VERB'!$K46,IF($D$4=Bron!$B$12,'Bouwkost IER'!$K45,IF(OR($D$4=Bron!$B$13,$D$4=Bron!$B$14),'Bouwkost VOLT'!$K46,IF($D$4=Bron!$C$16,'Bouwkost AK+VERB'!$K46,0))))))</f>
        <v>0</v>
      </c>
      <c r="F35" s="89">
        <f>IF(OR($F$4=Bron!$B$8,$F$4=Bron!$B$9,$F$4=Bron!$B$15),'Bouwkost NB'!$K47,IF($F$4=Bron!$B$10,'Bouwkost UITB'!$K46,IF($F$4=Bron!$B$11,'Bouwkost VERB'!$K46,IF($F$4=Bron!$B$12,'Bouwkost IER'!$K45,IF(OR($F$4=Bron!$B$13,$F$4=Bron!$B$14),'Bouwkost VOLT'!$K46,IF($F$4=Bron!$C$16,'Bouwkost AK+VERB'!$K46,0))))))</f>
        <v>0</v>
      </c>
      <c r="H35" s="89">
        <f>IF(OR($H$4=Bron!$B$8,$H$4=Bron!$B$9,$H$4=Bron!$B$15),'Bouwkost NB'!$K47,IF($H$4=Bron!$B$10,'Bouwkost UITB'!$K46,IF($H$4=Bron!$B$11,'Bouwkost VERB'!$K46,IF($H$4=Bron!$B$12,'Bouwkost IER'!$K45,IF(OR($H$4=Bron!$B$13,$H$4=Bron!$B$14),'Bouwkost VOLT'!$K46,IF($H$4=Bron!$C$16,'Bouwkost AK+VERB'!$K46,0))))))</f>
        <v>0</v>
      </c>
      <c r="J35" s="89">
        <f>IF(OR($J$4=Bron!$B$8,$J$4=Bron!$B$9,$J$4=Bron!$B$15),'Bouwkost NB'!$V47,IF($J$4=Bron!$B$10,'Bouwkost UITB'!$V46,IF($J$4=Bron!$B$11,'Bouwkost VERB'!$V46,IF($J$4=Bron!$B$12,'Bouwkost IER'!$V45,IF(OR($J$4=Bron!$B$13,$J$4=Bron!$B$14),'Bouwkost VOLT'!$V46,IF($J$4=Bron!$C$16,'Bouwkost AK+VERB'!$V46,0))))))</f>
        <v>0</v>
      </c>
      <c r="L35" s="89">
        <f>IF(OR($L$4=Bron!$B$8,$L$4=Bron!$B$9,$L$4=Bron!$B$15),'Bouwkost NB'!$V47,IF($L$4=Bron!$B$10,'Bouwkost UITB'!$V46,IF($L$4=Bron!$B$11,'Bouwkost VERB'!$V46,IF($L$4=Bron!$B$12,'Bouwkost IER'!$V45,IF(OR($L$4=Bron!$B$13,$L$4=Bron!$B$14),'Bouwkost VOLT'!$V46,IF($L$4=Bron!$C$16,'Bouwkost AK+VERB'!$V46,0))))))</f>
        <v>0</v>
      </c>
      <c r="N35" s="89">
        <f>IF(OR($N$4=Bron!$B$8,$N$4=Bron!$B$9,,$N$4=Bron!$B$15),'Bouwkost NB'!$V47,IF($N$4=Bron!$B$10,'Bouwkost UITB'!$V46,IF($N$4=Bron!$B$11,'Bouwkost VERB'!$V46,IF($N$4=Bron!$B$12,'Bouwkost IER'!$V45,IF(OR($N$4=Bron!$B$13,$N$4=Bron!$B$14),'Bouwkost VOLT'!$V46,IF($N$4=Bron!$C$16,'Bouwkost AK+VERB'!$V46,0))))))</f>
        <v>0</v>
      </c>
      <c r="P35" s="89">
        <f>IF(OR($P$4=Bron!$B$8,$P$4=Bron!$B$9,$P$4=Bron!$B$15),'Bouwkost NB'!$V47,IF($P$4=Bron!$B$10,'Bouwkost UITB'!$V46,IF($P$4=Bron!$B$11,'Bouwkost VERB'!$V46,IF($P$4=Bron!$B$12,'Bouwkost IER'!$V45,IF(OR($P$4=Bron!$B$13,$P$4=Bron!$B$14),'Bouwkost VOLT'!$V46,IF($P$4=Bron!$C$16,'Bouwkost AK+VERB'!$V46,0))))))</f>
        <v>0</v>
      </c>
      <c r="R35" s="89">
        <f>IF(OR($R$4=Bron!$B$8,$R$4=Bron!$B$9,$R$4=Bron!$B$15),'Bouwkost NB'!$AG47,IF($R$4=Bron!$B$10,'Bouwkost UITB'!$AG46,IF($R$4=Bron!$B$11,'Bouwkost VERB'!$AG46,IF($R$4=Bron!$B$12,'Bouwkost IER'!$AG45,IF(OR($R$4=Bron!$B$13,$R$4=Bron!$B$14),'Bouwkost VOLT'!$AG46,IF($R$4=Bron!$C$16,'Bouwkost AK+VERB'!$AG46,0))))))</f>
        <v>0</v>
      </c>
      <c r="T35" s="89">
        <f>IF(OR($T$4=Bron!$B$8,$T$4=Bron!$B$9,$T$4=Bron!$B$15),'Bouwkost NB'!$AG47,IF($T$4=Bron!$B$10,'Bouwkost UITB'!$AG46,IF($T$4=Bron!$B$11,'Bouwkost VERB'!$AG46,IF($T$4=Bron!$B$12,'Bouwkost IER'!$AG45,IF(OR($T$4=Bron!$B$13,$T$4=Bron!$B$14),'Bouwkost VOLT'!$AG46,IF($T$4=Bron!$C$16,'Bouwkost AK+VERB'!$AG46,0))))))</f>
        <v>0</v>
      </c>
      <c r="V35" s="89">
        <f>IF(OR($V$4=Bron!$B$8,$V$4=Bron!$B$9,$V$4=Bron!$B$15),'Bouwkost NB'!$AG47,IF($V$4=Bron!$B$10,'Bouwkost UITB'!$AG46,IF($V$4=Bron!$B$11,'Bouwkost VERB'!$AG46,IF($V$4=Bron!$B$12,'Bouwkost IER'!$AG45,IF(OR($V$4=Bron!$B$13,$V$4=Bron!$B$14),'Bouwkost VOLT'!$AG46,IF($V$4=Bron!$C$16,'Bouwkost AK+VERB'!$AG46,0))))))</f>
        <v>0</v>
      </c>
      <c r="X35" s="89">
        <f>IF(OR($X$4=Bron!$B$8,$X$4=Bron!$B$9,$X$4=Bron!$B$15),'Bouwkost NB'!$AG47,IF($X$4=Bron!$B$10,'Bouwkost UITB'!$AG46,IF($X$4=Bron!$B$11,'Bouwkost VERB'!$AG46,IF($X$4=Bron!$B$12,'Bouwkost IER'!$AG45,IF(OR($X$4=Bron!$B$13,$X$4=Bron!$B$14),'Bouwkost VOLT'!$AG46,IF($X$4=Bron!$C$16,'Bouwkost AK+VERB'!$AG46,0))))))</f>
        <v>0</v>
      </c>
    </row>
    <row r="36" spans="1:25" x14ac:dyDescent="0.3">
      <c r="A36" s="642" t="s">
        <v>431</v>
      </c>
      <c r="B36" s="89">
        <f>IF(OR($B$4=Bron!$B$8,$B$4=Bron!$B$9,$B$4=Bron!$B$15),'Bouwkost NB'!$K48,IF($B$4=Bron!$B$10,'Bouwkost UITB'!$K47,IF($B$4=Bron!$B$11,'Bouwkost VERB'!$K47,IF($B$4=Bron!$B$12,'Bouwkost IER'!$K46,IF(OR($B$4=Bron!$B$13,$B$4=Bron!$B$14),'Bouwkost VOLT'!$K47,IF($B$4=Bron!$C$16,'Bouwkost AK+VERB'!$K47,0))))))</f>
        <v>0</v>
      </c>
      <c r="D36" s="89">
        <f>IF(OR($D$4=Bron!$B$8,$D$4=Bron!$B$9,$D$4=Bron!$B$15),'Bouwkost NB'!$K48,IF($D$4=Bron!$B$10,'Bouwkost UITB'!$K47,IF($D$4=Bron!$B$11,'Bouwkost VERB'!$K47,IF($D$4=Bron!$B$12,'Bouwkost IER'!$K46,IF(OR($D$4=Bron!$B$13,$D$4=Bron!$B$14),'Bouwkost VOLT'!$K47,IF($D$4=Bron!$C$16,'Bouwkost AK+VERB'!$K47,0))))))</f>
        <v>0</v>
      </c>
      <c r="F36" s="89">
        <f>IF(OR($F$4=Bron!$B$8,$F$4=Bron!$B$9,$F$4=Bron!$B$15),'Bouwkost NB'!$K48,IF($F$4=Bron!$B$10,'Bouwkost UITB'!$K47,IF($F$4=Bron!$B$11,'Bouwkost VERB'!$K47,IF($F$4=Bron!$B$12,'Bouwkost IER'!$K46,IF(OR($F$4=Bron!$B$13,$F$4=Bron!$B$14),'Bouwkost VOLT'!$K47,IF($F$4=Bron!$C$16,'Bouwkost AK+VERB'!$K47,0))))))</f>
        <v>0</v>
      </c>
      <c r="H36" s="89">
        <f>IF(OR($H$4=Bron!$B$8,$H$4=Bron!$B$9,$H$4=Bron!$B$15),'Bouwkost NB'!$K48,IF($H$4=Bron!$B$10,'Bouwkost UITB'!$K47,IF($H$4=Bron!$B$11,'Bouwkost VERB'!$K47,IF($H$4=Bron!$B$12,'Bouwkost IER'!$K46,IF(OR($H$4=Bron!$B$13,$H$4=Bron!$B$14),'Bouwkost VOLT'!$K47,IF($H$4=Bron!$C$16,'Bouwkost AK+VERB'!$K47,0))))))</f>
        <v>0</v>
      </c>
      <c r="J36" s="89">
        <f>IF(OR($J$4=Bron!$B$8,$J$4=Bron!$B$9,$J$4=Bron!$B$15),'Bouwkost NB'!$V48,IF($J$4=Bron!$B$10,'Bouwkost UITB'!$V47,IF($J$4=Bron!$B$11,'Bouwkost VERB'!$V47,IF($J$4=Bron!$B$12,'Bouwkost IER'!$V46,IF(OR($J$4=Bron!$B$13,$J$4=Bron!$B$14),'Bouwkost VOLT'!$V47,IF($J$4=Bron!$C$16,'Bouwkost AK+VERB'!$V47,0))))))</f>
        <v>0</v>
      </c>
      <c r="L36" s="89">
        <f>IF(OR($L$4=Bron!$B$8,$L$4=Bron!$B$9,$L$4=Bron!$B$15),'Bouwkost NB'!$V48,IF($L$4=Bron!$B$10,'Bouwkost UITB'!$V47,IF($L$4=Bron!$B$11,'Bouwkost VERB'!$V47,IF($L$4=Bron!$B$12,'Bouwkost IER'!$V46,IF(OR($L$4=Bron!$B$13,$L$4=Bron!$B$14),'Bouwkost VOLT'!$V47,IF($L$4=Bron!$C$16,'Bouwkost AK+VERB'!$V47,0))))))</f>
        <v>0</v>
      </c>
      <c r="N36" s="89">
        <f>IF(OR($N$4=Bron!$B$8,$N$4=Bron!$B$9,,$N$4=Bron!$B$15),'Bouwkost NB'!$V48,IF($N$4=Bron!$B$10,'Bouwkost UITB'!$V47,IF($N$4=Bron!$B$11,'Bouwkost VERB'!$V47,IF($N$4=Bron!$B$12,'Bouwkost IER'!$V46,IF(OR($N$4=Bron!$B$13,$N$4=Bron!$B$14),'Bouwkost VOLT'!$V47,IF($N$4=Bron!$C$16,'Bouwkost AK+VERB'!$V47,0))))))</f>
        <v>0</v>
      </c>
      <c r="P36" s="89">
        <f>IF(OR($P$4=Bron!$B$8,$P$4=Bron!$B$9,$P$4=Bron!$B$15),'Bouwkost NB'!$V48,IF($P$4=Bron!$B$10,'Bouwkost UITB'!$V47,IF($P$4=Bron!$B$11,'Bouwkost VERB'!$V47,IF($P$4=Bron!$B$12,'Bouwkost IER'!$V46,IF(OR($P$4=Bron!$B$13,$P$4=Bron!$B$14),'Bouwkost VOLT'!$V47,IF($P$4=Bron!$C$16,'Bouwkost AK+VERB'!$V47,0))))))</f>
        <v>0</v>
      </c>
      <c r="R36" s="89">
        <f>IF(OR($R$4=Bron!$B$8,$R$4=Bron!$B$9,$R$4=Bron!$B$15),'Bouwkost NB'!$AG48,IF($R$4=Bron!$B$10,'Bouwkost UITB'!$AG47,IF($R$4=Bron!$B$11,'Bouwkost VERB'!$AG47,IF($R$4=Bron!$B$12,'Bouwkost IER'!$AG46,IF(OR($R$4=Bron!$B$13,$R$4=Bron!$B$14),'Bouwkost VOLT'!$AG47,IF($R$4=Bron!$C$16,'Bouwkost AK+VERB'!$AG47,0))))))</f>
        <v>0</v>
      </c>
      <c r="T36" s="89">
        <f>IF(OR($T$4=Bron!$B$8,$T$4=Bron!$B$9,$T$4=Bron!$B$15),'Bouwkost NB'!$AG48,IF($T$4=Bron!$B$10,'Bouwkost UITB'!$AG47,IF($T$4=Bron!$B$11,'Bouwkost VERB'!$AG47,IF($T$4=Bron!$B$12,'Bouwkost IER'!$AG46,IF(OR($T$4=Bron!$B$13,$T$4=Bron!$B$14),'Bouwkost VOLT'!$AG47,IF($T$4=Bron!$C$16,'Bouwkost AK+VERB'!$AG47,0))))))</f>
        <v>0</v>
      </c>
      <c r="V36" s="89">
        <f>IF(OR($V$4=Bron!$B$8,$V$4=Bron!$B$9,$V$4=Bron!$B$15),'Bouwkost NB'!$AG48,IF($V$4=Bron!$B$10,'Bouwkost UITB'!$AG47,IF($V$4=Bron!$B$11,'Bouwkost VERB'!$AG47,IF($V$4=Bron!$B$12,'Bouwkost IER'!$AG46,IF(OR($V$4=Bron!$B$13,$V$4=Bron!$B$14),'Bouwkost VOLT'!$AG47,IF($V$4=Bron!$C$16,'Bouwkost AK+VERB'!$AG47,0))))))</f>
        <v>0</v>
      </c>
      <c r="X36" s="89">
        <f>IF(OR($X$4=Bron!$B$8,$X$4=Bron!$B$9,$X$4=Bron!$B$15),'Bouwkost NB'!$AG48,IF($X$4=Bron!$B$10,'Bouwkost UITB'!$AG47,IF($X$4=Bron!$B$11,'Bouwkost VERB'!$AG47,IF($X$4=Bron!$B$12,'Bouwkost IER'!$AG46,IF(OR($X$4=Bron!$B$13,$X$4=Bron!$B$14),'Bouwkost VOLT'!$AG47,IF($X$4=Bron!$C$16,'Bouwkost AK+VERB'!$AG47,0))))))</f>
        <v>0</v>
      </c>
    </row>
    <row r="37" spans="1:25" x14ac:dyDescent="0.3">
      <c r="A37" s="328" t="s">
        <v>126</v>
      </c>
      <c r="B37" s="810">
        <f>IF(OR($B$4=Bron!$B$8,$B$4=Bron!$B$9,$B$4=Bron!$B$15),'Bouwkost NB'!$K49,IF($B$4=Bron!$B$10,'Bouwkost UITB'!$K48,IF($B$4=Bron!$B$11,'Bouwkost VERB'!$K48,IF($B$4=Bron!$B$12,'Bouwkost IER'!$K47,IF(OR($B$4=Bron!$B$13,$B$4=Bron!$B$14),'Bouwkost VOLT'!$K48,IF($B$4=Bron!$C$16,'Bouwkost AK+VERB'!$K48,0))))))</f>
        <v>0</v>
      </c>
      <c r="C37" s="810"/>
      <c r="D37" s="810">
        <f>IF(OR($D$4=Bron!$B$8,$D$4=Bron!$B$9,$D$4=Bron!$B$15),'Bouwkost NB'!$K49,IF($D$4=Bron!$B$10,'Bouwkost UITB'!$K48,IF($D$4=Bron!$B$11,'Bouwkost VERB'!$K48,IF($D$4=Bron!$B$12,'Bouwkost IER'!$K47,IF(OR($D$4=Bron!$B$13,$D$4=Bron!$B$14),'Bouwkost VOLT'!$K48,IF($D$4=Bron!$C$16,'Bouwkost AK+VERB'!$K48,0))))))</f>
        <v>0</v>
      </c>
      <c r="E37" s="810"/>
      <c r="F37" s="810">
        <f>IF(OR($F$4=Bron!$B$8,$F$4=Bron!$B$9,$F$4=Bron!$B$15),'Bouwkost NB'!$K49,IF($F$4=Bron!$B$10,'Bouwkost UITB'!$K48,IF($F$4=Bron!$B$11,'Bouwkost VERB'!$K48,IF($F$4=Bron!$B$12,'Bouwkost IER'!$K47,IF(OR($F$4=Bron!$B$13,$F$4=Bron!$B$14),'Bouwkost VOLT'!$K48,IF($F$4=Bron!$C$16,'Bouwkost AK+VERB'!$K48,0))))))</f>
        <v>0</v>
      </c>
      <c r="G37" s="810"/>
      <c r="H37" s="810">
        <f>IF(OR($H$4=Bron!$B$8,$H$4=Bron!$B$9,$H$4=Bron!$B$15),'Bouwkost NB'!$K49,IF($H$4=Bron!$B$10,'Bouwkost UITB'!$K48,IF($H$4=Bron!$B$11,'Bouwkost VERB'!$K48,IF($H$4=Bron!$B$12,'Bouwkost IER'!$K47,IF(OR($H$4=Bron!$B$13,$H$4=Bron!$B$14),'Bouwkost VOLT'!$K48,IF($H$4=Bron!$C$16,'Bouwkost AK+VERB'!$K48,0))))))</f>
        <v>0</v>
      </c>
      <c r="I37" s="810"/>
      <c r="J37" s="810">
        <f>IF(OR($J$4=Bron!$B$8,$J$4=Bron!$B$9,$J$4=Bron!$B$15),'Bouwkost NB'!$V49,IF($J$4=Bron!$B$10,'Bouwkost UITB'!$V48,IF($J$4=Bron!$B$11,'Bouwkost VERB'!$V48,IF($J$4=Bron!$B$12,'Bouwkost IER'!$V47,IF(OR($J$4=Bron!$B$13,$J$4=Bron!$B$14),'Bouwkost VOLT'!$V48,IF($J$4=Bron!$C$16,'Bouwkost AK+VERB'!$V48,0))))))</f>
        <v>0</v>
      </c>
      <c r="K37" s="810"/>
      <c r="L37" s="810">
        <f>IF(OR($L$4=Bron!$B$8,$L$4=Bron!$B$9,$L$4=Bron!$B$15),'Bouwkost NB'!$V49,IF($L$4=Bron!$B$10,'Bouwkost UITB'!$V48,IF($L$4=Bron!$B$11,'Bouwkost VERB'!$V48,IF($L$4=Bron!$B$12,'Bouwkost IER'!$V47,IF(OR($L$4=Bron!$B$13,$L$4=Bron!$B$14),'Bouwkost VOLT'!$V48,IF($L$4=Bron!$C$16,'Bouwkost AK+VERB'!$V48,0))))))</f>
        <v>0</v>
      </c>
      <c r="M37" s="810"/>
      <c r="N37" s="810">
        <f>IF(OR($N$4=Bron!$B$8,$N$4=Bron!$B$9,,$N$4=Bron!$B$15),'Bouwkost NB'!$V49,IF($N$4=Bron!$B$10,'Bouwkost UITB'!$V48,IF($N$4=Bron!$B$11,'Bouwkost VERB'!$V48,IF($N$4=Bron!$B$12,'Bouwkost IER'!$V47,IF(OR($N$4=Bron!$B$13,$N$4=Bron!$B$14),'Bouwkost VOLT'!$V48,IF($N$4=Bron!$C$16,'Bouwkost AK+VERB'!$V48,0))))))</f>
        <v>0</v>
      </c>
      <c r="O37" s="810"/>
      <c r="P37" s="810">
        <f>IF(OR($P$4=Bron!$B$8,$P$4=Bron!$B$9,$P$4=Bron!$B$15),'Bouwkost NB'!$V49,IF($P$4=Bron!$B$10,'Bouwkost UITB'!$V48,IF($P$4=Bron!$B$11,'Bouwkost VERB'!$V48,IF($P$4=Bron!$B$12,'Bouwkost IER'!$V47,IF(OR($P$4=Bron!$B$13,$P$4=Bron!$B$14),'Bouwkost VOLT'!$V48,IF($P$4=Bron!$C$16,'Bouwkost AK+VERB'!$V48,0))))))</f>
        <v>0</v>
      </c>
      <c r="Q37" s="810"/>
      <c r="R37" s="810">
        <f>IF(OR($R$4=Bron!$B$8,$R$4=Bron!$B$9,$R$4=Bron!$B$15),'Bouwkost NB'!$AG49,IF($R$4=Bron!$B$10,'Bouwkost UITB'!$AG48,IF($R$4=Bron!$B$11,'Bouwkost VERB'!$AG48,IF($R$4=Bron!$B$12,'Bouwkost IER'!$AG47,IF(OR($R$4=Bron!$B$13,$R$4=Bron!$B$14),'Bouwkost VOLT'!$AG48,IF($R$4=Bron!$C$16,'Bouwkost AK+VERB'!$AG48,0))))))</f>
        <v>0</v>
      </c>
      <c r="S37" s="810"/>
      <c r="T37" s="810">
        <f>IF(OR($T$4=Bron!$B$8,$T$4=Bron!$B$9,$T$4=Bron!$B$15),'Bouwkost NB'!$AG49,IF($T$4=Bron!$B$10,'Bouwkost UITB'!$AG48,IF($T$4=Bron!$B$11,'Bouwkost VERB'!$AG48,IF($T$4=Bron!$B$12,'Bouwkost IER'!$AG47,IF(OR($T$4=Bron!$B$13,$T$4=Bron!$B$14),'Bouwkost VOLT'!$AG48,IF($T$4=Bron!$C$16,'Bouwkost AK+VERB'!$AG48,0))))))</f>
        <v>0</v>
      </c>
      <c r="U37" s="810"/>
      <c r="V37" s="810">
        <f>IF(OR($V$4=Bron!$B$8,$V$4=Bron!$B$9,$V$4=Bron!$B$15),'Bouwkost NB'!$AG49,IF($V$4=Bron!$B$10,'Bouwkost UITB'!$AG48,IF($V$4=Bron!$B$11,'Bouwkost VERB'!$AG48,IF($V$4=Bron!$B$12,'Bouwkost IER'!$AG47,IF(OR($V$4=Bron!$B$13,$V$4=Bron!$B$14),'Bouwkost VOLT'!$AG48,IF($V$4=Bron!$C$16,'Bouwkost AK+VERB'!$AG48,0))))))</f>
        <v>0</v>
      </c>
      <c r="W37" s="810"/>
      <c r="X37" s="810">
        <f>IF(OR($X$4=Bron!$B$8,$X$4=Bron!$B$9,$X$4=Bron!$B$15),'Bouwkost NB'!$AG49,IF($X$4=Bron!$B$10,'Bouwkost UITB'!$AG48,IF($X$4=Bron!$B$11,'Bouwkost VERB'!$AG48,IF($X$4=Bron!$B$12,'Bouwkost IER'!$AG47,IF(OR($X$4=Bron!$B$13,$X$4=Bron!$B$14),'Bouwkost VOLT'!$AG48,IF($X$4=Bron!$C$16,'Bouwkost AK+VERB'!$AG48,0))))))</f>
        <v>0</v>
      </c>
      <c r="Y37" s="815">
        <f>SUM(B37:X37)</f>
        <v>0</v>
      </c>
    </row>
    <row r="38" spans="1:25" x14ac:dyDescent="0.3">
      <c r="A38" s="333" t="s">
        <v>127</v>
      </c>
      <c r="B38" s="810">
        <f>IF(OR($B$4=Bron!$B$8,$B$4=Bron!$B$9,$B$4=Bron!$B$15),'Bouwkost NB'!$K50,IF($B$4=Bron!$B$10,'Bouwkost UITB'!$K49,IF($B$4=Bron!$B$11,'Bouwkost VERB'!$K49,IF($B$4=Bron!$B$12,'Bouwkost IER'!$K48,IF(OR($B$4=Bron!$B$13,$B$4=Bron!$B$14),'Bouwkost VOLT'!$K49,IF($B$4=Bron!$C$16,'Bouwkost AK+VERB'!$K49,0))))))</f>
        <v>0</v>
      </c>
      <c r="C38" s="810"/>
      <c r="D38" s="810">
        <f>IF(OR($D$4=Bron!$B$8,$D$4=Bron!$B$9,$D$4=Bron!$B$15),'Bouwkost NB'!$K50,IF($D$4=Bron!$B$10,'Bouwkost UITB'!$K49,IF($D$4=Bron!$B$11,'Bouwkost VERB'!$K49,IF($D$4=Bron!$B$12,'Bouwkost IER'!$K48,IF(OR($D$4=Bron!$B$13,$D$4=Bron!$B$14),'Bouwkost VOLT'!$K49,IF($D$4=Bron!$C$16,'Bouwkost AK+VERB'!$K49,0))))))</f>
        <v>0</v>
      </c>
      <c r="E38" s="810"/>
      <c r="F38" s="810">
        <f>IF(OR($F$4=Bron!$B$8,$F$4=Bron!$B$9,$F$4=Bron!$B$15),'Bouwkost NB'!$K50,IF($F$4=Bron!$B$10,'Bouwkost UITB'!$K49,IF($F$4=Bron!$B$11,'Bouwkost VERB'!$K49,IF($F$4=Bron!$B$12,'Bouwkost IER'!$K48,IF(OR($F$4=Bron!$B$13,$F$4=Bron!$B$14),'Bouwkost VOLT'!$K49,IF($F$4=Bron!$C$16,'Bouwkost AK+VERB'!$K49,0))))))</f>
        <v>0</v>
      </c>
      <c r="G38" s="810"/>
      <c r="H38" s="810">
        <f>IF(OR($H$4=Bron!$B$8,$H$4=Bron!$B$9,$H$4=Bron!$B$15),'Bouwkost NB'!$K50,IF($H$4=Bron!$B$10,'Bouwkost UITB'!$K49,IF($H$4=Bron!$B$11,'Bouwkost VERB'!$K49,IF($H$4=Bron!$B$12,'Bouwkost IER'!$K48,IF(OR($H$4=Bron!$B$13,$H$4=Bron!$B$14),'Bouwkost VOLT'!$K49,IF($H$4=Bron!$C$16,'Bouwkost AK+VERB'!$K49,0))))))</f>
        <v>0</v>
      </c>
      <c r="I38" s="810"/>
      <c r="J38" s="810">
        <f>IF(OR($J$4=Bron!$B$8,$J$4=Bron!$B$9,$J$4=Bron!$B$15),'Bouwkost NB'!$V50,IF($J$4=Bron!$B$10,'Bouwkost UITB'!$V49,IF($J$4=Bron!$B$11,'Bouwkost VERB'!$V49,IF($J$4=Bron!$B$12,'Bouwkost IER'!$V48,IF(OR($J$4=Bron!$B$13,$J$4=Bron!$B$14),'Bouwkost VOLT'!$V49,IF($J$4=Bron!$C$16,'Bouwkost AK+VERB'!$V49,0))))))</f>
        <v>0</v>
      </c>
      <c r="K38" s="810"/>
      <c r="L38" s="810">
        <f>IF(OR($L$4=Bron!$B$8,$L$4=Bron!$B$9,$L$4=Bron!$B$15),'Bouwkost NB'!$V50,IF($L$4=Bron!$B$10,'Bouwkost UITB'!$V49,IF($L$4=Bron!$B$11,'Bouwkost VERB'!$V49,IF($L$4=Bron!$B$12,'Bouwkost IER'!$V48,IF(OR($L$4=Bron!$B$13,$L$4=Bron!$B$14),'Bouwkost VOLT'!$V49,IF($L$4=Bron!$C$16,'Bouwkost AK+VERB'!$V49,0))))))</f>
        <v>0</v>
      </c>
      <c r="M38" s="810"/>
      <c r="N38" s="810">
        <f>IF(OR($N$4=Bron!$B$8,$N$4=Bron!$B$9,,$N$4=Bron!$B$15),'Bouwkost NB'!$V50,IF($N$4=Bron!$B$10,'Bouwkost UITB'!$V49,IF($N$4=Bron!$B$11,'Bouwkost VERB'!$V49,IF($N$4=Bron!$B$12,'Bouwkost IER'!$V48,IF(OR($N$4=Bron!$B$13,$N$4=Bron!$B$14),'Bouwkost VOLT'!$V49,IF($N$4=Bron!$C$16,'Bouwkost AK+VERB'!$V49,0))))))</f>
        <v>0</v>
      </c>
      <c r="O38" s="810"/>
      <c r="P38" s="810">
        <f>IF(OR($P$4=Bron!$B$8,$P$4=Bron!$B$9,$P$4=Bron!$B$15),'Bouwkost NB'!$V50,IF($P$4=Bron!$B$10,'Bouwkost UITB'!$V49,IF($P$4=Bron!$B$11,'Bouwkost VERB'!$V49,IF($P$4=Bron!$B$12,'Bouwkost IER'!$V48,IF(OR($P$4=Bron!$B$13,$P$4=Bron!$B$14),'Bouwkost VOLT'!$V49,IF($P$4=Bron!$C$16,'Bouwkost AK+VERB'!$V49,0))))))</f>
        <v>0</v>
      </c>
      <c r="Q38" s="810"/>
      <c r="R38" s="810">
        <f>IF(OR($R$4=Bron!$B$8,$R$4=Bron!$B$9,$R$4=Bron!$B$15),'Bouwkost NB'!$AG50,IF($R$4=Bron!$B$10,'Bouwkost UITB'!$AG49,IF($R$4=Bron!$B$11,'Bouwkost VERB'!$AG49,IF($R$4=Bron!$B$12,'Bouwkost IER'!$AG48,IF(OR($R$4=Bron!$B$13,$R$4=Bron!$B$14),'Bouwkost VOLT'!$AG49,IF($R$4=Bron!$C$16,'Bouwkost AK+VERB'!$AG49,0))))))</f>
        <v>0</v>
      </c>
      <c r="S38" s="810"/>
      <c r="T38" s="810">
        <f>IF(OR($T$4=Bron!$B$8,$T$4=Bron!$B$9,$T$4=Bron!$B$15),'Bouwkost NB'!$AG50,IF($T$4=Bron!$B$10,'Bouwkost UITB'!$AG49,IF($T$4=Bron!$B$11,'Bouwkost VERB'!$AG49,IF($T$4=Bron!$B$12,'Bouwkost IER'!$AG48,IF(OR($T$4=Bron!$B$13,$T$4=Bron!$B$14),'Bouwkost VOLT'!$AG49,IF($T$4=Bron!$C$16,'Bouwkost AK+VERB'!$AG49,0))))))</f>
        <v>0</v>
      </c>
      <c r="U38" s="810"/>
      <c r="V38" s="810">
        <f>IF(OR($V$4=Bron!$B$8,$V$4=Bron!$B$9,$V$4=Bron!$B$15),'Bouwkost NB'!$AG50,IF($V$4=Bron!$B$10,'Bouwkost UITB'!$AG49,IF($V$4=Bron!$B$11,'Bouwkost VERB'!$AG49,IF($V$4=Bron!$B$12,'Bouwkost IER'!$AG48,IF(OR($V$4=Bron!$B$13,$V$4=Bron!$B$14),'Bouwkost VOLT'!$AG49,IF($V$4=Bron!$C$16,'Bouwkost AK+VERB'!$AG49,0))))))</f>
        <v>0</v>
      </c>
      <c r="W38" s="810"/>
      <c r="X38" s="810">
        <f>IF(OR($X$4=Bron!$B$8,$X$4=Bron!$B$9,$X$4=Bron!$B$15),'Bouwkost NB'!$AG50,IF($X$4=Bron!$B$10,'Bouwkost UITB'!$AG49,IF($X$4=Bron!$B$11,'Bouwkost VERB'!$AG49,IF($X$4=Bron!$B$12,'Bouwkost IER'!$AG48,IF(OR($X$4=Bron!$B$13,$X$4=Bron!$B$14),'Bouwkost VOLT'!$AG49,IF($X$4=Bron!$C$16,'Bouwkost AK+VERB'!$AG49,0))))))</f>
        <v>0</v>
      </c>
      <c r="Y38" s="815">
        <f>SUM(B38:X38)</f>
        <v>0</v>
      </c>
    </row>
    <row r="39" spans="1:25" x14ac:dyDescent="0.3">
      <c r="A39" s="328" t="s">
        <v>443</v>
      </c>
      <c r="B39" s="810">
        <f>IF(OR($B$4=Bron!$B$8,$B$4=Bron!$B$9,$B$4=Bron!$B$15),'Bouwkost NB'!$K51,IF($B$4=Bron!$B$10,'Bouwkost UITB'!$K50,IF($B$4=Bron!$B$11,'Bouwkost VERB'!$K50,IF($B$4=Bron!$B$12,'Bouwkost IER'!$K49,IF(OR($B$4=Bron!$B$13,$B$4=Bron!$B$14),'Bouwkost VOLT'!$K50,IF($B$4=Bron!$C$16,'Bouwkost AK+VERB'!$K50,0))))))</f>
        <v>0</v>
      </c>
      <c r="C39" s="810"/>
      <c r="D39" s="810">
        <f>IF(OR($D$4=Bron!$B$8,$D$4=Bron!$B$9,$D$4=Bron!$B$15),'Bouwkost NB'!$K51,IF($D$4=Bron!$B$10,'Bouwkost UITB'!$K50,IF($D$4=Bron!$B$11,'Bouwkost VERB'!$K50,IF($D$4=Bron!$B$12,'Bouwkost IER'!$K49,IF(OR($D$4=Bron!$B$13,$D$4=Bron!$B$14),'Bouwkost VOLT'!$K50,IF($D$4=Bron!$C$16,'Bouwkost AK+VERB'!$K50,0))))))</f>
        <v>0</v>
      </c>
      <c r="E39" s="810"/>
      <c r="F39" s="810">
        <f>IF(OR($F$4=Bron!$B$8,$F$4=Bron!$B$9,$F$4=Bron!$B$15),'Bouwkost NB'!$K51,IF($F$4=Bron!$B$10,'Bouwkost UITB'!$K50,IF($F$4=Bron!$B$11,'Bouwkost VERB'!$K50,IF($F$4=Bron!$B$12,'Bouwkost IER'!$K49,IF(OR($F$4=Bron!$B$13,$F$4=Bron!$B$14),'Bouwkost VOLT'!$K50,IF($F$4=Bron!$C$16,'Bouwkost AK+VERB'!$K50,0))))))</f>
        <v>0</v>
      </c>
      <c r="G39" s="810"/>
      <c r="H39" s="810">
        <f>IF(OR($H$4=Bron!$B$8,$H$4=Bron!$B$9,$H$4=Bron!$B$15),'Bouwkost NB'!$K51,IF($H$4=Bron!$B$10,'Bouwkost UITB'!$K50,IF($H$4=Bron!$B$11,'Bouwkost VERB'!$K50,IF($H$4=Bron!$B$12,'Bouwkost IER'!$K49,IF(OR($H$4=Bron!$B$13,$H$4=Bron!$B$14),'Bouwkost VOLT'!$K50,IF($H$4=Bron!$C$16,'Bouwkost AK+VERB'!$K50,0))))))</f>
        <v>0</v>
      </c>
      <c r="I39" s="810"/>
      <c r="J39" s="810">
        <f>IF(OR($J$4=Bron!$B$8,$J$4=Bron!$B$9,$J$4=Bron!$B$15),'Bouwkost NB'!$V51,IF($J$4=Bron!$B$10,'Bouwkost UITB'!$V50,IF($J$4=Bron!$B$11,'Bouwkost VERB'!$V50,IF($J$4=Bron!$B$12,'Bouwkost IER'!$V49,IF(OR($J$4=Bron!$B$13,$J$4=Bron!$B$14),'Bouwkost VOLT'!$V50,IF($J$4=Bron!$C$16,'Bouwkost AK+VERB'!$V50,0))))))</f>
        <v>0</v>
      </c>
      <c r="K39" s="810"/>
      <c r="L39" s="810">
        <f>IF(OR($L$4=Bron!$B$8,$L$4=Bron!$B$9,$L$4=Bron!$B$15),'Bouwkost NB'!$V51,IF($L$4=Bron!$B$10,'Bouwkost UITB'!$V50,IF($L$4=Bron!$B$11,'Bouwkost VERB'!$V50,IF($L$4=Bron!$B$12,'Bouwkost IER'!$V49,IF(OR($L$4=Bron!$B$13,$L$4=Bron!$B$14),'Bouwkost VOLT'!$V50,IF($L$4=Bron!$C$16,'Bouwkost AK+VERB'!$V50,0))))))</f>
        <v>0</v>
      </c>
      <c r="M39" s="810"/>
      <c r="N39" s="810">
        <f>IF(OR($N$4=Bron!$B$8,$N$4=Bron!$B$9,,$N$4=Bron!$B$15),'Bouwkost NB'!$V51,IF($N$4=Bron!$B$10,'Bouwkost UITB'!$V50,IF($N$4=Bron!$B$11,'Bouwkost VERB'!$V50,IF($N$4=Bron!$B$12,'Bouwkost IER'!$V49,IF(OR($N$4=Bron!$B$13,$N$4=Bron!$B$14),'Bouwkost VOLT'!$V50,IF($N$4=Bron!$C$16,'Bouwkost AK+VERB'!$V50,0))))))</f>
        <v>0</v>
      </c>
      <c r="O39" s="810"/>
      <c r="P39" s="810">
        <f>IF(OR($P$4=Bron!$B$8,$P$4=Bron!$B$9,$P$4=Bron!$B$15),'Bouwkost NB'!$V51,IF($P$4=Bron!$B$10,'Bouwkost UITB'!$V50,IF($P$4=Bron!$B$11,'Bouwkost VERB'!$V50,IF($P$4=Bron!$B$12,'Bouwkost IER'!$V49,IF(OR($P$4=Bron!$B$13,$P$4=Bron!$B$14),'Bouwkost VOLT'!$V50,IF($P$4=Bron!$C$16,'Bouwkost AK+VERB'!$V50,0))))))</f>
        <v>0</v>
      </c>
      <c r="Q39" s="810"/>
      <c r="R39" s="810">
        <f>IF(OR($R$4=Bron!$B$8,$R$4=Bron!$B$9,$R$4=Bron!$B$15),'Bouwkost NB'!$AG51,IF($R$4=Bron!$B$10,'Bouwkost UITB'!$AG50,IF($R$4=Bron!$B$11,'Bouwkost VERB'!$AG50,IF($R$4=Bron!$B$12,'Bouwkost IER'!$AG49,IF(OR($R$4=Bron!$B$13,$R$4=Bron!$B$14),'Bouwkost VOLT'!$AG50,IF($R$4=Bron!$C$16,'Bouwkost AK+VERB'!$AG50,0))))))</f>
        <v>0</v>
      </c>
      <c r="S39" s="810"/>
      <c r="T39" s="810">
        <f>IF(OR($T$4=Bron!$B$8,$T$4=Bron!$B$9,$T$4=Bron!$B$15),'Bouwkost NB'!$AG51,IF($T$4=Bron!$B$10,'Bouwkost UITB'!$AG50,IF($T$4=Bron!$B$11,'Bouwkost VERB'!$AG50,IF($T$4=Bron!$B$12,'Bouwkost IER'!$AG49,IF(OR($T$4=Bron!$B$13,$T$4=Bron!$B$14),'Bouwkost VOLT'!$AG50,IF($T$4=Bron!$C$16,'Bouwkost AK+VERB'!$AG50,0))))))</f>
        <v>0</v>
      </c>
      <c r="U39" s="810"/>
      <c r="V39" s="810">
        <f>IF(OR($V$4=Bron!$B$8,$V$4=Bron!$B$9,$V$4=Bron!$B$15),'Bouwkost NB'!$AG51,IF($V$4=Bron!$B$10,'Bouwkost UITB'!$AG50,IF($V$4=Bron!$B$11,'Bouwkost VERB'!$AG50,IF($V$4=Bron!$B$12,'Bouwkost IER'!$AG49,IF(OR($V$4=Bron!$B$13,$V$4=Bron!$B$14),'Bouwkost VOLT'!$AG50,IF($V$4=Bron!$C$16,'Bouwkost AK+VERB'!$AG50,0))))))</f>
        <v>0</v>
      </c>
      <c r="W39" s="810"/>
      <c r="X39" s="810">
        <f>IF(OR($X$4=Bron!$B$8,$X$4=Bron!$B$9,$X$4=Bron!$B$15),'Bouwkost NB'!$AG51,IF($X$4=Bron!$B$10,'Bouwkost UITB'!$AG50,IF($X$4=Bron!$B$11,'Bouwkost VERB'!$AG50,IF($X$4=Bron!$B$12,'Bouwkost IER'!$AG49,IF(OR($X$4=Bron!$B$13,$X$4=Bron!$B$14),'Bouwkost VOLT'!$AG50,IF($X$4=Bron!$C$16,'Bouwkost AK+VERB'!$AG50,0))))))</f>
        <v>0</v>
      </c>
      <c r="Y39" s="815">
        <f>SUM(B39:X39)</f>
        <v>0</v>
      </c>
    </row>
    <row r="40" spans="1:25" x14ac:dyDescent="0.3">
      <c r="A40" s="333" t="s">
        <v>444</v>
      </c>
      <c r="B40" s="810">
        <f>IF(OR($B$4=Bron!$B$8,$B$4=Bron!$B$9,$B$4=Bron!$B$15),'Bouwkost NB'!$K52,IF($B$4=Bron!$B$10,'Bouwkost UITB'!$K51,IF($B$4=Bron!$B$11,'Bouwkost VERB'!$K51,IF($B$4=Bron!$B$12,'Bouwkost IER'!$K50,IF(OR($B$4=Bron!$B$13,$B$4=Bron!$B$14),'Bouwkost VOLT'!$K51,IF($B$4=Bron!$C$16,'Bouwkost AK+VERB'!$K51,0))))))</f>
        <v>0</v>
      </c>
      <c r="C40" s="810"/>
      <c r="D40" s="810">
        <f>IF(OR($D$4=Bron!$B$8,$D$4=Bron!$B$9,$D$4=Bron!$B$15),'Bouwkost NB'!$K52,IF($D$4=Bron!$B$10,'Bouwkost UITB'!$K51,IF($D$4=Bron!$B$11,'Bouwkost VERB'!$K51,IF($D$4=Bron!$B$12,'Bouwkost IER'!$K50,IF(OR($D$4=Bron!$B$13,$D$4=Bron!$B$14),'Bouwkost VOLT'!$K51,IF($D$4=Bron!$C$16,'Bouwkost AK+VERB'!$K51,0))))))</f>
        <v>0</v>
      </c>
      <c r="E40" s="810"/>
      <c r="F40" s="810">
        <f>IF(OR($F$4=Bron!$B$8,$F$4=Bron!$B$9,$F$4=Bron!$B$15),'Bouwkost NB'!$K52,IF($F$4=Bron!$B$10,'Bouwkost UITB'!$K51,IF($F$4=Bron!$B$11,'Bouwkost VERB'!$K51,IF($F$4=Bron!$B$12,'Bouwkost IER'!$K50,IF(OR($F$4=Bron!$B$13,$F$4=Bron!$B$14),'Bouwkost VOLT'!$K51,IF($F$4=Bron!$C$16,'Bouwkost AK+VERB'!$K51,0))))))</f>
        <v>0</v>
      </c>
      <c r="G40" s="810"/>
      <c r="H40" s="810">
        <f>IF(OR($H$4=Bron!$B$8,$H$4=Bron!$B$9,$H$4=Bron!$B$15),'Bouwkost NB'!$K52,IF($H$4=Bron!$B$10,'Bouwkost UITB'!$K51,IF($H$4=Bron!$B$11,'Bouwkost VERB'!$K51,IF($H$4=Bron!$B$12,'Bouwkost IER'!$K50,IF(OR($H$4=Bron!$B$13,$H$4=Bron!$B$14),'Bouwkost VOLT'!$K51,IF($H$4=Bron!$C$16,'Bouwkost AK+VERB'!$K51,0))))))</f>
        <v>0</v>
      </c>
      <c r="I40" s="810"/>
      <c r="J40" s="810">
        <f>IF(OR($J$4=Bron!$B$8,$J$4=Bron!$B$9,$J$4=Bron!$B$15),'Bouwkost NB'!$V52,IF($J$4=Bron!$B$10,'Bouwkost UITB'!$V51,IF($J$4=Bron!$B$11,'Bouwkost VERB'!$V51,IF($J$4=Bron!$B$12,'Bouwkost IER'!$V50,IF(OR($J$4=Bron!$B$13,$J$4=Bron!$B$14),'Bouwkost VOLT'!$V51,IF($J$4=Bron!$C$16,'Bouwkost AK+VERB'!$V51,0))))))</f>
        <v>0</v>
      </c>
      <c r="K40" s="810"/>
      <c r="L40" s="810">
        <f>IF(OR($L$4=Bron!$B$8,$L$4=Bron!$B$9,$L$4=Bron!$B$15),'Bouwkost NB'!$V52,IF($L$4=Bron!$B$10,'Bouwkost UITB'!$V51,IF($L$4=Bron!$B$11,'Bouwkost VERB'!$V51,IF($L$4=Bron!$B$12,'Bouwkost IER'!$V50,IF(OR($L$4=Bron!$B$13,$L$4=Bron!$B$14),'Bouwkost VOLT'!$V51,IF($L$4=Bron!$C$16,'Bouwkost AK+VERB'!$V51,0))))))</f>
        <v>0</v>
      </c>
      <c r="M40" s="810"/>
      <c r="N40" s="810">
        <f>IF(OR($N$4=Bron!$B$8,$N$4=Bron!$B$9,,$N$4=Bron!$B$15),'Bouwkost NB'!$V52,IF($N$4=Bron!$B$10,'Bouwkost UITB'!$V51,IF($N$4=Bron!$B$11,'Bouwkost VERB'!$V51,IF($N$4=Bron!$B$12,'Bouwkost IER'!$V50,IF(OR($N$4=Bron!$B$13,$N$4=Bron!$B$14),'Bouwkost VOLT'!$V51,IF($N$4=Bron!$C$16,'Bouwkost AK+VERB'!$V51,0))))))</f>
        <v>0</v>
      </c>
      <c r="O40" s="810"/>
      <c r="P40" s="810">
        <f>IF(OR($P$4=Bron!$B$8,$P$4=Bron!$B$9,$P$4=Bron!$B$15),'Bouwkost NB'!$V52,IF($P$4=Bron!$B$10,'Bouwkost UITB'!$V51,IF($P$4=Bron!$B$11,'Bouwkost VERB'!$V51,IF($P$4=Bron!$B$12,'Bouwkost IER'!$V50,IF(OR($P$4=Bron!$B$13,$P$4=Bron!$B$14),'Bouwkost VOLT'!$V51,IF($P$4=Bron!$C$16,'Bouwkost AK+VERB'!$V51,0))))))</f>
        <v>0</v>
      </c>
      <c r="Q40" s="810"/>
      <c r="R40" s="810">
        <f>IF(OR($R$4=Bron!$B$8,$R$4=Bron!$B$9,$R$4=Bron!$B$15),'Bouwkost NB'!$AG52,IF($R$4=Bron!$B$10,'Bouwkost UITB'!$AG51,IF($R$4=Bron!$B$11,'Bouwkost VERB'!$AG51,IF($R$4=Bron!$B$12,'Bouwkost IER'!$AG50,IF(OR($R$4=Bron!$B$13,$R$4=Bron!$B$14),'Bouwkost VOLT'!$AG51,IF($R$4=Bron!$C$16,'Bouwkost AK+VERB'!$AG51,0))))))</f>
        <v>0</v>
      </c>
      <c r="S40" s="810"/>
      <c r="T40" s="810">
        <f>IF(OR($T$4=Bron!$B$8,$T$4=Bron!$B$9,$T$4=Bron!$B$15),'Bouwkost NB'!$AG52,IF($T$4=Bron!$B$10,'Bouwkost UITB'!$AG51,IF($T$4=Bron!$B$11,'Bouwkost VERB'!$AG51,IF($T$4=Bron!$B$12,'Bouwkost IER'!$AG50,IF(OR($T$4=Bron!$B$13,$T$4=Bron!$B$14),'Bouwkost VOLT'!$AG51,IF($T$4=Bron!$C$16,'Bouwkost AK+VERB'!$AG51,0))))))</f>
        <v>0</v>
      </c>
      <c r="U40" s="810"/>
      <c r="V40" s="810">
        <f>IF(OR($V$4=Bron!$B$8,$V$4=Bron!$B$9,$V$4=Bron!$B$15),'Bouwkost NB'!$AG52,IF($V$4=Bron!$B$10,'Bouwkost UITB'!$AG51,IF($V$4=Bron!$B$11,'Bouwkost VERB'!$AG51,IF($V$4=Bron!$B$12,'Bouwkost IER'!$AG50,IF(OR($V$4=Bron!$B$13,$V$4=Bron!$B$14),'Bouwkost VOLT'!$AG51,IF($V$4=Bron!$C$16,'Bouwkost AK+VERB'!$AG51,0))))))</f>
        <v>0</v>
      </c>
      <c r="W40" s="810"/>
      <c r="X40" s="810">
        <f>IF(OR($X$4=Bron!$B$8,$X$4=Bron!$B$9,$X$4=Bron!$B$15),'Bouwkost NB'!$AG52,IF($X$4=Bron!$B$10,'Bouwkost UITB'!$AG51,IF($X$4=Bron!$B$11,'Bouwkost VERB'!$AG51,IF($X$4=Bron!$B$12,'Bouwkost IER'!$AG50,IF(OR($X$4=Bron!$B$13,$X$4=Bron!$B$14),'Bouwkost VOLT'!$AG51,IF($X$4=Bron!$C$16,'Bouwkost AK+VERB'!$AG51,0))))))</f>
        <v>0</v>
      </c>
      <c r="Y40" s="815">
        <f>SUM(B40:X40)</f>
        <v>0</v>
      </c>
    </row>
    <row r="41" spans="1:25" x14ac:dyDescent="0.3">
      <c r="A41" s="668" t="s">
        <v>502</v>
      </c>
      <c r="B41" s="810">
        <f>IF(OR($B$4=Bron!$B$8,$B$4=Bron!$B$9,$B$4=Bron!$B$15),'Bouwkost NB'!$K53,IF($B$4=Bron!$B$10,'Bouwkost UITB'!$K52,IF($B$4=Bron!$B$11,'Bouwkost VERB'!$K52,IF($B$4=Bron!$B$12,'Bouwkost IER'!$K51,IF(OR($B$4=Bron!$B$13,$B$4=Bron!$B$14),'Bouwkost VOLT'!$K52,IF($B$4=Bron!$C$16,'Bouwkost AK+VERB'!$K52,0))))))</f>
        <v>0</v>
      </c>
      <c r="C41" s="810"/>
      <c r="D41" s="810">
        <f>IF(OR($D$4=Bron!$B$8,$D$4=Bron!$B$9,$D$4=Bron!$B$15),'Bouwkost NB'!$K53,IF($D$4=Bron!$B$10,'Bouwkost UITB'!$K52,IF($D$4=Bron!$B$11,'Bouwkost VERB'!$K52,IF($D$4=Bron!$B$12,'Bouwkost IER'!$K51,IF(OR($D$4=Bron!$B$13,$D$4=Bron!$B$14),'Bouwkost VOLT'!$K52,IF($D$4=Bron!$C$16,'Bouwkost AK+VERB'!$K52,0))))))</f>
        <v>0</v>
      </c>
      <c r="E41" s="810"/>
      <c r="F41" s="810">
        <f>IF(OR($F$4=Bron!$B$8,$F$4=Bron!$B$9,$F$4=Bron!$B$15),'Bouwkost NB'!$K53,IF($F$4=Bron!$B$10,'Bouwkost UITB'!$K52,IF($F$4=Bron!$B$11,'Bouwkost VERB'!$K52,IF($F$4=Bron!$B$12,'Bouwkost IER'!$K51,IF(OR($F$4=Bron!$B$13,$F$4=Bron!$B$14),'Bouwkost VOLT'!$K52,IF($F$4=Bron!$C$16,'Bouwkost AK+VERB'!$K52,0))))))</f>
        <v>0</v>
      </c>
      <c r="G41" s="810"/>
      <c r="H41" s="810">
        <f>IF(OR($H$4=Bron!$B$8,$H$4=Bron!$B$9,$H$4=Bron!$B$15),'Bouwkost NB'!$K53,IF($H$4=Bron!$B$10,'Bouwkost UITB'!$K52,IF($H$4=Bron!$B$11,'Bouwkost VERB'!$K52,IF($H$4=Bron!$B$12,'Bouwkost IER'!$K51,IF(OR($H$4=Bron!$B$13,$H$4=Bron!$B$14),'Bouwkost VOLT'!$K52,IF($H$4=Bron!$C$16,'Bouwkost AK+VERB'!$K52,0))))))</f>
        <v>0</v>
      </c>
      <c r="I41" s="810"/>
      <c r="J41" s="810">
        <f>IF(OR($J$4=Bron!$B$8,$J$4=Bron!$B$9,$J$4=Bron!$B$15),'Bouwkost NB'!$V53,IF($J$4=Bron!$B$10,'Bouwkost UITB'!$V52,IF($J$4=Bron!$B$11,'Bouwkost VERB'!$V52,IF($J$4=Bron!$B$12,'Bouwkost IER'!$V51,IF(OR($J$4=Bron!$B$13,$J$4=Bron!$B$14),'Bouwkost VOLT'!$V52,IF($J$4=Bron!$C$16,'Bouwkost AK+VERB'!$V52,0))))))</f>
        <v>0</v>
      </c>
      <c r="K41" s="810"/>
      <c r="L41" s="810">
        <f>IF(OR($L$4=Bron!$B$8,$L$4=Bron!$B$9,$L$4=Bron!$B$15),'Bouwkost NB'!$V53,IF($L$4=Bron!$B$10,'Bouwkost UITB'!$V52,IF($L$4=Bron!$B$11,'Bouwkost VERB'!$V52,IF($L$4=Bron!$B$12,'Bouwkost IER'!$V51,IF(OR($L$4=Bron!$B$13,$L$4=Bron!$B$14),'Bouwkost VOLT'!$V52,IF($L$4=Bron!$C$16,'Bouwkost AK+VERB'!$V52,0))))))</f>
        <v>0</v>
      </c>
      <c r="M41" s="810"/>
      <c r="N41" s="810">
        <f>IF(OR($N$4=Bron!$B$8,$N$4=Bron!$B$9,,$N$4=Bron!$B$15),'Bouwkost NB'!$V53,IF($N$4=Bron!$B$10,'Bouwkost UITB'!$V52,IF($N$4=Bron!$B$11,'Bouwkost VERB'!$V52,IF($N$4=Bron!$B$12,'Bouwkost IER'!$V51,IF(OR($N$4=Bron!$B$13,$N$4=Bron!$B$14),'Bouwkost VOLT'!$V52,IF($N$4=Bron!$C$16,'Bouwkost AK+VERB'!$V52,0))))))</f>
        <v>0</v>
      </c>
      <c r="O41" s="810"/>
      <c r="P41" s="810">
        <f>IF(OR($P$4=Bron!$B$8,$P$4=Bron!$B$9,$P$4=Bron!$B$15),'Bouwkost NB'!$V53,IF($P$4=Bron!$B$10,'Bouwkost UITB'!$V52,IF($P$4=Bron!$B$11,'Bouwkost VERB'!$V52,IF($P$4=Bron!$B$12,'Bouwkost IER'!$V51,IF(OR($P$4=Bron!$B$13,$P$4=Bron!$B$14),'Bouwkost VOLT'!$V52,IF($P$4=Bron!$C$16,'Bouwkost AK+VERB'!$V52,0))))))</f>
        <v>0</v>
      </c>
      <c r="Q41" s="810"/>
      <c r="R41" s="810">
        <f>IF(OR($R$4=Bron!$B$8,$R$4=Bron!$B$9,$R$4=Bron!$B$15),'Bouwkost NB'!$AG53,IF($R$4=Bron!$B$10,'Bouwkost UITB'!$AG52,IF($R$4=Bron!$B$11,'Bouwkost VERB'!$AG52,IF($R$4=Bron!$B$12,'Bouwkost IER'!$AG51,IF(OR($R$4=Bron!$B$13,$R$4=Bron!$B$14),'Bouwkost VOLT'!$AG52,IF($R$4=Bron!$C$16,'Bouwkost AK+VERB'!$AG52,0))))))</f>
        <v>0</v>
      </c>
      <c r="S41" s="810"/>
      <c r="T41" s="810">
        <f>IF(OR($T$4=Bron!$B$8,$T$4=Bron!$B$9,$T$4=Bron!$B$15),'Bouwkost NB'!$AG53,IF($T$4=Bron!$B$10,'Bouwkost UITB'!$AG52,IF($T$4=Bron!$B$11,'Bouwkost VERB'!$AG52,IF($T$4=Bron!$B$12,'Bouwkost IER'!$AG51,IF(OR($T$4=Bron!$B$13,$T$4=Bron!$B$14),'Bouwkost VOLT'!$AG52,IF($T$4=Bron!$C$16,'Bouwkost AK+VERB'!$AG52,0))))))</f>
        <v>0</v>
      </c>
      <c r="U41" s="810"/>
      <c r="V41" s="810">
        <f>IF(OR($V$4=Bron!$B$8,$V$4=Bron!$B$9,$V$4=Bron!$B$15),'Bouwkost NB'!$AG53,IF($V$4=Bron!$B$10,'Bouwkost UITB'!$AG52,IF($V$4=Bron!$B$11,'Bouwkost VERB'!$AG52,IF($V$4=Bron!$B$12,'Bouwkost IER'!$AG51,IF(OR($V$4=Bron!$B$13,$V$4=Bron!$B$14),'Bouwkost VOLT'!$AG52,IF($V$4=Bron!$C$16,'Bouwkost AK+VERB'!$AG52,0))))))</f>
        <v>0</v>
      </c>
      <c r="W41" s="810"/>
      <c r="X41" s="810">
        <f>IF(OR($X$4=Bron!$B$8,$X$4=Bron!$B$9,$X$4=Bron!$B$15),'Bouwkost NB'!$AG53,IF($X$4=Bron!$B$10,'Bouwkost UITB'!$AG52,IF($X$4=Bron!$B$11,'Bouwkost VERB'!$AG52,IF($X$4=Bron!$B$12,'Bouwkost IER'!$AG51,IF(OR($X$4=Bron!$B$13,$X$4=Bron!$B$14),'Bouwkost VOLT'!$AG52,IF($X$4=Bron!$C$16,'Bouwkost AK+VERB'!$AG52,0))))))</f>
        <v>0</v>
      </c>
    </row>
    <row r="42" spans="1:25" x14ac:dyDescent="0.3">
      <c r="A42" s="668" t="s">
        <v>446</v>
      </c>
      <c r="B42" s="89">
        <f>IF(OR($B$4=Bron!$B$8,$B$4=Bron!$B$9,$B$4=Bron!$B$15),'Bouwkost NB'!$K54,IF($B$4=Bron!$B$10,'Bouwkost UITB'!$K53,IF($B$4=Bron!$B$11,'Bouwkost VERB'!$K53,IF($B$4=Bron!$B$12,'Bouwkost IER'!$K52,IF(OR($B$4=Bron!$B$13,$B$4=Bron!$B$14),'Bouwkost VOLT'!$K53,IF($B$4=Bron!$C$16,'Bouwkost AK+VERB'!$K53,0))))))</f>
        <v>0</v>
      </c>
      <c r="D42" s="89">
        <f>IF(OR($D$4=Bron!$B$8,$D$4=Bron!$B$9,$D$4=Bron!$B$15),'Bouwkost NB'!$K54,IF($D$4=Bron!$B$10,'Bouwkost UITB'!$K53,IF($D$4=Bron!$B$11,'Bouwkost VERB'!$K53,IF($D$4=Bron!$B$12,'Bouwkost IER'!$K52,IF(OR($D$4=Bron!$B$13,$D$4=Bron!$B$14),'Bouwkost VOLT'!$K53,IF($D$4=Bron!$C$16,'Bouwkost AK+VERB'!$K53,0))))))</f>
        <v>0</v>
      </c>
      <c r="F42" s="89">
        <f>IF(OR($F$4=Bron!$B$8,$F$4=Bron!$B$9,$F$4=Bron!$B$15),'Bouwkost NB'!$K54,IF($F$4=Bron!$B$10,'Bouwkost UITB'!$K53,IF($F$4=Bron!$B$11,'Bouwkost VERB'!$K53,IF($F$4=Bron!$B$12,'Bouwkost IER'!$K52,IF(OR($F$4=Bron!$B$13,$F$4=Bron!$B$14),'Bouwkost VOLT'!$K53,IF($F$4=Bron!$C$16,'Bouwkost AK+VERB'!$K53,0))))))</f>
        <v>0</v>
      </c>
      <c r="H42" s="89">
        <f>IF(OR($H$4=Bron!$B$8,$H$4=Bron!$B$9,$H$4=Bron!$B$15),'Bouwkost NB'!$K54,IF($H$4=Bron!$B$10,'Bouwkost UITB'!$K53,IF($H$4=Bron!$B$11,'Bouwkost VERB'!$K53,IF($H$4=Bron!$B$12,'Bouwkost IER'!$K52,IF(OR($H$4=Bron!$B$13,$H$4=Bron!$B$14),'Bouwkost VOLT'!$K53,IF($H$4=Bron!$C$16,'Bouwkost AK+VERB'!$K53,0))))))</f>
        <v>0</v>
      </c>
      <c r="J42" s="89">
        <f>IF(OR($J$4=Bron!$B$8,$J$4=Bron!$B$9,$J$4=Bron!$B$15),'Bouwkost NB'!$V54,IF($J$4=Bron!$B$10,'Bouwkost UITB'!$V53,IF($J$4=Bron!$B$11,'Bouwkost VERB'!$V53,IF($J$4=Bron!$B$12,'Bouwkost IER'!$V52,IF(OR($J$4=Bron!$B$13,$J$4=Bron!$B$14),'Bouwkost VOLT'!$V53,IF($J$4=Bron!$C$16,'Bouwkost AK+VERB'!$V53,0))))))</f>
        <v>0</v>
      </c>
      <c r="L42" s="89">
        <f>IF(OR($L$4=Bron!$B$8,$L$4=Bron!$B$9,$L$4=Bron!$B$15),'Bouwkost NB'!$V54,IF($L$4=Bron!$B$10,'Bouwkost UITB'!$V53,IF($L$4=Bron!$B$11,'Bouwkost VERB'!$V53,IF($L$4=Bron!$B$12,'Bouwkost IER'!$V52,IF(OR($L$4=Bron!$B$13,$L$4=Bron!$B$14),'Bouwkost VOLT'!$V53,IF($L$4=Bron!$C$16,'Bouwkost AK+VERB'!$V53,0))))))</f>
        <v>0</v>
      </c>
      <c r="N42" s="89">
        <f>IF(OR($N$4=Bron!$B$8,$N$4=Bron!$B$9,,$N$4=Bron!$B$15),'Bouwkost NB'!$V54,IF($N$4=Bron!$B$10,'Bouwkost UITB'!$V53,IF($N$4=Bron!$B$11,'Bouwkost VERB'!$V53,IF($N$4=Bron!$B$12,'Bouwkost IER'!$V52,IF(OR($N$4=Bron!$B$13,$N$4=Bron!$B$14),'Bouwkost VOLT'!$V53,IF($N$4=Bron!$C$16,'Bouwkost AK+VERB'!$V53,0))))))</f>
        <v>0</v>
      </c>
      <c r="P42" s="89">
        <f>IF(OR($P$4=Bron!$B$8,$P$4=Bron!$B$9,$P$4=Bron!$B$15),'Bouwkost NB'!$V54,IF($P$4=Bron!$B$10,'Bouwkost UITB'!$V53,IF($P$4=Bron!$B$11,'Bouwkost VERB'!$V53,IF($P$4=Bron!$B$12,'Bouwkost IER'!$V52,IF(OR($P$4=Bron!$B$13,$P$4=Bron!$B$14),'Bouwkost VOLT'!$V53,IF($P$4=Bron!$C$16,'Bouwkost AK+VERB'!$V53,0))))))</f>
        <v>0</v>
      </c>
      <c r="R42" s="89">
        <f>IF(OR($R$4=Bron!$B$8,$R$4=Bron!$B$9,$R$4=Bron!$B$15),'Bouwkost NB'!$AG54,IF($R$4=Bron!$B$10,'Bouwkost UITB'!$AG53,IF($R$4=Bron!$B$11,'Bouwkost VERB'!$AG53,IF($R$4=Bron!$B$12,'Bouwkost IER'!$AG52,IF(OR($R$4=Bron!$B$13,$R$4=Bron!$B$14),'Bouwkost VOLT'!$AG53,IF($R$4=Bron!$C$16,'Bouwkost AK+VERB'!$AG53,0))))))</f>
        <v>0</v>
      </c>
      <c r="T42" s="89">
        <f>IF(OR($T$4=Bron!$B$8,$T$4=Bron!$B$9,$T$4=Bron!$B$15),'Bouwkost NB'!$AG54,IF($T$4=Bron!$B$10,'Bouwkost UITB'!$AG53,IF($T$4=Bron!$B$11,'Bouwkost VERB'!$AG53,IF($T$4=Bron!$B$12,'Bouwkost IER'!$AG52,IF(OR($T$4=Bron!$B$13,$T$4=Bron!$B$14),'Bouwkost VOLT'!$AG53,IF($T$4=Bron!$C$16,'Bouwkost AK+VERB'!$AG53,0))))))</f>
        <v>0</v>
      </c>
      <c r="V42" s="89">
        <f>IF(OR($V$4=Bron!$B$8,$V$4=Bron!$B$9,$V$4=Bron!$B$15),'Bouwkost NB'!$AG54,IF($V$4=Bron!$B$10,'Bouwkost UITB'!$AG53,IF($V$4=Bron!$B$11,'Bouwkost VERB'!$AG53,IF($V$4=Bron!$B$12,'Bouwkost IER'!$AG52,IF(OR($V$4=Bron!$B$13,$V$4=Bron!$B$14),'Bouwkost VOLT'!$AG53,IF($V$4=Bron!$C$16,'Bouwkost AK+VERB'!$AG53,0))))))</f>
        <v>0</v>
      </c>
      <c r="X42" s="89">
        <f>IF(OR($X$4=Bron!$B$8,$X$4=Bron!$B$9,$X$4=Bron!$B$15),'Bouwkost NB'!$AG54,IF($X$4=Bron!$B$10,'Bouwkost UITB'!$AG53,IF($X$4=Bron!$B$11,'Bouwkost VERB'!$AG53,IF($X$4=Bron!$B$12,'Bouwkost IER'!$AG52,IF(OR($X$4=Bron!$B$13,$X$4=Bron!$B$14),'Bouwkost VOLT'!$AG53,IF($X$4=Bron!$C$16,'Bouwkost AK+VERB'!$AG53,0))))))</f>
        <v>0</v>
      </c>
    </row>
    <row r="43" spans="1:25" x14ac:dyDescent="0.3">
      <c r="A43" s="333" t="s">
        <v>447</v>
      </c>
      <c r="B43" s="89">
        <f>IF(OR($B$4=Bron!$B$8,$B$4=Bron!$B$9,$B$4=Bron!$B$15),'Bouwkost NB'!$K55,IF($B$4=Bron!$B$10,'Bouwkost UITB'!$K54,IF($B$4=Bron!$B$11,'Bouwkost VERB'!$K54,IF($B$4=Bron!$B$12,'Bouwkost IER'!$K53,IF(OR($B$4=Bron!$B$13,$B$4=Bron!$B$14),'Bouwkost VOLT'!$K54,IF($B$4=Bron!$C$16,'Bouwkost AK+VERB'!$K54,0))))))</f>
        <v>0</v>
      </c>
      <c r="D43" s="89">
        <f>IF(OR($D$4=Bron!$B$8,$D$4=Bron!$B$9,$D$4=Bron!$B$15),'Bouwkost NB'!$K55,IF($D$4=Bron!$B$10,'Bouwkost UITB'!$K54,IF($D$4=Bron!$B$11,'Bouwkost VERB'!$K54,IF($D$4=Bron!$B$12,'Bouwkost IER'!$K53,IF(OR($D$4=Bron!$B$13,$D$4=Bron!$B$14),'Bouwkost VOLT'!$K54,IF($D$4=Bron!$C$16,'Bouwkost AK+VERB'!$K54,0))))))</f>
        <v>0</v>
      </c>
      <c r="F43" s="89">
        <f>IF(OR($F$4=Bron!$B$8,$F$4=Bron!$B$9,$F$4=Bron!$B$15),'Bouwkost NB'!$K55,IF($F$4=Bron!$B$10,'Bouwkost UITB'!$K54,IF($F$4=Bron!$B$11,'Bouwkost VERB'!$K54,IF($F$4=Bron!$B$12,'Bouwkost IER'!$K53,IF(OR($F$4=Bron!$B$13,$F$4=Bron!$B$14),'Bouwkost VOLT'!$K54,IF($F$4=Bron!$C$16,'Bouwkost AK+VERB'!$K54,0))))))</f>
        <v>0</v>
      </c>
      <c r="H43" s="89">
        <f>IF(OR($H$4=Bron!$B$8,$H$4=Bron!$B$9,$H$4=Bron!$B$15),'Bouwkost NB'!$K55,IF($H$4=Bron!$B$10,'Bouwkost UITB'!$K54,IF($H$4=Bron!$B$11,'Bouwkost VERB'!$K54,IF($H$4=Bron!$B$12,'Bouwkost IER'!$K53,IF(OR($H$4=Bron!$B$13,$H$4=Bron!$B$14),'Bouwkost VOLT'!$K54,IF($H$4=Bron!$C$16,'Bouwkost AK+VERB'!$K54,0))))))</f>
        <v>0</v>
      </c>
      <c r="J43" s="89">
        <f>IF(OR($J$4=Bron!$B$8,$J$4=Bron!$B$9,$J$4=Bron!$B$15),'Bouwkost NB'!$V55,IF($J$4=Bron!$B$10,'Bouwkost UITB'!$V54,IF($J$4=Bron!$B$11,'Bouwkost VERB'!$V54,IF($J$4=Bron!$B$12,'Bouwkost IER'!$V53,IF(OR($J$4=Bron!$B$13,$J$4=Bron!$B$14),'Bouwkost VOLT'!$V54,IF($J$4=Bron!$C$16,'Bouwkost AK+VERB'!$V54,0))))))</f>
        <v>0</v>
      </c>
      <c r="L43" s="89">
        <f>IF(OR($L$4=Bron!$B$8,$L$4=Bron!$B$9,$L$4=Bron!$B$15),'Bouwkost NB'!$V55,IF($L$4=Bron!$B$10,'Bouwkost UITB'!$V54,IF($L$4=Bron!$B$11,'Bouwkost VERB'!$V54,IF($L$4=Bron!$B$12,'Bouwkost IER'!$V53,IF(OR($L$4=Bron!$B$13,$L$4=Bron!$B$14),'Bouwkost VOLT'!$V54,IF($L$4=Bron!$C$16,'Bouwkost AK+VERB'!$V54,0))))))</f>
        <v>0</v>
      </c>
      <c r="N43" s="89">
        <f>IF(OR($N$4=Bron!$B$8,$N$4=Bron!$B$9,,$N$4=Bron!$B$15),'Bouwkost NB'!$V55,IF($N$4=Bron!$B$10,'Bouwkost UITB'!$V54,IF($N$4=Bron!$B$11,'Bouwkost VERB'!$V54,IF($N$4=Bron!$B$12,'Bouwkost IER'!$V53,IF(OR($N$4=Bron!$B$13,$N$4=Bron!$B$14),'Bouwkost VOLT'!$V54,IF($N$4=Bron!$C$16,'Bouwkost AK+VERB'!$V54,0))))))</f>
        <v>0</v>
      </c>
      <c r="P43" s="89">
        <f>IF(OR($P$4=Bron!$B$8,$P$4=Bron!$B$9,$P$4=Bron!$B$15),'Bouwkost NB'!$V55,IF($P$4=Bron!$B$10,'Bouwkost UITB'!$V54,IF($P$4=Bron!$B$11,'Bouwkost VERB'!$V54,IF($P$4=Bron!$B$12,'Bouwkost IER'!$V53,IF(OR($P$4=Bron!$B$13,$P$4=Bron!$B$14),'Bouwkost VOLT'!$V54,IF($P$4=Bron!$C$16,'Bouwkost AK+VERB'!$V54,0))))))</f>
        <v>0</v>
      </c>
      <c r="R43" s="89">
        <f>IF(OR($R$4=Bron!$B$8,$R$4=Bron!$B$9,$R$4=Bron!$B$15),'Bouwkost NB'!$AG55,IF($R$4=Bron!$B$10,'Bouwkost UITB'!$AG54,IF($R$4=Bron!$B$11,'Bouwkost VERB'!$AG54,IF($R$4=Bron!$B$12,'Bouwkost IER'!$AG53,IF(OR($R$4=Bron!$B$13,$R$4=Bron!$B$14),'Bouwkost VOLT'!$AG54,IF($R$4=Bron!$C$16,'Bouwkost AK+VERB'!$AG54,0))))))</f>
        <v>0</v>
      </c>
      <c r="T43" s="89">
        <f>IF(OR($T$4=Bron!$B$8,$T$4=Bron!$B$9,$T$4=Bron!$B$15),'Bouwkost NB'!$AG55,IF($T$4=Bron!$B$10,'Bouwkost UITB'!$AG54,IF($T$4=Bron!$B$11,'Bouwkost VERB'!$AG54,IF($T$4=Bron!$B$12,'Bouwkost IER'!$AG53,IF(OR($T$4=Bron!$B$13,$T$4=Bron!$B$14),'Bouwkost VOLT'!$AG54,IF($T$4=Bron!$C$16,'Bouwkost AK+VERB'!$AG54,0))))))</f>
        <v>0</v>
      </c>
      <c r="V43" s="89">
        <f>IF(OR($V$4=Bron!$B$8,$V$4=Bron!$B$9,$V$4=Bron!$B$15),'Bouwkost NB'!$AG55,IF($V$4=Bron!$B$10,'Bouwkost UITB'!$AG54,IF($V$4=Bron!$B$11,'Bouwkost VERB'!$AG54,IF($V$4=Bron!$B$12,'Bouwkost IER'!$AG53,IF(OR($V$4=Bron!$B$13,$V$4=Bron!$B$14),'Bouwkost VOLT'!$AG54,IF($V$4=Bron!$C$16,'Bouwkost AK+VERB'!$AG54,0))))))</f>
        <v>0</v>
      </c>
      <c r="X43" s="89">
        <f>IF(OR($X$4=Bron!$B$8,$X$4=Bron!$B$9,$X$4=Bron!$B$15),'Bouwkost NB'!$AG55,IF($X$4=Bron!$B$10,'Bouwkost UITB'!$AG54,IF($X$4=Bron!$B$11,'Bouwkost VERB'!$AG54,IF($X$4=Bron!$B$12,'Bouwkost IER'!$AG53,IF(OR($X$4=Bron!$B$13,$X$4=Bron!$B$14),'Bouwkost VOLT'!$AG54,IF($X$4=Bron!$C$16,'Bouwkost AK+VERB'!$AG54,0))))))</f>
        <v>0</v>
      </c>
      <c r="Y43" s="815">
        <f>SUM(B43:X43)</f>
        <v>0</v>
      </c>
    </row>
    <row r="44" spans="1:25" x14ac:dyDescent="0.3">
      <c r="A44" s="333" t="s">
        <v>335</v>
      </c>
      <c r="B44" s="89">
        <f>IF(OR($B$4=Bron!$B$8,$B$4=Bron!$B$9,$B$4=Bron!$B$15),'Bouwkost NB'!$K56,IF($B$4=Bron!$B$10,'Bouwkost UITB'!$K55,IF($B$4=Bron!$B$11,'Bouwkost VERB'!$K55,IF($B$4=Bron!$B$12,'Bouwkost IER'!$K54,IF(OR($B$4=Bron!$B$13,$B$4=Bron!$B$14),'Bouwkost VOLT'!$K55,IF($B$4=Bron!$C$16,'Bouwkost AK+VERB'!$K55,0))))))</f>
        <v>0</v>
      </c>
      <c r="D44" s="89">
        <f>IF(OR($D$4=Bron!$B$8,$D$4=Bron!$B$9,$D$4=Bron!$B$15),'Bouwkost NB'!$K56,IF($D$4=Bron!$B$10,'Bouwkost UITB'!$K55,IF($D$4=Bron!$B$11,'Bouwkost VERB'!$K55,IF($D$4=Bron!$B$12,'Bouwkost IER'!$K54,IF(OR($D$4=Bron!$B$13,$D$4=Bron!$B$14),'Bouwkost VOLT'!$K55,IF($D$4=Bron!$C$16,'Bouwkost AK+VERB'!$K55,0))))))</f>
        <v>0</v>
      </c>
      <c r="F44" s="89">
        <f>IF(OR($F$4=Bron!$B$8,$F$4=Bron!$B$9,$F$4=Bron!$B$15),'Bouwkost NB'!$K56,IF($F$4=Bron!$B$10,'Bouwkost UITB'!$K55,IF($F$4=Bron!$B$11,'Bouwkost VERB'!$K55,IF($F$4=Bron!$B$12,'Bouwkost IER'!$K54,IF(OR($F$4=Bron!$B$13,$F$4=Bron!$B$14),'Bouwkost VOLT'!$K55,IF($F$4=Bron!$C$16,'Bouwkost AK+VERB'!$K55,0))))))</f>
        <v>0</v>
      </c>
      <c r="H44" s="89">
        <f>IF(OR($H$4=Bron!$B$8,$H$4=Bron!$B$9,$H$4=Bron!$B$15),'Bouwkost NB'!$K56,IF($H$4=Bron!$B$10,'Bouwkost UITB'!$K55,IF($H$4=Bron!$B$11,'Bouwkost VERB'!$K55,IF($H$4=Bron!$B$12,'Bouwkost IER'!$K54,IF(OR($H$4=Bron!$B$13,$H$4=Bron!$B$14),'Bouwkost VOLT'!$K55,IF($H$4=Bron!$C$16,'Bouwkost AK+VERB'!$K55,0))))))</f>
        <v>0</v>
      </c>
      <c r="J44" s="89">
        <f>IF(OR($J$4=Bron!$B$8,$J$4=Bron!$B$9,$J$4=Bron!$B$15),'Bouwkost NB'!$V56,IF($J$4=Bron!$B$10,'Bouwkost UITB'!$V55,IF($J$4=Bron!$B$11,'Bouwkost VERB'!$V55,IF($J$4=Bron!$B$12,'Bouwkost IER'!$V54,IF(OR($J$4=Bron!$B$13,$J$4=Bron!$B$14),'Bouwkost VOLT'!$V55,IF($J$4=Bron!$C$16,'Bouwkost AK+VERB'!$V55,0))))))</f>
        <v>0</v>
      </c>
      <c r="L44" s="89">
        <f>IF(OR($L$4=Bron!$B$8,$L$4=Bron!$B$9,$L$4=Bron!$B$15),'Bouwkost NB'!$V56,IF($L$4=Bron!$B$10,'Bouwkost UITB'!$V55,IF($L$4=Bron!$B$11,'Bouwkost VERB'!$V55,IF($L$4=Bron!$B$12,'Bouwkost IER'!$V54,IF(OR($L$4=Bron!$B$13,$L$4=Bron!$B$14),'Bouwkost VOLT'!$V55,IF($L$4=Bron!$C$16,'Bouwkost AK+VERB'!$V55,0))))))</f>
        <v>0</v>
      </c>
      <c r="N44" s="89">
        <f>IF(OR($N$4=Bron!$B$8,$N$4=Bron!$B$9,,$N$4=Bron!$B$15),'Bouwkost NB'!$V56,IF($N$4=Bron!$B$10,'Bouwkost UITB'!$V55,IF($N$4=Bron!$B$11,'Bouwkost VERB'!$V55,IF($N$4=Bron!$B$12,'Bouwkost IER'!$V54,IF(OR($N$4=Bron!$B$13,$N$4=Bron!$B$14),'Bouwkost VOLT'!$V55,IF($N$4=Bron!$C$16,'Bouwkost AK+VERB'!$V55,0))))))</f>
        <v>0</v>
      </c>
      <c r="P44" s="89">
        <f>IF(OR($P$4=Bron!$B$8,$P$4=Bron!$B$9,$P$4=Bron!$B$15),'Bouwkost NB'!$V56,IF($P$4=Bron!$B$10,'Bouwkost UITB'!$V55,IF($P$4=Bron!$B$11,'Bouwkost VERB'!$V55,IF($P$4=Bron!$B$12,'Bouwkost IER'!$V54,IF(OR($P$4=Bron!$B$13,$P$4=Bron!$B$14),'Bouwkost VOLT'!$V55,IF($P$4=Bron!$C$16,'Bouwkost AK+VERB'!$V55,0))))))</f>
        <v>0</v>
      </c>
      <c r="R44" s="89">
        <f>IF(OR($R$4=Bron!$B$8,$R$4=Bron!$B$9,$R$4=Bron!$B$15),'Bouwkost NB'!$AG56,IF($R$4=Bron!$B$10,'Bouwkost UITB'!$AG55,IF($R$4=Bron!$B$11,'Bouwkost VERB'!$AG55,IF($R$4=Bron!$B$12,'Bouwkost IER'!$AG54,IF(OR($R$4=Bron!$B$13,$R$4=Bron!$B$14),'Bouwkost VOLT'!$AG55,IF($R$4=Bron!$C$16,'Bouwkost AK+VERB'!$AG55,0))))))</f>
        <v>0</v>
      </c>
      <c r="T44" s="89">
        <f>IF(OR($T$4=Bron!$B$8,$T$4=Bron!$B$9,$T$4=Bron!$B$15),'Bouwkost NB'!$AG56,IF($T$4=Bron!$B$10,'Bouwkost UITB'!$AG55,IF($T$4=Bron!$B$11,'Bouwkost VERB'!$AG55,IF($T$4=Bron!$B$12,'Bouwkost IER'!$AG54,IF(OR($T$4=Bron!$B$13,$T$4=Bron!$B$14),'Bouwkost VOLT'!$AG55,IF($T$4=Bron!$C$16,'Bouwkost AK+VERB'!$AG55,0))))))</f>
        <v>0</v>
      </c>
      <c r="V44" s="89">
        <f>IF(OR($V$4=Bron!$B$8,$V$4=Bron!$B$9,$V$4=Bron!$B$15),'Bouwkost NB'!$AG56,IF($V$4=Bron!$B$10,'Bouwkost UITB'!$AG55,IF($V$4=Bron!$B$11,'Bouwkost VERB'!$AG55,IF($V$4=Bron!$B$12,'Bouwkost IER'!$AG54,IF(OR($V$4=Bron!$B$13,$V$4=Bron!$B$14),'Bouwkost VOLT'!$AG55,IF($V$4=Bron!$C$16,'Bouwkost AK+VERB'!$AG55,0))))))</f>
        <v>0</v>
      </c>
      <c r="X44" s="89">
        <f>IF(OR($X$4=Bron!$B$8,$X$4=Bron!$B$9,$X$4=Bron!$B$15),'Bouwkost NB'!$AG56,IF($X$4=Bron!$B$10,'Bouwkost UITB'!$AG55,IF($X$4=Bron!$B$11,'Bouwkost VERB'!$AG55,IF($X$4=Bron!$B$12,'Bouwkost IER'!$AG54,IF(OR($X$4=Bron!$B$13,$X$4=Bron!$B$14),'Bouwkost VOLT'!$AG55,IF($X$4=Bron!$C$16,'Bouwkost AK+VERB'!$AG55,0))))))</f>
        <v>0</v>
      </c>
    </row>
    <row r="45" spans="1:25" x14ac:dyDescent="0.3">
      <c r="A45" s="333" t="s">
        <v>448</v>
      </c>
      <c r="B45" s="89">
        <f>IF(OR($B$4=Bron!$B$8,$B$4=Bron!$B$9,$B$4=Bron!$B$15),'Bouwkost NB'!$K57,IF($B$4=Bron!$B$10,'Bouwkost UITB'!$K56,IF($B$4=Bron!$B$11,'Bouwkost VERB'!$K56,IF($B$4=Bron!$B$12,'Bouwkost IER'!$K55,IF(OR($B$4=Bron!$B$13,$B$4=Bron!$B$14),'Bouwkost VOLT'!$K56,IF($B$4=Bron!$C$16,'Bouwkost AK+VERB'!$K56,0))))))</f>
        <v>0</v>
      </c>
      <c r="D45" s="89">
        <f>IF(OR($D$4=Bron!$B$8,$D$4=Bron!$B$9,$D$4=Bron!$B$15),'Bouwkost NB'!$K57,IF($D$4=Bron!$B$10,'Bouwkost UITB'!$K56,IF($D$4=Bron!$B$11,'Bouwkost VERB'!$K56,IF($D$4=Bron!$B$12,'Bouwkost IER'!$K55,IF(OR($D$4=Bron!$B$13,$D$4=Bron!$B$14),'Bouwkost VOLT'!$K56,IF($D$4=Bron!$C$16,'Bouwkost AK+VERB'!$K56,0))))))</f>
        <v>0</v>
      </c>
      <c r="F45" s="89">
        <f>IF(OR($F$4=Bron!$B$8,$F$4=Bron!$B$9,$F$4=Bron!$B$15),'Bouwkost NB'!$K57,IF($F$4=Bron!$B$10,'Bouwkost UITB'!$K56,IF($F$4=Bron!$B$11,'Bouwkost VERB'!$K56,IF($F$4=Bron!$B$12,'Bouwkost IER'!$K55,IF(OR($F$4=Bron!$B$13,$F$4=Bron!$B$14),'Bouwkost VOLT'!$K56,IF($F$4=Bron!$C$16,'Bouwkost AK+VERB'!$K56,0))))))</f>
        <v>0</v>
      </c>
      <c r="H45" s="89">
        <f>IF(OR($H$4=Bron!$B$8,$H$4=Bron!$B$9,$H$4=Bron!$B$15),'Bouwkost NB'!$K57,IF($H$4=Bron!$B$10,'Bouwkost UITB'!$K56,IF($H$4=Bron!$B$11,'Bouwkost VERB'!$K56,IF($H$4=Bron!$B$12,'Bouwkost IER'!$K55,IF(OR($H$4=Bron!$B$13,$H$4=Bron!$B$14),'Bouwkost VOLT'!$K56,IF($H$4=Bron!$C$16,'Bouwkost AK+VERB'!$K56,0))))))</f>
        <v>0</v>
      </c>
      <c r="J45" s="89">
        <f>IF(OR($J$4=Bron!$B$8,$J$4=Bron!$B$9,$J$4=Bron!$B$15),'Bouwkost NB'!$V57,IF($J$4=Bron!$B$10,'Bouwkost UITB'!$V56,IF($J$4=Bron!$B$11,'Bouwkost VERB'!$V56,IF($J$4=Bron!$B$12,'Bouwkost IER'!$V55,IF(OR($J$4=Bron!$B$13,$J$4=Bron!$B$14),'Bouwkost VOLT'!$V56,IF($J$4=Bron!$C$16,'Bouwkost AK+VERB'!$V56,0))))))</f>
        <v>0</v>
      </c>
      <c r="L45" s="89">
        <f>IF(OR($L$4=Bron!$B$8,$L$4=Bron!$B$9,$L$4=Bron!$B$15),'Bouwkost NB'!$V57,IF($L$4=Bron!$B$10,'Bouwkost UITB'!$V56,IF($L$4=Bron!$B$11,'Bouwkost VERB'!$V56,IF($L$4=Bron!$B$12,'Bouwkost IER'!$V55,IF(OR($L$4=Bron!$B$13,$L$4=Bron!$B$14),'Bouwkost VOLT'!$V56,IF($L$4=Bron!$C$16,'Bouwkost AK+VERB'!$V56,0))))))</f>
        <v>0</v>
      </c>
      <c r="N45" s="89">
        <f>IF(OR($N$4=Bron!$B$8,$N$4=Bron!$B$9,,$N$4=Bron!$B$15),'Bouwkost NB'!$V57,IF($N$4=Bron!$B$10,'Bouwkost UITB'!$V56,IF($N$4=Bron!$B$11,'Bouwkost VERB'!$V56,IF($N$4=Bron!$B$12,'Bouwkost IER'!$V55,IF(OR($N$4=Bron!$B$13,$N$4=Bron!$B$14),'Bouwkost VOLT'!$V56,IF($N$4=Bron!$C$16,'Bouwkost AK+VERB'!$V56,0))))))</f>
        <v>0</v>
      </c>
      <c r="P45" s="89">
        <f>IF(OR($P$4=Bron!$B$8,$P$4=Bron!$B$9,$P$4=Bron!$B$15),'Bouwkost NB'!$V57,IF($P$4=Bron!$B$10,'Bouwkost UITB'!$V56,IF($P$4=Bron!$B$11,'Bouwkost VERB'!$V56,IF($P$4=Bron!$B$12,'Bouwkost IER'!$V55,IF(OR($P$4=Bron!$B$13,$P$4=Bron!$B$14),'Bouwkost VOLT'!$V56,IF($P$4=Bron!$C$16,'Bouwkost AK+VERB'!$V56,0))))))</f>
        <v>0</v>
      </c>
      <c r="R45" s="89">
        <f>IF(OR($R$4=Bron!$B$8,$R$4=Bron!$B$9,$R$4=Bron!$B$15),'Bouwkost NB'!$AG57,IF($R$4=Bron!$B$10,'Bouwkost UITB'!$AG56,IF($R$4=Bron!$B$11,'Bouwkost VERB'!$AG56,IF($R$4=Bron!$B$12,'Bouwkost IER'!$AG55,IF(OR($R$4=Bron!$B$13,$R$4=Bron!$B$14),'Bouwkost VOLT'!$AG56,IF($R$4=Bron!$C$16,'Bouwkost AK+VERB'!$AG56,0))))))</f>
        <v>0</v>
      </c>
      <c r="T45" s="89">
        <f>IF(OR($T$4=Bron!$B$8,$T$4=Bron!$B$9,$T$4=Bron!$B$15),'Bouwkost NB'!$AG57,IF($T$4=Bron!$B$10,'Bouwkost UITB'!$AG56,IF($T$4=Bron!$B$11,'Bouwkost VERB'!$AG56,IF($T$4=Bron!$B$12,'Bouwkost IER'!$AG55,IF(OR($T$4=Bron!$B$13,$T$4=Bron!$B$14),'Bouwkost VOLT'!$AG56,IF($T$4=Bron!$C$16,'Bouwkost AK+VERB'!$AG56,0))))))</f>
        <v>0</v>
      </c>
      <c r="V45" s="89">
        <f>IF(OR($V$4=Bron!$B$8,$V$4=Bron!$B$9,$V$4=Bron!$B$15),'Bouwkost NB'!$AG57,IF($V$4=Bron!$B$10,'Bouwkost UITB'!$AG56,IF($V$4=Bron!$B$11,'Bouwkost VERB'!$AG56,IF($V$4=Bron!$B$12,'Bouwkost IER'!$AG55,IF(OR($V$4=Bron!$B$13,$V$4=Bron!$B$14),'Bouwkost VOLT'!$AG56,IF($V$4=Bron!$C$16,'Bouwkost AK+VERB'!$AG56,0))))))</f>
        <v>0</v>
      </c>
      <c r="X45" s="89">
        <f>IF(OR($X$4=Bron!$B$8,$X$4=Bron!$B$9,$X$4=Bron!$B$15),'Bouwkost NB'!$AG57,IF($X$4=Bron!$B$10,'Bouwkost UITB'!$AG56,IF($X$4=Bron!$B$11,'Bouwkost VERB'!$AG56,IF($X$4=Bron!$B$12,'Bouwkost IER'!$AG55,IF(OR($X$4=Bron!$B$13,$X$4=Bron!$B$14),'Bouwkost VOLT'!$AG56,IF($X$4=Bron!$C$16,'Bouwkost AK+VERB'!$AG56,0))))))</f>
        <v>0</v>
      </c>
    </row>
    <row r="46" spans="1:25" x14ac:dyDescent="0.3">
      <c r="A46" s="639" t="s">
        <v>450</v>
      </c>
      <c r="B46" s="89">
        <f>IF(OR($B$4=Bron!$B$8,$B$4=Bron!$B$9,$B$4=Bron!$B$15),'Bouwkost NB'!$K59,IF($B$4=Bron!$B$10,'Bouwkost UITB'!$K58,IF($B$4=Bron!$B$11,'Bouwkost VERB'!$K58,IF($B$4=Bron!$B$12,'Bouwkost IER'!$K57,IF(OR($B$4=Bron!$B$13,$B$4=Bron!$B$14),'Bouwkost VOLT'!$K58,IF($B$4=Bron!$C$16,'Bouwkost AK+VERB'!$K58,0))))))</f>
        <v>0</v>
      </c>
      <c r="D46" s="89">
        <f>IF(OR($D$4=Bron!$B$8,$D$4=Bron!$B$9,$D$4=Bron!$B$15),'Bouwkost NB'!$K59,IF($D$4=Bron!$B$10,'Bouwkost UITB'!$K58,IF($D$4=Bron!$B$11,'Bouwkost VERB'!$K58,IF($D$4=Bron!$B$12,'Bouwkost IER'!$K57,IF(OR($D$4=Bron!$B$13,$D$4=Bron!$B$14),'Bouwkost VOLT'!$K58,IF($D$4=Bron!$C$16,'Bouwkost AK+VERB'!$K58,0))))))</f>
        <v>0</v>
      </c>
      <c r="F46" s="89">
        <f>IF(OR($F$4=Bron!$B$8,$F$4=Bron!$B$9,$F$4=Bron!$B$15),'Bouwkost NB'!$K59,IF($F$4=Bron!$B$10,'Bouwkost UITB'!$K58,IF($F$4=Bron!$B$11,'Bouwkost VERB'!$K58,IF($F$4=Bron!$B$12,'Bouwkost IER'!$K57,IF(OR($F$4=Bron!$B$13,$F$4=Bron!$B$14),'Bouwkost VOLT'!$K58,IF($F$4=Bron!$C$16,'Bouwkost AK+VERB'!$K58,0))))))</f>
        <v>0</v>
      </c>
      <c r="H46" s="89">
        <f>IF(OR($H$4=Bron!$B$8,$H$4=Bron!$B$9,$H$4=Bron!$B$15),'Bouwkost NB'!$K59,IF($H$4=Bron!$B$10,'Bouwkost UITB'!$K58,IF($H$4=Bron!$B$11,'Bouwkost VERB'!$K58,IF($H$4=Bron!$B$12,'Bouwkost IER'!$K57,IF(OR($H$4=Bron!$B$13,$H$4=Bron!$B$14),'Bouwkost VOLT'!$K58,IF($H$4=Bron!$C$16,'Bouwkost AK+VERB'!$K58,0))))))</f>
        <v>0</v>
      </c>
      <c r="J46" s="89">
        <f>IF(OR($J$4=Bron!$B$8,$J$4=Bron!$B$9,$J$4=Bron!$B$15),'Bouwkost NB'!$V59,IF($J$4=Bron!$B$10,'Bouwkost UITB'!$V58,IF($J$4=Bron!$B$11,'Bouwkost VERB'!$V58,IF($J$4=Bron!$B$12,'Bouwkost IER'!$V57,IF(OR($J$4=Bron!$B$13,$J$4=Bron!$B$14),'Bouwkost VOLT'!$V58,IF($J$4=Bron!$C$16,'Bouwkost AK+VERB'!$V58,0))))))</f>
        <v>0</v>
      </c>
      <c r="L46" s="89">
        <f>IF(OR($L$4=Bron!$B$8,$L$4=Bron!$B$9,$L$4=Bron!$B$15),'Bouwkost NB'!$V59,IF($L$4=Bron!$B$10,'Bouwkost UITB'!$V58,IF($L$4=Bron!$B$11,'Bouwkost VERB'!$V58,IF($L$4=Bron!$B$12,'Bouwkost IER'!$V57,IF(OR($L$4=Bron!$B$13,$L$4=Bron!$B$14),'Bouwkost VOLT'!$V58,IF($L$4=Bron!$C$16,'Bouwkost AK+VERB'!$V58,0))))))</f>
        <v>0</v>
      </c>
      <c r="N46" s="89">
        <f>IF(OR($N$4=Bron!$B$8,$N$4=Bron!$B$9,,$N$4=Bron!$B$15),'Bouwkost NB'!$V59,IF($N$4=Bron!$B$10,'Bouwkost UITB'!$V58,IF($N$4=Bron!$B$11,'Bouwkost VERB'!$V58,IF($N$4=Bron!$B$12,'Bouwkost IER'!$V57,IF(OR($N$4=Bron!$B$13,$N$4=Bron!$B$14),'Bouwkost VOLT'!$V58,IF($N$4=Bron!$C$16,'Bouwkost AK+VERB'!$V58,0))))))</f>
        <v>0</v>
      </c>
      <c r="P46" s="89">
        <f>IF(OR($P$4=Bron!$B$8,$P$4=Bron!$B$9,$P$4=Bron!$B$15),'Bouwkost NB'!$V59,IF($P$4=Bron!$B$10,'Bouwkost UITB'!$V58,IF($P$4=Bron!$B$11,'Bouwkost VERB'!$V58,IF($P$4=Bron!$B$12,'Bouwkost IER'!$V57,IF(OR($P$4=Bron!$B$13,$P$4=Bron!$B$14),'Bouwkost VOLT'!$V58,IF($P$4=Bron!$C$16,'Bouwkost AK+VERB'!$V58,0))))))</f>
        <v>0</v>
      </c>
      <c r="R46" s="89">
        <f>IF(OR($R$4=Bron!$B$8,$R$4=Bron!$B$9,$R$4=Bron!$B$15),'Bouwkost NB'!$AG59,IF($R$4=Bron!$B$10,'Bouwkost UITB'!$AG58,IF($R$4=Bron!$B$11,'Bouwkost VERB'!$AG58,IF($R$4=Bron!$B$12,'Bouwkost IER'!$AG57,IF(OR($R$4=Bron!$B$13,$R$4=Bron!$B$14),'Bouwkost VOLT'!$AG58,IF($R$4=Bron!$C$16,'Bouwkost AK+VERB'!$AG58,0))))))</f>
        <v>0</v>
      </c>
      <c r="T46" s="89">
        <f>IF(OR($T$4=Bron!$B$8,$T$4=Bron!$B$9,$T$4=Bron!$B$15),'Bouwkost NB'!$AG59,IF($T$4=Bron!$B$10,'Bouwkost UITB'!$AG58,IF($T$4=Bron!$B$11,'Bouwkost VERB'!$AG58,IF($T$4=Bron!$B$12,'Bouwkost IER'!$AG57,IF(OR($T$4=Bron!$B$13,$T$4=Bron!$B$14),'Bouwkost VOLT'!$AG58,IF($T$4=Bron!$C$16,'Bouwkost AK+VERB'!$AG58,0))))))</f>
        <v>0</v>
      </c>
      <c r="V46" s="89">
        <f>IF(OR($V$4=Bron!$B$8,$V$4=Bron!$B$9,$V$4=Bron!$B$15),'Bouwkost NB'!$AG59,IF($V$4=Bron!$B$10,'Bouwkost UITB'!$AG58,IF($V$4=Bron!$B$11,'Bouwkost VERB'!$AG58,IF($V$4=Bron!$B$12,'Bouwkost IER'!$AG57,IF(OR($V$4=Bron!$B$13,$V$4=Bron!$B$14),'Bouwkost VOLT'!$AG58,IF($V$4=Bron!$C$16,'Bouwkost AK+VERB'!$AG58,0))))))</f>
        <v>0</v>
      </c>
      <c r="X46" s="89">
        <f>IF(OR($X$4=Bron!$B$8,$X$4=Bron!$B$9,$X$4=Bron!$B$15),'Bouwkost NB'!$AG59,IF($X$4=Bron!$B$10,'Bouwkost UITB'!$AG58,IF($X$4=Bron!$B$11,'Bouwkost VERB'!$AG58,IF($X$4=Bron!$B$12,'Bouwkost IER'!$AG57,IF(OR($X$4=Bron!$B$13,$X$4=Bron!$B$14),'Bouwkost VOLT'!$AG58,IF($X$4=Bron!$C$16,'Bouwkost AK+VERB'!$AG58,0))))))</f>
        <v>0</v>
      </c>
    </row>
    <row r="47" spans="1:25" x14ac:dyDescent="0.3">
      <c r="A47" s="639" t="s">
        <v>451</v>
      </c>
      <c r="B47" s="89">
        <f>IF(OR($B$4=Bron!$B$8,$B$4=Bron!$B$9,$B$4=Bron!$B$15),'Bouwkost NB'!$K60,IF($B$4=Bron!$B$10,'Bouwkost UITB'!$K59,IF($B$4=Bron!$B$11,'Bouwkost VERB'!$K59,IF($B$4=Bron!$B$12,'Bouwkost IER'!$K58,IF(OR($B$4=Bron!$B$13,$B$4=Bron!$B$14),'Bouwkost VOLT'!$K59,IF($B$4=Bron!$C$16,'Bouwkost AK+VERB'!$K59,0))))))</f>
        <v>0</v>
      </c>
      <c r="D47" s="89">
        <f>IF(OR($D$4=Bron!$B$8,$D$4=Bron!$B$9,$D$4=Bron!$B$15),'Bouwkost NB'!$K60,IF($D$4=Bron!$B$10,'Bouwkost UITB'!$K59,IF($D$4=Bron!$B$11,'Bouwkost VERB'!$K59,IF($D$4=Bron!$B$12,'Bouwkost IER'!$K58,IF(OR($D$4=Bron!$B$13,$D$4=Bron!$B$14),'Bouwkost VOLT'!$K59,IF($D$4=Bron!$C$16,'Bouwkost AK+VERB'!$K59,0))))))</f>
        <v>0</v>
      </c>
      <c r="F47" s="89">
        <f>IF(OR($F$4=Bron!$B$8,$F$4=Bron!$B$9,$F$4=Bron!$B$15),'Bouwkost NB'!$K60,IF($F$4=Bron!$B$10,'Bouwkost UITB'!$K59,IF($F$4=Bron!$B$11,'Bouwkost VERB'!$K59,IF($F$4=Bron!$B$12,'Bouwkost IER'!$K58,IF(OR($F$4=Bron!$B$13,$F$4=Bron!$B$14),'Bouwkost VOLT'!$K59,IF($F$4=Bron!$C$16,'Bouwkost AK+VERB'!$K59,0))))))</f>
        <v>0</v>
      </c>
      <c r="H47" s="89">
        <f>IF(OR($H$4=Bron!$B$8,$H$4=Bron!$B$9,$H$4=Bron!$B$15),'Bouwkost NB'!$K60,IF($H$4=Bron!$B$10,'Bouwkost UITB'!$K59,IF($H$4=Bron!$B$11,'Bouwkost VERB'!$K59,IF($H$4=Bron!$B$12,'Bouwkost IER'!$K58,IF(OR($H$4=Bron!$B$13,$H$4=Bron!$B$14),'Bouwkost VOLT'!$K59,IF($H$4=Bron!$C$16,'Bouwkost AK+VERB'!$K59,0))))))</f>
        <v>0</v>
      </c>
      <c r="J47" s="89">
        <f>IF(OR($J$4=Bron!$B$8,$J$4=Bron!$B$9,$J$4=Bron!$B$15),'Bouwkost NB'!$V60,IF($J$4=Bron!$B$10,'Bouwkost UITB'!$V59,IF($J$4=Bron!$B$11,'Bouwkost VERB'!$V59,IF($J$4=Bron!$B$12,'Bouwkost IER'!$V58,IF(OR($J$4=Bron!$B$13,$J$4=Bron!$B$14),'Bouwkost VOLT'!$V59,IF($J$4=Bron!$C$16,'Bouwkost AK+VERB'!$V59,0))))))</f>
        <v>0</v>
      </c>
      <c r="L47" s="89">
        <f>IF(OR($L$4=Bron!$B$8,$L$4=Bron!$B$9,$L$4=Bron!$B$15),'Bouwkost NB'!$V60,IF($L$4=Bron!$B$10,'Bouwkost UITB'!$V59,IF($L$4=Bron!$B$11,'Bouwkost VERB'!$V59,IF($L$4=Bron!$B$12,'Bouwkost IER'!$V58,IF(OR($L$4=Bron!$B$13,$L$4=Bron!$B$14),'Bouwkost VOLT'!$V59,IF($L$4=Bron!$C$16,'Bouwkost AK+VERB'!$V59,0))))))</f>
        <v>0</v>
      </c>
      <c r="N47" s="89">
        <f>IF(OR($N$4=Bron!$B$8,$N$4=Bron!$B$9,,$N$4=Bron!$B$15),'Bouwkost NB'!$V60,IF($N$4=Bron!$B$10,'Bouwkost UITB'!$V59,IF($N$4=Bron!$B$11,'Bouwkost VERB'!$V59,IF($N$4=Bron!$B$12,'Bouwkost IER'!$V58,IF(OR($N$4=Bron!$B$13,$N$4=Bron!$B$14),'Bouwkost VOLT'!$V59,IF($N$4=Bron!$C$16,'Bouwkost AK+VERB'!$V59,0))))))</f>
        <v>0</v>
      </c>
      <c r="P47" s="89">
        <f>IF(OR($P$4=Bron!$B$8,$P$4=Bron!$B$9,$P$4=Bron!$B$15),'Bouwkost NB'!$V60,IF($P$4=Bron!$B$10,'Bouwkost UITB'!$V59,IF($P$4=Bron!$B$11,'Bouwkost VERB'!$V59,IF($P$4=Bron!$B$12,'Bouwkost IER'!$V58,IF(OR($P$4=Bron!$B$13,$P$4=Bron!$B$14),'Bouwkost VOLT'!$V59,IF($P$4=Bron!$C$16,'Bouwkost AK+VERB'!$V59,0))))))</f>
        <v>0</v>
      </c>
      <c r="R47" s="89">
        <f>IF(OR($R$4=Bron!$B$8,$R$4=Bron!$B$9,$R$4=Bron!$B$15),'Bouwkost NB'!$AG60,IF($R$4=Bron!$B$10,'Bouwkost UITB'!$AG59,IF($R$4=Bron!$B$11,'Bouwkost VERB'!$AG59,IF($R$4=Bron!$B$12,'Bouwkost IER'!$AG58,IF(OR($R$4=Bron!$B$13,$R$4=Bron!$B$14),'Bouwkost VOLT'!$AG59,IF($R$4=Bron!$C$16,'Bouwkost AK+VERB'!$AG59,0))))))</f>
        <v>0</v>
      </c>
      <c r="T47" s="89">
        <f>IF(OR($T$4=Bron!$B$8,$T$4=Bron!$B$9,$T$4=Bron!$B$15),'Bouwkost NB'!$AG60,IF($T$4=Bron!$B$10,'Bouwkost UITB'!$AG59,IF($T$4=Bron!$B$11,'Bouwkost VERB'!$AG59,IF($T$4=Bron!$B$12,'Bouwkost IER'!$AG58,IF(OR($T$4=Bron!$B$13,$T$4=Bron!$B$14),'Bouwkost VOLT'!$AG59,IF($T$4=Bron!$C$16,'Bouwkost AK+VERB'!$AG59,0))))))</f>
        <v>0</v>
      </c>
      <c r="V47" s="89">
        <f>IF(OR($V$4=Bron!$B$8,$V$4=Bron!$B$9,$V$4=Bron!$B$15),'Bouwkost NB'!$AG60,IF($V$4=Bron!$B$10,'Bouwkost UITB'!$AG59,IF($V$4=Bron!$B$11,'Bouwkost VERB'!$AG59,IF($V$4=Bron!$B$12,'Bouwkost IER'!$AG58,IF(OR($V$4=Bron!$B$13,$V$4=Bron!$B$14),'Bouwkost VOLT'!$AG59,IF($V$4=Bron!$C$16,'Bouwkost AK+VERB'!$AG59,0))))))</f>
        <v>0</v>
      </c>
      <c r="X47" s="89">
        <f>IF(OR($X$4=Bron!$B$8,$X$4=Bron!$B$9,$X$4=Bron!$B$15),'Bouwkost NB'!$AG60,IF($X$4=Bron!$B$10,'Bouwkost UITB'!$AG59,IF($X$4=Bron!$B$11,'Bouwkost VERB'!$AG59,IF($X$4=Bron!$B$12,'Bouwkost IER'!$AG58,IF(OR($X$4=Bron!$B$13,$X$4=Bron!$B$14),'Bouwkost VOLT'!$AG59,IF($X$4=Bron!$C$16,'Bouwkost AK+VERB'!$AG59,0))))))</f>
        <v>0</v>
      </c>
    </row>
    <row r="48" spans="1:25" x14ac:dyDescent="0.3">
      <c r="A48" s="639" t="s">
        <v>452</v>
      </c>
      <c r="B48" s="89">
        <f>IF(OR($B$4=Bron!$B$8,$B$4=Bron!$B$9,$B$4=Bron!$B$15),'Bouwkost NB'!$K61,IF($B$4=Bron!$B$10,'Bouwkost UITB'!$K60,IF($B$4=Bron!$B$11,'Bouwkost VERB'!$K60,IF($B$4=Bron!$B$12,'Bouwkost IER'!$K59,IF(OR($B$4=Bron!$B$13,$B$4=Bron!$B$14),'Bouwkost VOLT'!$K60,IF($B$4=Bron!$C$16,'Bouwkost AK+VERB'!$K60,0))))))</f>
        <v>0</v>
      </c>
      <c r="D48" s="89">
        <f>IF(OR($D$4=Bron!$B$8,$D$4=Bron!$B$9,$D$4=Bron!$B$15),'Bouwkost NB'!$K61,IF($D$4=Bron!$B$10,'Bouwkost UITB'!$K60,IF($D$4=Bron!$B$11,'Bouwkost VERB'!$K60,IF($D$4=Bron!$B$12,'Bouwkost IER'!$K59,IF(OR($D$4=Bron!$B$13,$D$4=Bron!$B$14),'Bouwkost VOLT'!$K60,IF($D$4=Bron!$C$16,'Bouwkost AK+VERB'!$K60,0))))))</f>
        <v>0</v>
      </c>
      <c r="F48" s="89">
        <f>IF(OR($F$4=Bron!$B$8,$F$4=Bron!$B$9,$F$4=Bron!$B$15),'Bouwkost NB'!$K61,IF($F$4=Bron!$B$10,'Bouwkost UITB'!$K60,IF($F$4=Bron!$B$11,'Bouwkost VERB'!$K60,IF($F$4=Bron!$B$12,'Bouwkost IER'!$K59,IF(OR($F$4=Bron!$B$13,$F$4=Bron!$B$14),'Bouwkost VOLT'!$K60,IF($F$4=Bron!$C$16,'Bouwkost AK+VERB'!$K60,0))))))</f>
        <v>0</v>
      </c>
      <c r="H48" s="89">
        <f>IF(OR($H$4=Bron!$B$8,$H$4=Bron!$B$9,$H$4=Bron!$B$15),'Bouwkost NB'!$K61,IF($H$4=Bron!$B$10,'Bouwkost UITB'!$K60,IF($H$4=Bron!$B$11,'Bouwkost VERB'!$K60,IF($H$4=Bron!$B$12,'Bouwkost IER'!$K59,IF(OR($H$4=Bron!$B$13,$H$4=Bron!$B$14),'Bouwkost VOLT'!$K60,IF($H$4=Bron!$C$16,'Bouwkost AK+VERB'!$K60,0))))))</f>
        <v>0</v>
      </c>
      <c r="J48" s="89">
        <f>IF(OR($J$4=Bron!$B$8,$J$4=Bron!$B$9,$J$4=Bron!$B$15),'Bouwkost NB'!$V61,IF($J$4=Bron!$B$10,'Bouwkost UITB'!$V60,IF($J$4=Bron!$B$11,'Bouwkost VERB'!$V60,IF($J$4=Bron!$B$12,'Bouwkost IER'!$V59,IF(OR($J$4=Bron!$B$13,$J$4=Bron!$B$14),'Bouwkost VOLT'!$V60,IF($J$4=Bron!$C$16,'Bouwkost AK+VERB'!$V60,0))))))</f>
        <v>0</v>
      </c>
      <c r="L48" s="89">
        <f>IF(OR($L$4=Bron!$B$8,$L$4=Bron!$B$9,$L$4=Bron!$B$15),'Bouwkost NB'!$V61,IF($L$4=Bron!$B$10,'Bouwkost UITB'!$V60,IF($L$4=Bron!$B$11,'Bouwkost VERB'!$V60,IF($L$4=Bron!$B$12,'Bouwkost IER'!$V59,IF(OR($L$4=Bron!$B$13,$L$4=Bron!$B$14),'Bouwkost VOLT'!$V60,IF($L$4=Bron!$C$16,'Bouwkost AK+VERB'!$V60,0))))))</f>
        <v>0</v>
      </c>
      <c r="N48" s="89">
        <f>IF(OR($N$4=Bron!$B$8,$N$4=Bron!$B$9,,$N$4=Bron!$B$15),'Bouwkost NB'!$V61,IF($N$4=Bron!$B$10,'Bouwkost UITB'!$V60,IF($N$4=Bron!$B$11,'Bouwkost VERB'!$V60,IF($N$4=Bron!$B$12,'Bouwkost IER'!$V59,IF(OR($N$4=Bron!$B$13,$N$4=Bron!$B$14),'Bouwkost VOLT'!$V60,IF($N$4=Bron!$C$16,'Bouwkost AK+VERB'!$V60,0))))))</f>
        <v>0</v>
      </c>
      <c r="P48" s="89">
        <f>IF(OR($P$4=Bron!$B$8,$P$4=Bron!$B$9,$P$4=Bron!$B$15),'Bouwkost NB'!$V61,IF($P$4=Bron!$B$10,'Bouwkost UITB'!$V60,IF($P$4=Bron!$B$11,'Bouwkost VERB'!$V60,IF($P$4=Bron!$B$12,'Bouwkost IER'!$V59,IF(OR($P$4=Bron!$B$13,$P$4=Bron!$B$14),'Bouwkost VOLT'!$V60,IF($P$4=Bron!$C$16,'Bouwkost AK+VERB'!$V60,0))))))</f>
        <v>0</v>
      </c>
      <c r="R48" s="89">
        <f>IF(OR($R$4=Bron!$B$8,$R$4=Bron!$B$9,$R$4=Bron!$B$15),'Bouwkost NB'!$AG61,IF($R$4=Bron!$B$10,'Bouwkost UITB'!$AG60,IF($R$4=Bron!$B$11,'Bouwkost VERB'!$AG60,IF($R$4=Bron!$B$12,'Bouwkost IER'!$AG59,IF(OR($R$4=Bron!$B$13,$R$4=Bron!$B$14),'Bouwkost VOLT'!$AG60,IF($R$4=Bron!$C$16,'Bouwkost AK+VERB'!$AG60,0))))))</f>
        <v>0</v>
      </c>
      <c r="T48" s="89">
        <f>IF(OR($T$4=Bron!$B$8,$T$4=Bron!$B$9,$T$4=Bron!$B$15),'Bouwkost NB'!$AG61,IF($T$4=Bron!$B$10,'Bouwkost UITB'!$AG60,IF($T$4=Bron!$B$11,'Bouwkost VERB'!$AG60,IF($T$4=Bron!$B$12,'Bouwkost IER'!$AG59,IF(OR($T$4=Bron!$B$13,$T$4=Bron!$B$14),'Bouwkost VOLT'!$AG60,IF($T$4=Bron!$C$16,'Bouwkost AK+VERB'!$AG60,0))))))</f>
        <v>0</v>
      </c>
      <c r="V48" s="89">
        <f>IF(OR($V$4=Bron!$B$8,$V$4=Bron!$B$9,$V$4=Bron!$B$15),'Bouwkost NB'!$AG61,IF($V$4=Bron!$B$10,'Bouwkost UITB'!$AG60,IF($V$4=Bron!$B$11,'Bouwkost VERB'!$AG60,IF($V$4=Bron!$B$12,'Bouwkost IER'!$AG59,IF(OR($V$4=Bron!$B$13,$V$4=Bron!$B$14),'Bouwkost VOLT'!$AG60,IF($V$4=Bron!$C$16,'Bouwkost AK+VERB'!$AG60,0))))))</f>
        <v>0</v>
      </c>
      <c r="X48" s="89">
        <f>IF(OR($X$4=Bron!$B$8,$X$4=Bron!$B$9,$X$4=Bron!$B$15),'Bouwkost NB'!$AG61,IF($X$4=Bron!$B$10,'Bouwkost UITB'!$AG60,IF($X$4=Bron!$B$11,'Bouwkost VERB'!$AG60,IF($X$4=Bron!$B$12,'Bouwkost IER'!$AG59,IF(OR($X$4=Bron!$B$13,$X$4=Bron!$B$14),'Bouwkost VOLT'!$AG60,IF($X$4=Bron!$C$16,'Bouwkost AK+VERB'!$AG60,0))))))</f>
        <v>0</v>
      </c>
    </row>
    <row r="49" spans="1:24" x14ac:dyDescent="0.3">
      <c r="A49" s="328" t="s">
        <v>282</v>
      </c>
      <c r="B49" s="810">
        <f>IF(OR($B$4=Bron!$B$8,$B$4=Bron!$B$9,$B$4=Bron!$B$15),'Bouwkost NB'!$K62,IF($B$4=Bron!$B$10,'Bouwkost UITB'!$K61,IF($B$4=Bron!$B$11,'Bouwkost VERB'!$K61,IF($B$4=Bron!$B$12,'Bouwkost IER'!$K60,IF(OR($B$4=Bron!$B$13,$B$4=Bron!$B$14),'Bouwkost VOLT'!$K61,IF($B$4=Bron!$C$16,'Bouwkost AK+VERB'!$K61,0))))))</f>
        <v>0</v>
      </c>
      <c r="C49" s="810"/>
      <c r="D49" s="810">
        <f>IF(OR($D$4=Bron!$B$8,$D$4=Bron!$B$9,$D$4=Bron!$B$15),'Bouwkost NB'!$K62,IF($D$4=Bron!$B$10,'Bouwkost UITB'!$K61,IF($D$4=Bron!$B$11,'Bouwkost VERB'!$K61,IF($D$4=Bron!$B$12,'Bouwkost IER'!$K60,IF(OR($D$4=Bron!$B$13,$D$4=Bron!$B$14),'Bouwkost VOLT'!$K61,IF($D$4=Bron!$C$16,'Bouwkost AK+VERB'!$K61,0))))))</f>
        <v>0</v>
      </c>
      <c r="E49" s="810"/>
      <c r="F49" s="810">
        <f>IF(OR($F$4=Bron!$B$8,$F$4=Bron!$B$9,$F$4=Bron!$B$15),'Bouwkost NB'!$K62,IF($F$4=Bron!$B$10,'Bouwkost UITB'!$K61,IF($F$4=Bron!$B$11,'Bouwkost VERB'!$K61,IF($F$4=Bron!$B$12,'Bouwkost IER'!$K60,IF(OR($F$4=Bron!$B$13,$F$4=Bron!$B$14),'Bouwkost VOLT'!$K61,IF($F$4=Bron!$C$16,'Bouwkost AK+VERB'!$K61,0))))))</f>
        <v>0</v>
      </c>
      <c r="G49" s="810"/>
      <c r="H49" s="810">
        <f>IF(OR($H$4=Bron!$B$8,$H$4=Bron!$B$9,$H$4=Bron!$B$15),'Bouwkost NB'!$K62,IF($H$4=Bron!$B$10,'Bouwkost UITB'!$K61,IF($H$4=Bron!$B$11,'Bouwkost VERB'!$K61,IF($H$4=Bron!$B$12,'Bouwkost IER'!$K60,IF(OR($H$4=Bron!$B$13,$H$4=Bron!$B$14),'Bouwkost VOLT'!$K61,IF($H$4=Bron!$C$16,'Bouwkost AK+VERB'!$K61,0))))))</f>
        <v>0</v>
      </c>
      <c r="I49" s="810"/>
      <c r="J49" s="810">
        <f>IF(OR($J$4=Bron!$B$8,$J$4=Bron!$B$9,$J$4=Bron!$B$15),'Bouwkost NB'!$V62,IF($J$4=Bron!$B$10,'Bouwkost UITB'!$V61,IF($J$4=Bron!$B$11,'Bouwkost VERB'!$V61,IF($J$4=Bron!$B$12,'Bouwkost IER'!$V60,IF(OR($J$4=Bron!$B$13,$J$4=Bron!$B$14),'Bouwkost VOLT'!$V61,IF($J$4=Bron!$C$16,'Bouwkost AK+VERB'!$V61,0))))))</f>
        <v>0</v>
      </c>
      <c r="K49" s="810"/>
      <c r="L49" s="810">
        <f>IF(OR($L$4=Bron!$B$8,$L$4=Bron!$B$9,$L$4=Bron!$B$15),'Bouwkost NB'!$V62,IF($L$4=Bron!$B$10,'Bouwkost UITB'!$V61,IF($L$4=Bron!$B$11,'Bouwkost VERB'!$V61,IF($L$4=Bron!$B$12,'Bouwkost IER'!$V60,IF(OR($L$4=Bron!$B$13,$L$4=Bron!$B$14),'Bouwkost VOLT'!$V61,IF($L$4=Bron!$C$16,'Bouwkost AK+VERB'!$V61,0))))))</f>
        <v>0</v>
      </c>
      <c r="M49" s="810"/>
      <c r="N49" s="810">
        <f>IF(OR($N$4=Bron!$B$8,$N$4=Bron!$B$9,,$N$4=Bron!$B$15),'Bouwkost NB'!$V62,IF($N$4=Bron!$B$10,'Bouwkost UITB'!$V61,IF($N$4=Bron!$B$11,'Bouwkost VERB'!$V61,IF($N$4=Bron!$B$12,'Bouwkost IER'!$V60,IF(OR($N$4=Bron!$B$13,$N$4=Bron!$B$14),'Bouwkost VOLT'!$V61,IF($N$4=Bron!$C$16,'Bouwkost AK+VERB'!$V61,0))))))</f>
        <v>0</v>
      </c>
      <c r="O49" s="810"/>
      <c r="P49" s="810">
        <f>IF(OR($P$4=Bron!$B$8,$P$4=Bron!$B$9,$P$4=Bron!$B$15),'Bouwkost NB'!$V62,IF($P$4=Bron!$B$10,'Bouwkost UITB'!$V61,IF($P$4=Bron!$B$11,'Bouwkost VERB'!$V61,IF($P$4=Bron!$B$12,'Bouwkost IER'!$V60,IF(OR($P$4=Bron!$B$13,$P$4=Bron!$B$14),'Bouwkost VOLT'!$V61,IF($P$4=Bron!$C$16,'Bouwkost AK+VERB'!$V61,0))))))</f>
        <v>0</v>
      </c>
      <c r="Q49" s="810"/>
      <c r="R49" s="810">
        <f>IF(OR($R$4=Bron!$B$8,$R$4=Bron!$B$9,$R$4=Bron!$B$15),'Bouwkost NB'!$AG62,IF($R$4=Bron!$B$10,'Bouwkost UITB'!$AG61,IF($R$4=Bron!$B$11,'Bouwkost VERB'!$AG61,IF($R$4=Bron!$B$12,'Bouwkost IER'!$AG60,IF(OR($R$4=Bron!$B$13,$R$4=Bron!$B$14),'Bouwkost VOLT'!$AG61,IF($R$4=Bron!$C$16,'Bouwkost AK+VERB'!$AG61,0))))))</f>
        <v>0</v>
      </c>
      <c r="S49" s="810"/>
      <c r="T49" s="810">
        <f>IF(OR($T$4=Bron!$B$8,$T$4=Bron!$B$9,$T$4=Bron!$B$15),'Bouwkost NB'!$AG62,IF($T$4=Bron!$B$10,'Bouwkost UITB'!$AG61,IF($T$4=Bron!$B$11,'Bouwkost VERB'!$AG61,IF($T$4=Bron!$B$12,'Bouwkost IER'!$AG60,IF(OR($T$4=Bron!$B$13,$T$4=Bron!$B$14),'Bouwkost VOLT'!$AG61,IF($T$4=Bron!$C$16,'Bouwkost AK+VERB'!$AG61,0))))))</f>
        <v>0</v>
      </c>
      <c r="U49" s="810"/>
      <c r="V49" s="810">
        <f>IF(OR($V$4=Bron!$B$8,$V$4=Bron!$B$9,$V$4=Bron!$B$15),'Bouwkost NB'!$AG62,IF($V$4=Bron!$B$10,'Bouwkost UITB'!$AG61,IF($V$4=Bron!$B$11,'Bouwkost VERB'!$AG61,IF($V$4=Bron!$B$12,'Bouwkost IER'!$AG60,IF(OR($V$4=Bron!$B$13,$V$4=Bron!$B$14),'Bouwkost VOLT'!$AG61,IF($V$4=Bron!$C$16,'Bouwkost AK+VERB'!$AG61,0))))))</f>
        <v>0</v>
      </c>
      <c r="W49" s="810"/>
      <c r="X49" s="810">
        <f>IF(OR($X$4=Bron!$B$8,$X$4=Bron!$B$9,$X$4=Bron!$B$15),'Bouwkost NB'!$AG62,IF($X$4=Bron!$B$10,'Bouwkost UITB'!$AG61,IF($X$4=Bron!$B$11,'Bouwkost VERB'!$AG61,IF($X$4=Bron!$B$12,'Bouwkost IER'!$AG60,IF(OR($X$4=Bron!$B$13,$X$4=Bron!$B$14),'Bouwkost VOLT'!$AG61,IF($X$4=Bron!$C$16,'Bouwkost AK+VERB'!$AG61,0))))))</f>
        <v>0</v>
      </c>
    </row>
    <row r="50" spans="1:24" x14ac:dyDescent="0.3">
      <c r="A50" s="18"/>
      <c r="B50" s="89">
        <f>IF(OR($B$4=Bron!$B$8,$B$4=Bron!$B$9,$B$4=Bron!$B$15),'Bouwkost NB'!$K63,IF($B$4=Bron!$B$10,'Bouwkost UITB'!$K62,IF($B$4=Bron!$B$11,'Bouwkost VERB'!$K62,IF($B$4=Bron!$B$12,'Bouwkost IER'!$K61,IF(OR($B$4=Bron!$B$13,$B$4=Bron!$B$14),'Bouwkost VOLT'!$K62,IF($B$4=Bron!$C$16,'Bouwkost AK+VERB'!$K62,0))))))</f>
        <v>0</v>
      </c>
      <c r="D50" s="89">
        <f>IF(OR($D$4=Bron!$B$8,$D$4=Bron!$B$9,$D$4=Bron!$B$15),'Bouwkost NB'!$K63,IF($D$4=Bron!$B$10,'Bouwkost UITB'!$K62,IF($D$4=Bron!$B$11,'Bouwkost VERB'!$K62,IF($D$4=Bron!$B$12,'Bouwkost IER'!$K61,IF(OR($D$4=Bron!$B$13,$D$4=Bron!$B$14),'Bouwkost VOLT'!$K62,IF($D$4=Bron!$C$16,'Bouwkost AK+VERB'!$K62,0))))))</f>
        <v>0</v>
      </c>
      <c r="F50" s="89">
        <f>IF(OR($F$4=Bron!$B$8,$F$4=Bron!$B$9,$F$4=Bron!$B$15),'Bouwkost NB'!$K63,IF($F$4=Bron!$B$10,'Bouwkost UITB'!$K62,IF($F$4=Bron!$B$11,'Bouwkost VERB'!$K62,IF($F$4=Bron!$B$12,'Bouwkost IER'!$K61,IF(OR($F$4=Bron!$B$13,$F$4=Bron!$B$14),'Bouwkost VOLT'!$K62,IF($F$4=Bron!$C$16,'Bouwkost AK+VERB'!$K62,0))))))</f>
        <v>0</v>
      </c>
      <c r="H50" s="89">
        <f>IF(OR($H$4=Bron!$B$8,$H$4=Bron!$B$9,$H$4=Bron!$B$15),'Bouwkost NB'!$K63,IF($H$4=Bron!$B$10,'Bouwkost UITB'!$K62,IF($H$4=Bron!$B$11,'Bouwkost VERB'!$K62,IF($H$4=Bron!$B$12,'Bouwkost IER'!$K61,IF(OR($H$4=Bron!$B$13,$H$4=Bron!$B$14),'Bouwkost VOLT'!$K62,IF($H$4=Bron!$C$16,'Bouwkost AK+VERB'!$K62,0))))))</f>
        <v>0</v>
      </c>
      <c r="J50" s="89">
        <f>IF(OR($J$4=Bron!$B$8,$J$4=Bron!$B$9,$J$4=Bron!$B$15),'Bouwkost NB'!$V63,IF($J$4=Bron!$B$10,'Bouwkost UITB'!$V62,IF($J$4=Bron!$B$11,'Bouwkost VERB'!$V62,IF($J$4=Bron!$B$12,'Bouwkost IER'!$V61,IF(OR($J$4=Bron!$B$13,$J$4=Bron!$B$14),'Bouwkost VOLT'!$V62,IF($J$4=Bron!$C$16,'Bouwkost AK+VERB'!$V62,0))))))</f>
        <v>0</v>
      </c>
      <c r="L50" s="89">
        <f>IF(OR($L$4=Bron!$B$8,$L$4=Bron!$B$9,$L$4=Bron!$B$15),'Bouwkost NB'!$V63,IF($L$4=Bron!$B$10,'Bouwkost UITB'!$V62,IF($L$4=Bron!$B$11,'Bouwkost VERB'!$V62,IF($L$4=Bron!$B$12,'Bouwkost IER'!$V61,IF(OR($L$4=Bron!$B$13,$L$4=Bron!$B$14),'Bouwkost VOLT'!$V62,IF($L$4=Bron!$C$16,'Bouwkost AK+VERB'!$V62,0))))))</f>
        <v>0</v>
      </c>
      <c r="N50" s="89">
        <f>IF(OR($N$4=Bron!$B$8,$N$4=Bron!$B$9,,$N$4=Bron!$B$15),'Bouwkost NB'!$V63,IF($N$4=Bron!$B$10,'Bouwkost UITB'!$V62,IF($N$4=Bron!$B$11,'Bouwkost VERB'!$V62,IF($N$4=Bron!$B$12,'Bouwkost IER'!$V61,IF(OR($N$4=Bron!$B$13,$N$4=Bron!$B$14),'Bouwkost VOLT'!$V62,IF($N$4=Bron!$C$16,'Bouwkost AK+VERB'!$V62,0))))))</f>
        <v>0</v>
      </c>
      <c r="P50" s="89">
        <f>IF(OR($P$4=Bron!$B$8,$P$4=Bron!$B$9,$P$4=Bron!$B$15),'Bouwkost NB'!$V63,IF($P$4=Bron!$B$10,'Bouwkost UITB'!$V62,IF($P$4=Bron!$B$11,'Bouwkost VERB'!$V62,IF($P$4=Bron!$B$12,'Bouwkost IER'!$V61,IF(OR($P$4=Bron!$B$13,$P$4=Bron!$B$14),'Bouwkost VOLT'!$V62,IF($P$4=Bron!$C$16,'Bouwkost AK+VERB'!$V62,0))))))</f>
        <v>0</v>
      </c>
      <c r="R50" s="89">
        <f>IF(OR($R$4=Bron!$B$8,$R$4=Bron!$B$9,$R$4=Bron!$B$15),'Bouwkost NB'!$AG63,IF($R$4=Bron!$B$10,'Bouwkost UITB'!$AG62,IF($R$4=Bron!$B$11,'Bouwkost VERB'!$AG62,IF($R$4=Bron!$B$12,'Bouwkost IER'!$AG61,IF(OR($R$4=Bron!$B$13,$R$4=Bron!$B$14),'Bouwkost VOLT'!$AG62,IF($R$4=Bron!$C$16,'Bouwkost AK+VERB'!$AG62,0))))))</f>
        <v>0</v>
      </c>
      <c r="T50" s="89">
        <f>IF(OR($T$4=Bron!$B$8,$T$4=Bron!$B$9,$T$4=Bron!$B$15),'Bouwkost NB'!$AG63,IF($T$4=Bron!$B$10,'Bouwkost UITB'!$AG62,IF($T$4=Bron!$B$11,'Bouwkost VERB'!$AG62,IF($T$4=Bron!$B$12,'Bouwkost IER'!$AG61,IF(OR($T$4=Bron!$B$13,$T$4=Bron!$B$14),'Bouwkost VOLT'!$AG62,IF($T$4=Bron!$C$16,'Bouwkost AK+VERB'!$AG62,0))))))</f>
        <v>0</v>
      </c>
      <c r="V50" s="89">
        <f>IF(OR($V$4=Bron!$B$8,$V$4=Bron!$B$9,$V$4=Bron!$B$15),'Bouwkost NB'!$AG63,IF($V$4=Bron!$B$10,'Bouwkost UITB'!$AG62,IF($V$4=Bron!$B$11,'Bouwkost VERB'!$AG62,IF($V$4=Bron!$B$12,'Bouwkost IER'!$AG61,IF(OR($V$4=Bron!$B$13,$V$4=Bron!$B$14),'Bouwkost VOLT'!$AG62,IF($V$4=Bron!$C$16,'Bouwkost AK+VERB'!$AG62,0))))))</f>
        <v>0</v>
      </c>
      <c r="X50" s="89">
        <f>IF(OR($X$4=Bron!$B$8,$X$4=Bron!$B$9,$X$4=Bron!$B$15),'Bouwkost NB'!$AG63,IF($X$4=Bron!$B$10,'Bouwkost UITB'!$AG62,IF($X$4=Bron!$B$11,'Bouwkost VERB'!$AG62,IF($X$4=Bron!$B$12,'Bouwkost IER'!$AG61,IF(OR($X$4=Bron!$B$13,$X$4=Bron!$B$14),'Bouwkost VOLT'!$AG62,IF($X$4=Bron!$C$16,'Bouwkost AK+VERB'!$AG62,0))))))</f>
        <v>0</v>
      </c>
    </row>
    <row r="51" spans="1:24" x14ac:dyDescent="0.3">
      <c r="A51" s="328" t="s">
        <v>453</v>
      </c>
      <c r="B51" s="89">
        <f>IF(OR($B$4=Bron!$B$8,$B$4=Bron!$B$9,$B$4=Bron!$B$15),'Bouwkost NB'!$K64,IF($B$4=Bron!$B$10,'Bouwkost UITB'!$K63,IF($B$4=Bron!$B$11,'Bouwkost VERB'!$K63,IF($B$4=Bron!$B$12,'Bouwkost IER'!$K62,IF(OR($B$4=Bron!$B$13,$B$4=Bron!$B$14),'Bouwkost VOLT'!$K63,IF($B$4=Bron!$C$16,'Bouwkost AK+VERB'!$K63,0))))))</f>
        <v>0</v>
      </c>
      <c r="D51" s="89">
        <f>IF(OR($D$4=Bron!$B$8,$D$4=Bron!$B$9,$D$4=Bron!$B$15),'Bouwkost NB'!$K64,IF($D$4=Bron!$B$10,'Bouwkost UITB'!$K63,IF($D$4=Bron!$B$11,'Bouwkost VERB'!$K63,IF($D$4=Bron!$B$12,'Bouwkost IER'!$K62,IF(OR($D$4=Bron!$B$13,$D$4=Bron!$B$14),'Bouwkost VOLT'!$K63,IF($D$4=Bron!$C$16,'Bouwkost AK+VERB'!$K63,0))))))</f>
        <v>0</v>
      </c>
      <c r="F51" s="89">
        <f>IF(OR($F$4=Bron!$B$8,$F$4=Bron!$B$9,$F$4=Bron!$B$15),'Bouwkost NB'!$K64,IF($F$4=Bron!$B$10,'Bouwkost UITB'!$K63,IF($F$4=Bron!$B$11,'Bouwkost VERB'!$K63,IF($F$4=Bron!$B$12,'Bouwkost IER'!$K62,IF(OR($F$4=Bron!$B$13,$F$4=Bron!$B$14),'Bouwkost VOLT'!$K63,IF($F$4=Bron!$C$16,'Bouwkost AK+VERB'!$K63,0))))))</f>
        <v>0</v>
      </c>
      <c r="H51" s="89">
        <f>IF(OR($H$4=Bron!$B$8,$H$4=Bron!$B$9,$H$4=Bron!$B$15),'Bouwkost NB'!$K64,IF($H$4=Bron!$B$10,'Bouwkost UITB'!$K63,IF($H$4=Bron!$B$11,'Bouwkost VERB'!$K63,IF($H$4=Bron!$B$12,'Bouwkost IER'!$K62,IF(OR($H$4=Bron!$B$13,$H$4=Bron!$B$14),'Bouwkost VOLT'!$K63,IF($H$4=Bron!$C$16,'Bouwkost AK+VERB'!$K63,0))))))</f>
        <v>0</v>
      </c>
      <c r="J51" s="89">
        <f>IF(OR($J$4=Bron!$B$8,$J$4=Bron!$B$9,$J$4=Bron!$B$15),'Bouwkost NB'!$V64,IF($J$4=Bron!$B$10,'Bouwkost UITB'!$V63,IF($J$4=Bron!$B$11,'Bouwkost VERB'!$V63,IF($J$4=Bron!$B$12,'Bouwkost IER'!$V62,IF(OR($J$4=Bron!$B$13,$J$4=Bron!$B$14),'Bouwkost VOLT'!$V63,IF($J$4=Bron!$C$16,'Bouwkost AK+VERB'!$V63,0))))))</f>
        <v>0</v>
      </c>
      <c r="L51" s="89">
        <f>IF(OR($L$4=Bron!$B$8,$L$4=Bron!$B$9,$L$4=Bron!$B$15),'Bouwkost NB'!$V64,IF($L$4=Bron!$B$10,'Bouwkost UITB'!$V63,IF($L$4=Bron!$B$11,'Bouwkost VERB'!$V63,IF($L$4=Bron!$B$12,'Bouwkost IER'!$V62,IF(OR($L$4=Bron!$B$13,$L$4=Bron!$B$14),'Bouwkost VOLT'!$V63,IF($L$4=Bron!$C$16,'Bouwkost AK+VERB'!$V63,0))))))</f>
        <v>0</v>
      </c>
      <c r="N51" s="89">
        <f>IF(OR($N$4=Bron!$B$8,$N$4=Bron!$B$9,,$N$4=Bron!$B$15),'Bouwkost NB'!$V64,IF($N$4=Bron!$B$10,'Bouwkost UITB'!$V63,IF($N$4=Bron!$B$11,'Bouwkost VERB'!$V63,IF($N$4=Bron!$B$12,'Bouwkost IER'!$V62,IF(OR($N$4=Bron!$B$13,$N$4=Bron!$B$14),'Bouwkost VOLT'!$V63,IF($N$4=Bron!$C$16,'Bouwkost AK+VERB'!$V63,0))))))</f>
        <v>0</v>
      </c>
      <c r="P51" s="89">
        <f>IF(OR($P$4=Bron!$B$8,$P$4=Bron!$B$9,$P$4=Bron!$B$15),'Bouwkost NB'!$V64,IF($P$4=Bron!$B$10,'Bouwkost UITB'!$V63,IF($P$4=Bron!$B$11,'Bouwkost VERB'!$V63,IF($P$4=Bron!$B$12,'Bouwkost IER'!$V62,IF(OR($P$4=Bron!$B$13,$P$4=Bron!$B$14),'Bouwkost VOLT'!$V63,IF($P$4=Bron!$C$16,'Bouwkost AK+VERB'!$V63,0))))))</f>
        <v>0</v>
      </c>
      <c r="R51" s="89">
        <f>IF(OR($R$4=Bron!$B$8,$R$4=Bron!$B$9,$R$4=Bron!$B$15),'Bouwkost NB'!$AG64,IF($R$4=Bron!$B$10,'Bouwkost UITB'!$AG63,IF($R$4=Bron!$B$11,'Bouwkost VERB'!$AG63,IF($R$4=Bron!$B$12,'Bouwkost IER'!$AG62,IF(OR($R$4=Bron!$B$13,$R$4=Bron!$B$14),'Bouwkost VOLT'!$AG63,IF($R$4=Bron!$C$16,'Bouwkost AK+VERB'!$AG63,0))))))</f>
        <v>0</v>
      </c>
      <c r="T51" s="89">
        <f>IF(OR($T$4=Bron!$B$8,$T$4=Bron!$B$9,$T$4=Bron!$B$15),'Bouwkost NB'!$AG64,IF($T$4=Bron!$B$10,'Bouwkost UITB'!$AG63,IF($T$4=Bron!$B$11,'Bouwkost VERB'!$AG63,IF($T$4=Bron!$B$12,'Bouwkost IER'!$AG62,IF(OR($T$4=Bron!$B$13,$T$4=Bron!$B$14),'Bouwkost VOLT'!$AG63,IF($T$4=Bron!$C$16,'Bouwkost AK+VERB'!$AG63,0))))))</f>
        <v>0</v>
      </c>
      <c r="V51" s="89">
        <f>IF(OR($V$4=Bron!$B$8,$V$4=Bron!$B$9,$V$4=Bron!$B$15),'Bouwkost NB'!$AG64,IF($V$4=Bron!$B$10,'Bouwkost UITB'!$AG63,IF($V$4=Bron!$B$11,'Bouwkost VERB'!$AG63,IF($V$4=Bron!$B$12,'Bouwkost IER'!$AG62,IF(OR($V$4=Bron!$B$13,$V$4=Bron!$B$14),'Bouwkost VOLT'!$AG63,IF($V$4=Bron!$C$16,'Bouwkost AK+VERB'!$AG63,0))))))</f>
        <v>0</v>
      </c>
      <c r="X51" s="89">
        <f>IF(OR($X$4=Bron!$B$8,$X$4=Bron!$B$9,$X$4=Bron!$B$15),'Bouwkost NB'!$AG64,IF($X$4=Bron!$B$10,'Bouwkost UITB'!$AG63,IF($X$4=Bron!$B$11,'Bouwkost VERB'!$AG63,IF($X$4=Bron!$B$12,'Bouwkost IER'!$AG62,IF(OR($X$4=Bron!$B$13,$X$4=Bron!$B$14),'Bouwkost VOLT'!$AG63,IF($X$4=Bron!$C$16,'Bouwkost AK+VERB'!$AG63,0))))))</f>
        <v>0</v>
      </c>
    </row>
    <row r="52" spans="1:24" x14ac:dyDescent="0.3">
      <c r="A52" s="636" t="s">
        <v>455</v>
      </c>
      <c r="B52" s="89">
        <f>IF(OR($B$4=Bron!$B$8,$B$4=Bron!$B$9,$B$4=Bron!$B$15),'Bouwkost NB'!$K65,IF($B$4=Bron!$B$10,'Bouwkost UITB'!$K64,IF($B$4=Bron!$B$11,'Bouwkost VERB'!$K64,IF($B$4=Bron!$B$12,'Bouwkost IER'!$K63,IF(OR($B$4=Bron!$B$13,$B$4=Bron!$B$14),'Bouwkost VOLT'!$K64,IF($B$4=Bron!$C$16,'Bouwkost AK+VERB'!$K64,0))))))</f>
        <v>0</v>
      </c>
      <c r="D52" s="89">
        <f>IF(OR($D$4=Bron!$B$8,$D$4=Bron!$B$9,$D$4=Bron!$B$15),'Bouwkost NB'!$K65,IF($D$4=Bron!$B$10,'Bouwkost UITB'!$K64,IF($D$4=Bron!$B$11,'Bouwkost VERB'!$K64,IF($D$4=Bron!$B$12,'Bouwkost IER'!$K63,IF(OR($D$4=Bron!$B$13,$D$4=Bron!$B$14),'Bouwkost VOLT'!$K64,IF($D$4=Bron!$C$16,'Bouwkost AK+VERB'!$K64,0))))))</f>
        <v>0</v>
      </c>
      <c r="F52" s="89">
        <f>IF(OR($F$4=Bron!$B$8,$F$4=Bron!$B$9,$F$4=Bron!$B$15),'Bouwkost NB'!$K65,IF($F$4=Bron!$B$10,'Bouwkost UITB'!$K64,IF($F$4=Bron!$B$11,'Bouwkost VERB'!$K64,IF($F$4=Bron!$B$12,'Bouwkost IER'!$K63,IF(OR($F$4=Bron!$B$13,$F$4=Bron!$B$14),'Bouwkost VOLT'!$K64,IF($F$4=Bron!$C$16,'Bouwkost AK+VERB'!$K64,0))))))</f>
        <v>0</v>
      </c>
      <c r="H52" s="89">
        <f>IF(OR($H$4=Bron!$B$8,$H$4=Bron!$B$9,$H$4=Bron!$B$15),'Bouwkost NB'!$K65,IF($H$4=Bron!$B$10,'Bouwkost UITB'!$K64,IF($H$4=Bron!$B$11,'Bouwkost VERB'!$K64,IF($H$4=Bron!$B$12,'Bouwkost IER'!$K63,IF(OR($H$4=Bron!$B$13,$H$4=Bron!$B$14),'Bouwkost VOLT'!$K64,IF($H$4=Bron!$C$16,'Bouwkost AK+VERB'!$K64,0))))))</f>
        <v>0</v>
      </c>
      <c r="J52" s="89">
        <f>IF(OR($J$4=Bron!$B$8,$J$4=Bron!$B$9,$J$4=Bron!$B$15),'Bouwkost NB'!$V65,IF($J$4=Bron!$B$10,'Bouwkost UITB'!$V64,IF($J$4=Bron!$B$11,'Bouwkost VERB'!$V64,IF($J$4=Bron!$B$12,'Bouwkost IER'!$V63,IF(OR($J$4=Bron!$B$13,$J$4=Bron!$B$14),'Bouwkost VOLT'!$V64,IF($J$4=Bron!$C$16,'Bouwkost AK+VERB'!$V64,0))))))</f>
        <v>0</v>
      </c>
      <c r="L52" s="89">
        <f>IF(OR($L$4=Bron!$B$8,$L$4=Bron!$B$9,$L$4=Bron!$B$15),'Bouwkost NB'!$V65,IF($L$4=Bron!$B$10,'Bouwkost UITB'!$V64,IF($L$4=Bron!$B$11,'Bouwkost VERB'!$V64,IF($L$4=Bron!$B$12,'Bouwkost IER'!$V63,IF(OR($L$4=Bron!$B$13,$L$4=Bron!$B$14),'Bouwkost VOLT'!$V64,IF($L$4=Bron!$C$16,'Bouwkost AK+VERB'!$V64,0))))))</f>
        <v>0</v>
      </c>
      <c r="N52" s="89">
        <f>IF(OR($N$4=Bron!$B$8,$N$4=Bron!$B$9,,$N$4=Bron!$B$15),'Bouwkost NB'!$V65,IF($N$4=Bron!$B$10,'Bouwkost UITB'!$V64,IF($N$4=Bron!$B$11,'Bouwkost VERB'!$V64,IF($N$4=Bron!$B$12,'Bouwkost IER'!$V63,IF(OR($N$4=Bron!$B$13,$N$4=Bron!$B$14),'Bouwkost VOLT'!$V64,IF($N$4=Bron!$C$16,'Bouwkost AK+VERB'!$V64,0))))))</f>
        <v>0</v>
      </c>
      <c r="P52" s="89">
        <f>IF(OR($P$4=Bron!$B$8,$P$4=Bron!$B$9,$P$4=Bron!$B$15),'Bouwkost NB'!$V65,IF($P$4=Bron!$B$10,'Bouwkost UITB'!$V64,IF($P$4=Bron!$B$11,'Bouwkost VERB'!$V64,IF($P$4=Bron!$B$12,'Bouwkost IER'!$V63,IF(OR($P$4=Bron!$B$13,$P$4=Bron!$B$14),'Bouwkost VOLT'!$V64,IF($P$4=Bron!$C$16,'Bouwkost AK+VERB'!$V64,0))))))</f>
        <v>0</v>
      </c>
      <c r="R52" s="89">
        <f>IF(OR($R$4=Bron!$B$8,$R$4=Bron!$B$9,$R$4=Bron!$B$15),'Bouwkost NB'!$AG65,IF($R$4=Bron!$B$10,'Bouwkost UITB'!$AG64,IF($R$4=Bron!$B$11,'Bouwkost VERB'!$AG64,IF($R$4=Bron!$B$12,'Bouwkost IER'!$AG63,IF(OR($R$4=Bron!$B$13,$R$4=Bron!$B$14),'Bouwkost VOLT'!$AG64,IF($R$4=Bron!$C$16,'Bouwkost AK+VERB'!$AG64,0))))))</f>
        <v>0</v>
      </c>
      <c r="T52" s="89">
        <f>IF(OR($T$4=Bron!$B$8,$T$4=Bron!$B$9,$T$4=Bron!$B$15),'Bouwkost NB'!$AG65,IF($T$4=Bron!$B$10,'Bouwkost UITB'!$AG64,IF($T$4=Bron!$B$11,'Bouwkost VERB'!$AG64,IF($T$4=Bron!$B$12,'Bouwkost IER'!$AG63,IF(OR($T$4=Bron!$B$13,$T$4=Bron!$B$14),'Bouwkost VOLT'!$AG64,IF($T$4=Bron!$C$16,'Bouwkost AK+VERB'!$AG64,0))))))</f>
        <v>0</v>
      </c>
      <c r="V52" s="89">
        <f>IF(OR($V$4=Bron!$B$8,$V$4=Bron!$B$9,$V$4=Bron!$B$15),'Bouwkost NB'!$AG65,IF($V$4=Bron!$B$10,'Bouwkost UITB'!$AG64,IF($V$4=Bron!$B$11,'Bouwkost VERB'!$AG64,IF($V$4=Bron!$B$12,'Bouwkost IER'!$AG63,IF(OR($V$4=Bron!$B$13,$V$4=Bron!$B$14),'Bouwkost VOLT'!$AG64,IF($V$4=Bron!$C$16,'Bouwkost AK+VERB'!$AG64,0))))))</f>
        <v>0</v>
      </c>
      <c r="X52" s="89">
        <f>IF(OR($X$4=Bron!$B$8,$X$4=Bron!$B$9,$X$4=Bron!$B$15),'Bouwkost NB'!$AG65,IF($X$4=Bron!$B$10,'Bouwkost UITB'!$AG64,IF($X$4=Bron!$B$11,'Bouwkost VERB'!$AG64,IF($X$4=Bron!$B$12,'Bouwkost IER'!$AG63,IF(OR($X$4=Bron!$B$13,$X$4=Bron!$B$14),'Bouwkost VOLT'!$AG64,IF($X$4=Bron!$C$16,'Bouwkost AK+VERB'!$AG64,0))))))</f>
        <v>0</v>
      </c>
    </row>
    <row r="53" spans="1:24" x14ac:dyDescent="0.3">
      <c r="A53" s="657" t="s">
        <v>456</v>
      </c>
      <c r="B53" s="89">
        <f>IF(OR($B$4=Bron!$B$8,$B$4=Bron!$B$9,$B$4=Bron!$B$15),'Bouwkost NB'!$K66,IF($B$4=Bron!$B$10,'Bouwkost UITB'!$K65,IF($B$4=Bron!$B$11,'Bouwkost VERB'!$K65,IF($B$4=Bron!$B$12,'Bouwkost IER'!$K64,IF(OR($B$4=Bron!$B$13,$B$4=Bron!$B$14),'Bouwkost VOLT'!$K65,IF($B$4=Bron!$C$16,'Bouwkost AK+VERB'!$K65,0))))))</f>
        <v>0</v>
      </c>
      <c r="D53" s="89">
        <f>IF(OR($D$4=Bron!$B$8,$D$4=Bron!$B$9,$D$4=Bron!$B$15),'Bouwkost NB'!$K66,IF($D$4=Bron!$B$10,'Bouwkost UITB'!$K65,IF($D$4=Bron!$B$11,'Bouwkost VERB'!$K65,IF($D$4=Bron!$B$12,'Bouwkost IER'!$K64,IF(OR($D$4=Bron!$B$13,$D$4=Bron!$B$14),'Bouwkost VOLT'!$K65,IF($D$4=Bron!$C$16,'Bouwkost AK+VERB'!$K65,0))))))</f>
        <v>0</v>
      </c>
      <c r="F53" s="89">
        <f>IF(OR($F$4=Bron!$B$8,$F$4=Bron!$B$9,$F$4=Bron!$B$15),'Bouwkost NB'!$K66,IF($F$4=Bron!$B$10,'Bouwkost UITB'!$K65,IF($F$4=Bron!$B$11,'Bouwkost VERB'!$K65,IF($F$4=Bron!$B$12,'Bouwkost IER'!$K64,IF(OR($F$4=Bron!$B$13,$F$4=Bron!$B$14),'Bouwkost VOLT'!$K65,IF($F$4=Bron!$C$16,'Bouwkost AK+VERB'!$K65,0))))))</f>
        <v>0</v>
      </c>
      <c r="H53" s="89">
        <f>IF(OR($H$4=Bron!$B$8,$H$4=Bron!$B$9,$H$4=Bron!$B$15),'Bouwkost NB'!$K66,IF($H$4=Bron!$B$10,'Bouwkost UITB'!$K65,IF($H$4=Bron!$B$11,'Bouwkost VERB'!$K65,IF($H$4=Bron!$B$12,'Bouwkost IER'!$K64,IF(OR($H$4=Bron!$B$13,$H$4=Bron!$B$14),'Bouwkost VOLT'!$K65,IF($H$4=Bron!$C$16,'Bouwkost AK+VERB'!$K65,0))))))</f>
        <v>0</v>
      </c>
      <c r="J53" s="89">
        <f>IF(OR($J$4=Bron!$B$8,$J$4=Bron!$B$9,$J$4=Bron!$B$15),'Bouwkost NB'!$V66,IF($J$4=Bron!$B$10,'Bouwkost UITB'!$V65,IF($J$4=Bron!$B$11,'Bouwkost VERB'!$V65,IF($J$4=Bron!$B$12,'Bouwkost IER'!$V64,IF(OR($J$4=Bron!$B$13,$J$4=Bron!$B$14),'Bouwkost VOLT'!$V65,IF($J$4=Bron!$C$16,'Bouwkost AK+VERB'!$V65,0))))))</f>
        <v>0</v>
      </c>
      <c r="L53" s="89">
        <f>IF(OR($L$4=Bron!$B$8,$L$4=Bron!$B$9,$L$4=Bron!$B$15),'Bouwkost NB'!$V66,IF($L$4=Bron!$B$10,'Bouwkost UITB'!$V65,IF($L$4=Bron!$B$11,'Bouwkost VERB'!$V65,IF($L$4=Bron!$B$12,'Bouwkost IER'!$V64,IF(OR($L$4=Bron!$B$13,$L$4=Bron!$B$14),'Bouwkost VOLT'!$V65,IF($L$4=Bron!$C$16,'Bouwkost AK+VERB'!$V65,0))))))</f>
        <v>0</v>
      </c>
      <c r="N53" s="89">
        <f>IF(OR($N$4=Bron!$B$8,$N$4=Bron!$B$9,,$N$4=Bron!$B$15),'Bouwkost NB'!$V66,IF($N$4=Bron!$B$10,'Bouwkost UITB'!$V65,IF($N$4=Bron!$B$11,'Bouwkost VERB'!$V65,IF($N$4=Bron!$B$12,'Bouwkost IER'!$V64,IF(OR($N$4=Bron!$B$13,$N$4=Bron!$B$14),'Bouwkost VOLT'!$V65,IF($N$4=Bron!$C$16,'Bouwkost AK+VERB'!$V65,0))))))</f>
        <v>0</v>
      </c>
      <c r="P53" s="89">
        <f>IF(OR($P$4=Bron!$B$8,$P$4=Bron!$B$9,$P$4=Bron!$B$15),'Bouwkost NB'!$V66,IF($P$4=Bron!$B$10,'Bouwkost UITB'!$V65,IF($P$4=Bron!$B$11,'Bouwkost VERB'!$V65,IF($P$4=Bron!$B$12,'Bouwkost IER'!$V64,IF(OR($P$4=Bron!$B$13,$P$4=Bron!$B$14),'Bouwkost VOLT'!$V65,IF($P$4=Bron!$C$16,'Bouwkost AK+VERB'!$V65,0))))))</f>
        <v>0</v>
      </c>
      <c r="R53" s="89">
        <f>IF(OR($R$4=Bron!$B$8,$R$4=Bron!$B$9,$R$4=Bron!$B$15),'Bouwkost NB'!$AG66,IF($R$4=Bron!$B$10,'Bouwkost UITB'!$AG65,IF($R$4=Bron!$B$11,'Bouwkost VERB'!$AG65,IF($R$4=Bron!$B$12,'Bouwkost IER'!$AG64,IF(OR($R$4=Bron!$B$13,$R$4=Bron!$B$14),'Bouwkost VOLT'!$AG65,IF($R$4=Bron!$C$16,'Bouwkost AK+VERB'!$AG65,0))))))</f>
        <v>0</v>
      </c>
      <c r="T53" s="89">
        <f>IF(OR($T$4=Bron!$B$8,$T$4=Bron!$B$9,$T$4=Bron!$B$15),'Bouwkost NB'!$AG66,IF($T$4=Bron!$B$10,'Bouwkost UITB'!$AG65,IF($T$4=Bron!$B$11,'Bouwkost VERB'!$AG65,IF($T$4=Bron!$B$12,'Bouwkost IER'!$AG64,IF(OR($T$4=Bron!$B$13,$T$4=Bron!$B$14),'Bouwkost VOLT'!$AG65,IF($T$4=Bron!$C$16,'Bouwkost AK+VERB'!$AG65,0))))))</f>
        <v>0</v>
      </c>
      <c r="V53" s="89">
        <f>IF(OR($V$4=Bron!$B$8,$V$4=Bron!$B$9,$V$4=Bron!$B$15),'Bouwkost NB'!$AG66,IF($V$4=Bron!$B$10,'Bouwkost UITB'!$AG65,IF($V$4=Bron!$B$11,'Bouwkost VERB'!$AG65,IF($V$4=Bron!$B$12,'Bouwkost IER'!$AG64,IF(OR($V$4=Bron!$B$13,$V$4=Bron!$B$14),'Bouwkost VOLT'!$AG65,IF($V$4=Bron!$C$16,'Bouwkost AK+VERB'!$AG65,0))))))</f>
        <v>0</v>
      </c>
      <c r="X53" s="89">
        <f>IF(OR($X$4=Bron!$B$8,$X$4=Bron!$B$9,$X$4=Bron!$B$15),'Bouwkost NB'!$AG66,IF($X$4=Bron!$B$10,'Bouwkost UITB'!$AG65,IF($X$4=Bron!$B$11,'Bouwkost VERB'!$AG65,IF($X$4=Bron!$B$12,'Bouwkost IER'!$AG64,IF(OR($X$4=Bron!$B$13,$X$4=Bron!$B$14),'Bouwkost VOLT'!$AG65,IF($X$4=Bron!$C$16,'Bouwkost AK+VERB'!$AG65,0))))))</f>
        <v>0</v>
      </c>
    </row>
    <row r="54" spans="1:24" x14ac:dyDescent="0.3">
      <c r="A54" s="657" t="s">
        <v>457</v>
      </c>
      <c r="B54" s="89">
        <f>IF(OR($B$4=Bron!$B$8,$B$4=Bron!$B$9,$B$4=Bron!$B$15),'Bouwkost NB'!$K67,IF($B$4=Bron!$B$10,'Bouwkost UITB'!$K66,IF($B$4=Bron!$B$11,'Bouwkost VERB'!$K66,IF($B$4=Bron!$B$12,'Bouwkost IER'!$K65,IF(OR($B$4=Bron!$B$13,$B$4=Bron!$B$14),'Bouwkost VOLT'!$K66,IF($B$4=Bron!$C$16,'Bouwkost AK+VERB'!$K66,0))))))</f>
        <v>0</v>
      </c>
      <c r="D54" s="89">
        <f>IF(OR($D$4=Bron!$B$8,$D$4=Bron!$B$9,$D$4=Bron!$B$15),'Bouwkost NB'!$K67,IF($D$4=Bron!$B$10,'Bouwkost UITB'!$K66,IF($D$4=Bron!$B$11,'Bouwkost VERB'!$K66,IF($D$4=Bron!$B$12,'Bouwkost IER'!$K65,IF(OR($D$4=Bron!$B$13,$D$4=Bron!$B$14),'Bouwkost VOLT'!$K66,IF($D$4=Bron!$C$16,'Bouwkost AK+VERB'!$K66,0))))))</f>
        <v>0</v>
      </c>
      <c r="F54" s="89">
        <f>IF(OR($F$4=Bron!$B$8,$F$4=Bron!$B$9,$F$4=Bron!$B$15),'Bouwkost NB'!$K67,IF($F$4=Bron!$B$10,'Bouwkost UITB'!$K66,IF($F$4=Bron!$B$11,'Bouwkost VERB'!$K66,IF($F$4=Bron!$B$12,'Bouwkost IER'!$K65,IF(OR($F$4=Bron!$B$13,$F$4=Bron!$B$14),'Bouwkost VOLT'!$K66,IF($F$4=Bron!$C$16,'Bouwkost AK+VERB'!$K66,0))))))</f>
        <v>0</v>
      </c>
      <c r="H54" s="89">
        <f>IF(OR($H$4=Bron!$B$8,$H$4=Bron!$B$9,$H$4=Bron!$B$15),'Bouwkost NB'!$K67,IF($H$4=Bron!$B$10,'Bouwkost UITB'!$K66,IF($H$4=Bron!$B$11,'Bouwkost VERB'!$K66,IF($H$4=Bron!$B$12,'Bouwkost IER'!$K65,IF(OR($H$4=Bron!$B$13,$H$4=Bron!$B$14),'Bouwkost VOLT'!$K66,IF($H$4=Bron!$C$16,'Bouwkost AK+VERB'!$K66,0))))))</f>
        <v>0</v>
      </c>
      <c r="J54" s="89">
        <f>IF(OR($J$4=Bron!$B$8,$J$4=Bron!$B$9,$J$4=Bron!$B$15),'Bouwkost NB'!$V67,IF($J$4=Bron!$B$10,'Bouwkost UITB'!$V66,IF($J$4=Bron!$B$11,'Bouwkost VERB'!$V66,IF($J$4=Bron!$B$12,'Bouwkost IER'!$V65,IF(OR($J$4=Bron!$B$13,$J$4=Bron!$B$14),'Bouwkost VOLT'!$V66,IF($J$4=Bron!$C$16,'Bouwkost AK+VERB'!$V66,0))))))</f>
        <v>0</v>
      </c>
      <c r="L54" s="89">
        <f>IF(OR($L$4=Bron!$B$8,$L$4=Bron!$B$9,$L$4=Bron!$B$15),'Bouwkost NB'!$V67,IF($L$4=Bron!$B$10,'Bouwkost UITB'!$V66,IF($L$4=Bron!$B$11,'Bouwkost VERB'!$V66,IF($L$4=Bron!$B$12,'Bouwkost IER'!$V65,IF(OR($L$4=Bron!$B$13,$L$4=Bron!$B$14),'Bouwkost VOLT'!$V66,IF($L$4=Bron!$C$16,'Bouwkost AK+VERB'!$V66,0))))))</f>
        <v>0</v>
      </c>
      <c r="N54" s="89">
        <f>IF(OR($N$4=Bron!$B$8,$N$4=Bron!$B$9,,$N$4=Bron!$B$15),'Bouwkost NB'!$V67,IF($N$4=Bron!$B$10,'Bouwkost UITB'!$V66,IF($N$4=Bron!$B$11,'Bouwkost VERB'!$V66,IF($N$4=Bron!$B$12,'Bouwkost IER'!$V65,IF(OR($N$4=Bron!$B$13,$N$4=Bron!$B$14),'Bouwkost VOLT'!$V66,IF($N$4=Bron!$C$16,'Bouwkost AK+VERB'!$V66,0))))))</f>
        <v>0</v>
      </c>
      <c r="P54" s="89">
        <f>IF(OR($P$4=Bron!$B$8,$P$4=Bron!$B$9,$P$4=Bron!$B$15),'Bouwkost NB'!$V67,IF($P$4=Bron!$B$10,'Bouwkost UITB'!$V66,IF($P$4=Bron!$B$11,'Bouwkost VERB'!$V66,IF($P$4=Bron!$B$12,'Bouwkost IER'!$V65,IF(OR($P$4=Bron!$B$13,$P$4=Bron!$B$14),'Bouwkost VOLT'!$V66,IF($P$4=Bron!$C$16,'Bouwkost AK+VERB'!$V66,0))))))</f>
        <v>0</v>
      </c>
      <c r="R54" s="89">
        <f>IF(OR($R$4=Bron!$B$8,$R$4=Bron!$B$9,$R$4=Bron!$B$15),'Bouwkost NB'!$AG67,IF($R$4=Bron!$B$10,'Bouwkost UITB'!$AG66,IF($R$4=Bron!$B$11,'Bouwkost VERB'!$AG66,IF($R$4=Bron!$B$12,'Bouwkost IER'!$AG65,IF(OR($R$4=Bron!$B$13,$R$4=Bron!$B$14),'Bouwkost VOLT'!$AG66,IF($R$4=Bron!$C$16,'Bouwkost AK+VERB'!$AG66,0))))))</f>
        <v>0</v>
      </c>
      <c r="T54" s="89">
        <f>IF(OR($T$4=Bron!$B$8,$T$4=Bron!$B$9,$T$4=Bron!$B$15),'Bouwkost NB'!$AG67,IF($T$4=Bron!$B$10,'Bouwkost UITB'!$AG66,IF($T$4=Bron!$B$11,'Bouwkost VERB'!$AG66,IF($T$4=Bron!$B$12,'Bouwkost IER'!$AG65,IF(OR($T$4=Bron!$B$13,$T$4=Bron!$B$14),'Bouwkost VOLT'!$AG66,IF($T$4=Bron!$C$16,'Bouwkost AK+VERB'!$AG66,0))))))</f>
        <v>0</v>
      </c>
      <c r="V54" s="89">
        <f>IF(OR($V$4=Bron!$B$8,$V$4=Bron!$B$9,$V$4=Bron!$B$15),'Bouwkost NB'!$AG67,IF($V$4=Bron!$B$10,'Bouwkost UITB'!$AG66,IF($V$4=Bron!$B$11,'Bouwkost VERB'!$AG66,IF($V$4=Bron!$B$12,'Bouwkost IER'!$AG65,IF(OR($V$4=Bron!$B$13,$V$4=Bron!$B$14),'Bouwkost VOLT'!$AG66,IF($V$4=Bron!$C$16,'Bouwkost AK+VERB'!$AG66,0))))))</f>
        <v>0</v>
      </c>
      <c r="X54" s="89">
        <f>IF(OR($X$4=Bron!$B$8,$X$4=Bron!$B$9,$X$4=Bron!$B$15),'Bouwkost NB'!$AG67,IF($X$4=Bron!$B$10,'Bouwkost UITB'!$AG66,IF($X$4=Bron!$B$11,'Bouwkost VERB'!$AG66,IF($X$4=Bron!$B$12,'Bouwkost IER'!$AG65,IF(OR($X$4=Bron!$B$13,$X$4=Bron!$B$14),'Bouwkost VOLT'!$AG66,IF($X$4=Bron!$C$16,'Bouwkost AK+VERB'!$AG66,0))))))</f>
        <v>0</v>
      </c>
    </row>
    <row r="55" spans="1:24" x14ac:dyDescent="0.3">
      <c r="A55" s="636" t="s">
        <v>458</v>
      </c>
      <c r="B55" s="89">
        <f>IF(OR($B$4=Bron!$B$8,$B$4=Bron!$B$9,$B$4=Bron!$B$15),'Bouwkost NB'!$K68,IF($B$4=Bron!$B$10,'Bouwkost UITB'!$K67,IF($B$4=Bron!$B$11,'Bouwkost VERB'!$K67,IF($B$4=Bron!$B$12,'Bouwkost IER'!$K66,IF(OR($B$4=Bron!$B$13,$B$4=Bron!$B$14),'Bouwkost VOLT'!$K67,IF($B$4=Bron!$C$16,'Bouwkost AK+VERB'!$K67,0))))))</f>
        <v>0</v>
      </c>
      <c r="D55" s="89">
        <f>IF(OR($D$4=Bron!$B$8,$D$4=Bron!$B$9,$D$4=Bron!$B$15),'Bouwkost NB'!$K68,IF($D$4=Bron!$B$10,'Bouwkost UITB'!$K67,IF($D$4=Bron!$B$11,'Bouwkost VERB'!$K67,IF($D$4=Bron!$B$12,'Bouwkost IER'!$K66,IF(OR($D$4=Bron!$B$13,$D$4=Bron!$B$14),'Bouwkost VOLT'!$K67,IF($D$4=Bron!$C$16,'Bouwkost AK+VERB'!$K67,0))))))</f>
        <v>0</v>
      </c>
      <c r="F55" s="89">
        <f>IF(OR($F$4=Bron!$B$8,$F$4=Bron!$B$9,$F$4=Bron!$B$15),'Bouwkost NB'!$K68,IF($F$4=Bron!$B$10,'Bouwkost UITB'!$K67,IF($F$4=Bron!$B$11,'Bouwkost VERB'!$K67,IF($F$4=Bron!$B$12,'Bouwkost IER'!$K66,IF(OR($F$4=Bron!$B$13,$F$4=Bron!$B$14),'Bouwkost VOLT'!$K67,IF($F$4=Bron!$C$16,'Bouwkost AK+VERB'!$K67,0))))))</f>
        <v>0</v>
      </c>
      <c r="H55" s="89">
        <f>IF(OR($H$4=Bron!$B$8,$H$4=Bron!$B$9,$H$4=Bron!$B$15),'Bouwkost NB'!$K68,IF($H$4=Bron!$B$10,'Bouwkost UITB'!$K67,IF($H$4=Bron!$B$11,'Bouwkost VERB'!$K67,IF($H$4=Bron!$B$12,'Bouwkost IER'!$K66,IF(OR($H$4=Bron!$B$13,$H$4=Bron!$B$14),'Bouwkost VOLT'!$K67,IF($H$4=Bron!$C$16,'Bouwkost AK+VERB'!$K67,0))))))</f>
        <v>0</v>
      </c>
      <c r="J55" s="89">
        <f>IF(OR($J$4=Bron!$B$8,$J$4=Bron!$B$9,$J$4=Bron!$B$15),'Bouwkost NB'!$V68,IF($J$4=Bron!$B$10,'Bouwkost UITB'!$V67,IF($J$4=Bron!$B$11,'Bouwkost VERB'!$V67,IF($J$4=Bron!$B$12,'Bouwkost IER'!$V66,IF(OR($J$4=Bron!$B$13,$J$4=Bron!$B$14),'Bouwkost VOLT'!$V67,IF($J$4=Bron!$C$16,'Bouwkost AK+VERB'!$V67,0))))))</f>
        <v>0</v>
      </c>
      <c r="L55" s="89">
        <f>IF(OR($L$4=Bron!$B$8,$L$4=Bron!$B$9,$L$4=Bron!$B$15),'Bouwkost NB'!$V68,IF($L$4=Bron!$B$10,'Bouwkost UITB'!$V67,IF($L$4=Bron!$B$11,'Bouwkost VERB'!$V67,IF($L$4=Bron!$B$12,'Bouwkost IER'!$V66,IF(OR($L$4=Bron!$B$13,$L$4=Bron!$B$14),'Bouwkost VOLT'!$V67,IF($L$4=Bron!$C$16,'Bouwkost AK+VERB'!$V67,0))))))</f>
        <v>0</v>
      </c>
      <c r="N55" s="89">
        <f>IF(OR($N$4=Bron!$B$8,$N$4=Bron!$B$9,,$N$4=Bron!$B$15),'Bouwkost NB'!$V68,IF($N$4=Bron!$B$10,'Bouwkost UITB'!$V67,IF($N$4=Bron!$B$11,'Bouwkost VERB'!$V67,IF($N$4=Bron!$B$12,'Bouwkost IER'!$V66,IF(OR($N$4=Bron!$B$13,$N$4=Bron!$B$14),'Bouwkost VOLT'!$V67,IF($N$4=Bron!$C$16,'Bouwkost AK+VERB'!$V67,0))))))</f>
        <v>0</v>
      </c>
      <c r="P55" s="89">
        <f>IF(OR($P$4=Bron!$B$8,$P$4=Bron!$B$9,$P$4=Bron!$B$15),'Bouwkost NB'!$V68,IF($P$4=Bron!$B$10,'Bouwkost UITB'!$V67,IF($P$4=Bron!$B$11,'Bouwkost VERB'!$V67,IF($P$4=Bron!$B$12,'Bouwkost IER'!$V66,IF(OR($P$4=Bron!$B$13,$P$4=Bron!$B$14),'Bouwkost VOLT'!$V67,IF($P$4=Bron!$C$16,'Bouwkost AK+VERB'!$V67,0))))))</f>
        <v>0</v>
      </c>
      <c r="R55" s="89">
        <f>IF(OR($R$4=Bron!$B$8,$R$4=Bron!$B$9,$R$4=Bron!$B$15),'Bouwkost NB'!$AG68,IF($R$4=Bron!$B$10,'Bouwkost UITB'!$AG67,IF($R$4=Bron!$B$11,'Bouwkost VERB'!$AG67,IF($R$4=Bron!$B$12,'Bouwkost IER'!$AG66,IF(OR($R$4=Bron!$B$13,$R$4=Bron!$B$14),'Bouwkost VOLT'!$AG67,IF($R$4=Bron!$C$16,'Bouwkost AK+VERB'!$AG67,0))))))</f>
        <v>0</v>
      </c>
      <c r="T55" s="89">
        <f>IF(OR($T$4=Bron!$B$8,$T$4=Bron!$B$9,$T$4=Bron!$B$15),'Bouwkost NB'!$AG68,IF($T$4=Bron!$B$10,'Bouwkost UITB'!$AG67,IF($T$4=Bron!$B$11,'Bouwkost VERB'!$AG67,IF($T$4=Bron!$B$12,'Bouwkost IER'!$AG66,IF(OR($T$4=Bron!$B$13,$T$4=Bron!$B$14),'Bouwkost VOLT'!$AG67,IF($T$4=Bron!$C$16,'Bouwkost AK+VERB'!$AG67,0))))))</f>
        <v>0</v>
      </c>
      <c r="V55" s="89">
        <f>IF(OR($V$4=Bron!$B$8,$V$4=Bron!$B$9,$V$4=Bron!$B$15),'Bouwkost NB'!$AG68,IF($V$4=Bron!$B$10,'Bouwkost UITB'!$AG67,IF($V$4=Bron!$B$11,'Bouwkost VERB'!$AG67,IF($V$4=Bron!$B$12,'Bouwkost IER'!$AG66,IF(OR($V$4=Bron!$B$13,$V$4=Bron!$B$14),'Bouwkost VOLT'!$AG67,IF($V$4=Bron!$C$16,'Bouwkost AK+VERB'!$AG67,0))))))</f>
        <v>0</v>
      </c>
      <c r="X55" s="89">
        <f>IF(OR($X$4=Bron!$B$8,$X$4=Bron!$B$9,$X$4=Bron!$B$15),'Bouwkost NB'!$AG68,IF($X$4=Bron!$B$10,'Bouwkost UITB'!$AG67,IF($X$4=Bron!$B$11,'Bouwkost VERB'!$AG67,IF($X$4=Bron!$B$12,'Bouwkost IER'!$AG66,IF(OR($X$4=Bron!$B$13,$X$4=Bron!$B$14),'Bouwkost VOLT'!$AG67,IF($X$4=Bron!$C$16,'Bouwkost AK+VERB'!$AG67,0))))))</f>
        <v>0</v>
      </c>
    </row>
    <row r="56" spans="1:24" x14ac:dyDescent="0.3">
      <c r="A56" s="636" t="s">
        <v>459</v>
      </c>
      <c r="B56" s="89">
        <f>IF(OR($B$4=Bron!$B$8,$B$4=Bron!$B$9,$B$4=Bron!$B$15),'Bouwkost NB'!$K69,IF($B$4=Bron!$B$10,'Bouwkost UITB'!$K68,IF($B$4=Bron!$B$11,'Bouwkost VERB'!$K68,IF($B$4=Bron!$B$12,'Bouwkost IER'!$K67,IF(OR($B$4=Bron!$B$13,$B$4=Bron!$B$14),'Bouwkost VOLT'!$K68,IF($B$4=Bron!$C$16,'Bouwkost AK+VERB'!$K68,0))))))</f>
        <v>0</v>
      </c>
      <c r="D56" s="89">
        <f>IF(OR($D$4=Bron!$B$8,$D$4=Bron!$B$9,$D$4=Bron!$B$15),'Bouwkost NB'!$K69,IF($D$4=Bron!$B$10,'Bouwkost UITB'!$K68,IF($D$4=Bron!$B$11,'Bouwkost VERB'!$K68,IF($D$4=Bron!$B$12,'Bouwkost IER'!$K67,IF(OR($D$4=Bron!$B$13,$D$4=Bron!$B$14),'Bouwkost VOLT'!$K68,IF($D$4=Bron!$C$16,'Bouwkost AK+VERB'!$K68,0))))))</f>
        <v>0</v>
      </c>
      <c r="F56" s="89">
        <f>IF(OR($F$4=Bron!$B$8,$F$4=Bron!$B$9,$F$4=Bron!$B$15),'Bouwkost NB'!$K69,IF($F$4=Bron!$B$10,'Bouwkost UITB'!$K68,IF($F$4=Bron!$B$11,'Bouwkost VERB'!$K68,IF($F$4=Bron!$B$12,'Bouwkost IER'!$K67,IF(OR($F$4=Bron!$B$13,$F$4=Bron!$B$14),'Bouwkost VOLT'!$K68,IF($F$4=Bron!$C$16,'Bouwkost AK+VERB'!$K68,0))))))</f>
        <v>0</v>
      </c>
      <c r="H56" s="89">
        <f>IF(OR($H$4=Bron!$B$8,$H$4=Bron!$B$9,$H$4=Bron!$B$15),'Bouwkost NB'!$K69,IF($H$4=Bron!$B$10,'Bouwkost UITB'!$K68,IF($H$4=Bron!$B$11,'Bouwkost VERB'!$K68,IF($H$4=Bron!$B$12,'Bouwkost IER'!$K67,IF(OR($H$4=Bron!$B$13,$H$4=Bron!$B$14),'Bouwkost VOLT'!$K68,IF($H$4=Bron!$C$16,'Bouwkost AK+VERB'!$K68,0))))))</f>
        <v>0</v>
      </c>
      <c r="J56" s="89">
        <f>IF(OR($J$4=Bron!$B$8,$J$4=Bron!$B$9,$J$4=Bron!$B$15),'Bouwkost NB'!$V69,IF($J$4=Bron!$B$10,'Bouwkost UITB'!$V68,IF($J$4=Bron!$B$11,'Bouwkost VERB'!$V68,IF($J$4=Bron!$B$12,'Bouwkost IER'!$V67,IF(OR($J$4=Bron!$B$13,$J$4=Bron!$B$14),'Bouwkost VOLT'!$V68,IF($J$4=Bron!$C$16,'Bouwkost AK+VERB'!$V68,0))))))</f>
        <v>0</v>
      </c>
      <c r="L56" s="89">
        <f>IF(OR($L$4=Bron!$B$8,$L$4=Bron!$B$9,$L$4=Bron!$B$15),'Bouwkost NB'!$V69,IF($L$4=Bron!$B$10,'Bouwkost UITB'!$V68,IF($L$4=Bron!$B$11,'Bouwkost VERB'!$V68,IF($L$4=Bron!$B$12,'Bouwkost IER'!$V67,IF(OR($L$4=Bron!$B$13,$L$4=Bron!$B$14),'Bouwkost VOLT'!$V68,IF($L$4=Bron!$C$16,'Bouwkost AK+VERB'!$V68,0))))))</f>
        <v>0</v>
      </c>
      <c r="N56" s="89">
        <f>IF(OR($N$4=Bron!$B$8,$N$4=Bron!$B$9,,$N$4=Bron!$B$15),'Bouwkost NB'!$V69,IF($N$4=Bron!$B$10,'Bouwkost UITB'!$V68,IF($N$4=Bron!$B$11,'Bouwkost VERB'!$V68,IF($N$4=Bron!$B$12,'Bouwkost IER'!$V67,IF(OR($N$4=Bron!$B$13,$N$4=Bron!$B$14),'Bouwkost VOLT'!$V68,IF($N$4=Bron!$C$16,'Bouwkost AK+VERB'!$V68,0))))))</f>
        <v>0</v>
      </c>
      <c r="P56" s="89">
        <f>IF(OR($P$4=Bron!$B$8,$P$4=Bron!$B$9,$P$4=Bron!$B$15),'Bouwkost NB'!$V69,IF($P$4=Bron!$B$10,'Bouwkost UITB'!$V68,IF($P$4=Bron!$B$11,'Bouwkost VERB'!$V68,IF($P$4=Bron!$B$12,'Bouwkost IER'!$V67,IF(OR($P$4=Bron!$B$13,$P$4=Bron!$B$14),'Bouwkost VOLT'!$V68,IF($P$4=Bron!$C$16,'Bouwkost AK+VERB'!$V68,0))))))</f>
        <v>0</v>
      </c>
      <c r="R56" s="89">
        <f>IF(OR($R$4=Bron!$B$8,$R$4=Bron!$B$9,$R$4=Bron!$B$15),'Bouwkost NB'!$AG69,IF($R$4=Bron!$B$10,'Bouwkost UITB'!$AG68,IF($R$4=Bron!$B$11,'Bouwkost VERB'!$AG68,IF($R$4=Bron!$B$12,'Bouwkost IER'!$AG67,IF(OR($R$4=Bron!$B$13,$R$4=Bron!$B$14),'Bouwkost VOLT'!$AG68,IF($R$4=Bron!$C$16,'Bouwkost AK+VERB'!$AG68,0))))))</f>
        <v>0</v>
      </c>
      <c r="T56" s="89">
        <f>IF(OR($T$4=Bron!$B$8,$T$4=Bron!$B$9,$T$4=Bron!$B$15),'Bouwkost NB'!$AG69,IF($T$4=Bron!$B$10,'Bouwkost UITB'!$AG68,IF($T$4=Bron!$B$11,'Bouwkost VERB'!$AG68,IF($T$4=Bron!$B$12,'Bouwkost IER'!$AG67,IF(OR($T$4=Bron!$B$13,$T$4=Bron!$B$14),'Bouwkost VOLT'!$AG68,IF($T$4=Bron!$C$16,'Bouwkost AK+VERB'!$AG68,0))))))</f>
        <v>0</v>
      </c>
      <c r="V56" s="89">
        <f>IF(OR($V$4=Bron!$B$8,$V$4=Bron!$B$9,$V$4=Bron!$B$15),'Bouwkost NB'!$AG69,IF($V$4=Bron!$B$10,'Bouwkost UITB'!$AG68,IF($V$4=Bron!$B$11,'Bouwkost VERB'!$AG68,IF($V$4=Bron!$B$12,'Bouwkost IER'!$AG67,IF(OR($V$4=Bron!$B$13,$V$4=Bron!$B$14),'Bouwkost VOLT'!$AG68,IF($V$4=Bron!$C$16,'Bouwkost AK+VERB'!$AG68,0))))))</f>
        <v>0</v>
      </c>
      <c r="X56" s="89">
        <f>IF(OR($X$4=Bron!$B$8,$X$4=Bron!$B$9,$X$4=Bron!$B$15),'Bouwkost NB'!$AG69,IF($X$4=Bron!$B$10,'Bouwkost UITB'!$AG68,IF($X$4=Bron!$B$11,'Bouwkost VERB'!$AG68,IF($X$4=Bron!$B$12,'Bouwkost IER'!$AG67,IF(OR($X$4=Bron!$B$13,$X$4=Bron!$B$14),'Bouwkost VOLT'!$AG68,IF($X$4=Bron!$C$16,'Bouwkost AK+VERB'!$AG68,0))))))</f>
        <v>0</v>
      </c>
    </row>
    <row r="57" spans="1:24" x14ac:dyDescent="0.3">
      <c r="A57" s="636" t="s">
        <v>460</v>
      </c>
      <c r="B57" s="89">
        <f>IF(OR($B$4=Bron!$B$8,$B$4=Bron!$B$9,$B$4=Bron!$B$15),'Bouwkost NB'!$K70,IF($B$4=Bron!$B$10,'Bouwkost UITB'!$K69,IF($B$4=Bron!$B$11,'Bouwkost VERB'!$K69,IF($B$4=Bron!$B$12,'Bouwkost IER'!$K68,IF(OR($B$4=Bron!$B$13,$B$4=Bron!$B$14),'Bouwkost VOLT'!$K69,IF($B$4=Bron!$C$16,'Bouwkost AK+VERB'!$K69,0))))))</f>
        <v>0</v>
      </c>
      <c r="D57" s="89">
        <f>IF(OR($D$4=Bron!$B$8,$D$4=Bron!$B$9,$D$4=Bron!$B$15),'Bouwkost NB'!$K70,IF($D$4=Bron!$B$10,'Bouwkost UITB'!$K69,IF($D$4=Bron!$B$11,'Bouwkost VERB'!$K69,IF($D$4=Bron!$B$12,'Bouwkost IER'!$K68,IF(OR($D$4=Bron!$B$13,$D$4=Bron!$B$14),'Bouwkost VOLT'!$K69,IF($D$4=Bron!$C$16,'Bouwkost AK+VERB'!$K69,0))))))</f>
        <v>0</v>
      </c>
      <c r="F57" s="89">
        <f>IF(OR($F$4=Bron!$B$8,$F$4=Bron!$B$9,$F$4=Bron!$B$15),'Bouwkost NB'!$K70,IF($F$4=Bron!$B$10,'Bouwkost UITB'!$K69,IF($F$4=Bron!$B$11,'Bouwkost VERB'!$K69,IF($F$4=Bron!$B$12,'Bouwkost IER'!$K68,IF(OR($F$4=Bron!$B$13,$F$4=Bron!$B$14),'Bouwkost VOLT'!$K69,IF($F$4=Bron!$C$16,'Bouwkost AK+VERB'!$K69,0))))))</f>
        <v>0</v>
      </c>
      <c r="H57" s="89">
        <f>IF(OR($H$4=Bron!$B$8,$H$4=Bron!$B$9,$H$4=Bron!$B$15),'Bouwkost NB'!$K70,IF($H$4=Bron!$B$10,'Bouwkost UITB'!$K69,IF($H$4=Bron!$B$11,'Bouwkost VERB'!$K69,IF($H$4=Bron!$B$12,'Bouwkost IER'!$K68,IF(OR($H$4=Bron!$B$13,$H$4=Bron!$B$14),'Bouwkost VOLT'!$K69,IF($H$4=Bron!$C$16,'Bouwkost AK+VERB'!$K69,0))))))</f>
        <v>0</v>
      </c>
      <c r="J57" s="89">
        <f>IF(OR($J$4=Bron!$B$8,$J$4=Bron!$B$9,$J$4=Bron!$B$15),'Bouwkost NB'!$V70,IF($J$4=Bron!$B$10,'Bouwkost UITB'!$V69,IF($J$4=Bron!$B$11,'Bouwkost VERB'!$V69,IF($J$4=Bron!$B$12,'Bouwkost IER'!$V68,IF(OR($J$4=Bron!$B$13,$J$4=Bron!$B$14),'Bouwkost VOLT'!$V69,IF($J$4=Bron!$C$16,'Bouwkost AK+VERB'!$V69,0))))))</f>
        <v>0</v>
      </c>
      <c r="L57" s="89">
        <f>IF(OR($L$4=Bron!$B$8,$L$4=Bron!$B$9,$L$4=Bron!$B$15),'Bouwkost NB'!$V70,IF($L$4=Bron!$B$10,'Bouwkost UITB'!$V69,IF($L$4=Bron!$B$11,'Bouwkost VERB'!$V69,IF($L$4=Bron!$B$12,'Bouwkost IER'!$V68,IF(OR($L$4=Bron!$B$13,$L$4=Bron!$B$14),'Bouwkost VOLT'!$V69,IF($L$4=Bron!$C$16,'Bouwkost AK+VERB'!$V69,0))))))</f>
        <v>0</v>
      </c>
      <c r="N57" s="89">
        <f>IF(OR($N$4=Bron!$B$8,$N$4=Bron!$B$9,,$N$4=Bron!$B$15),'Bouwkost NB'!$V70,IF($N$4=Bron!$B$10,'Bouwkost UITB'!$V69,IF($N$4=Bron!$B$11,'Bouwkost VERB'!$V69,IF($N$4=Bron!$B$12,'Bouwkost IER'!$V68,IF(OR($N$4=Bron!$B$13,$N$4=Bron!$B$14),'Bouwkost VOLT'!$V69,IF($N$4=Bron!$C$16,'Bouwkost AK+VERB'!$V69,0))))))</f>
        <v>0</v>
      </c>
      <c r="P57" s="89">
        <f>IF(OR($P$4=Bron!$B$8,$P$4=Bron!$B$9,$P$4=Bron!$B$15),'Bouwkost NB'!$V70,IF($P$4=Bron!$B$10,'Bouwkost UITB'!$V69,IF($P$4=Bron!$B$11,'Bouwkost VERB'!$V69,IF($P$4=Bron!$B$12,'Bouwkost IER'!$V68,IF(OR($P$4=Bron!$B$13,$P$4=Bron!$B$14),'Bouwkost VOLT'!$V69,IF($P$4=Bron!$C$16,'Bouwkost AK+VERB'!$V69,0))))))</f>
        <v>0</v>
      </c>
      <c r="R57" s="89">
        <f>IF(OR($R$4=Bron!$B$8,$R$4=Bron!$B$9,$R$4=Bron!$B$15),'Bouwkost NB'!$AG70,IF($R$4=Bron!$B$10,'Bouwkost UITB'!$AG69,IF($R$4=Bron!$B$11,'Bouwkost VERB'!$AG69,IF($R$4=Bron!$B$12,'Bouwkost IER'!$AG68,IF(OR($R$4=Bron!$B$13,$R$4=Bron!$B$14),'Bouwkost VOLT'!$AG69,IF($R$4=Bron!$C$16,'Bouwkost AK+VERB'!$AG69,0))))))</f>
        <v>0</v>
      </c>
      <c r="T57" s="89">
        <f>IF(OR($T$4=Bron!$B$8,$T$4=Bron!$B$9,$T$4=Bron!$B$15),'Bouwkost NB'!$AG70,IF($T$4=Bron!$B$10,'Bouwkost UITB'!$AG69,IF($T$4=Bron!$B$11,'Bouwkost VERB'!$AG69,IF($T$4=Bron!$B$12,'Bouwkost IER'!$AG68,IF(OR($T$4=Bron!$B$13,$T$4=Bron!$B$14),'Bouwkost VOLT'!$AG69,IF($T$4=Bron!$C$16,'Bouwkost AK+VERB'!$AG69,0))))))</f>
        <v>0</v>
      </c>
      <c r="V57" s="89">
        <f>IF(OR($V$4=Bron!$B$8,$V$4=Bron!$B$9,$V$4=Bron!$B$15),'Bouwkost NB'!$AG70,IF($V$4=Bron!$B$10,'Bouwkost UITB'!$AG69,IF($V$4=Bron!$B$11,'Bouwkost VERB'!$AG69,IF($V$4=Bron!$B$12,'Bouwkost IER'!$AG68,IF(OR($V$4=Bron!$B$13,$V$4=Bron!$B$14),'Bouwkost VOLT'!$AG69,IF($V$4=Bron!$C$16,'Bouwkost AK+VERB'!$AG69,0))))))</f>
        <v>0</v>
      </c>
      <c r="X57" s="89">
        <f>IF(OR($X$4=Bron!$B$8,$X$4=Bron!$B$9,$X$4=Bron!$B$15),'Bouwkost NB'!$AG70,IF($X$4=Bron!$B$10,'Bouwkost UITB'!$AG69,IF($X$4=Bron!$B$11,'Bouwkost VERB'!$AG69,IF($X$4=Bron!$B$12,'Bouwkost IER'!$AG68,IF(OR($X$4=Bron!$B$13,$X$4=Bron!$B$14),'Bouwkost VOLT'!$AG69,IF($X$4=Bron!$C$16,'Bouwkost AK+VERB'!$AG69,0))))))</f>
        <v>0</v>
      </c>
    </row>
    <row r="58" spans="1:24" x14ac:dyDescent="0.3">
      <c r="A58" s="657" t="s">
        <v>461</v>
      </c>
      <c r="B58" s="89">
        <f>IF(OR($B$4=Bron!$B$8,$B$4=Bron!$B$9,$B$4=Bron!$B$15),'Bouwkost NB'!$K71,IF($B$4=Bron!$B$10,'Bouwkost UITB'!$K70,IF($B$4=Bron!$B$11,'Bouwkost VERB'!$K70,IF($B$4=Bron!$B$12,'Bouwkost IER'!$K69,IF(OR($B$4=Bron!$B$13,$B$4=Bron!$B$14),'Bouwkost VOLT'!$K70,IF($B$4=Bron!$C$16,'Bouwkost AK+VERB'!$K70,0))))))</f>
        <v>0</v>
      </c>
      <c r="D58" s="89">
        <f>IF(OR($D$4=Bron!$B$8,$D$4=Bron!$B$9,$D$4=Bron!$B$15),'Bouwkost NB'!$K71,IF($D$4=Bron!$B$10,'Bouwkost UITB'!$K70,IF($D$4=Bron!$B$11,'Bouwkost VERB'!$K70,IF($D$4=Bron!$B$12,'Bouwkost IER'!$K69,IF(OR($D$4=Bron!$B$13,$D$4=Bron!$B$14),'Bouwkost VOLT'!$K70,IF($D$4=Bron!$C$16,'Bouwkost AK+VERB'!$K70,0))))))</f>
        <v>0</v>
      </c>
      <c r="F58" s="89">
        <f>IF(OR($F$4=Bron!$B$8,$F$4=Bron!$B$9,$F$4=Bron!$B$15),'Bouwkost NB'!$K71,IF($F$4=Bron!$B$10,'Bouwkost UITB'!$K70,IF($F$4=Bron!$B$11,'Bouwkost VERB'!$K70,IF($F$4=Bron!$B$12,'Bouwkost IER'!$K69,IF(OR($F$4=Bron!$B$13,$F$4=Bron!$B$14),'Bouwkost VOLT'!$K70,IF($F$4=Bron!$C$16,'Bouwkost AK+VERB'!$K70,0))))))</f>
        <v>0</v>
      </c>
      <c r="H58" s="89">
        <f>IF(OR($H$4=Bron!$B$8,$H$4=Bron!$B$9,$H$4=Bron!$B$15),'Bouwkost NB'!$K71,IF($H$4=Bron!$B$10,'Bouwkost UITB'!$K70,IF($H$4=Bron!$B$11,'Bouwkost VERB'!$K70,IF($H$4=Bron!$B$12,'Bouwkost IER'!$K69,IF(OR($H$4=Bron!$B$13,$H$4=Bron!$B$14),'Bouwkost VOLT'!$K70,IF($H$4=Bron!$C$16,'Bouwkost AK+VERB'!$K70,0))))))</f>
        <v>0</v>
      </c>
      <c r="J58" s="89">
        <f>IF(OR($J$4=Bron!$B$8,$J$4=Bron!$B$9,$J$4=Bron!$B$15),'Bouwkost NB'!$V71,IF($J$4=Bron!$B$10,'Bouwkost UITB'!$V70,IF($J$4=Bron!$B$11,'Bouwkost VERB'!$V70,IF($J$4=Bron!$B$12,'Bouwkost IER'!$V69,IF(OR($J$4=Bron!$B$13,$J$4=Bron!$B$14),'Bouwkost VOLT'!$V70,IF($J$4=Bron!$C$16,'Bouwkost AK+VERB'!$V70,0))))))</f>
        <v>0</v>
      </c>
      <c r="L58" s="89">
        <f>IF(OR($L$4=Bron!$B$8,$L$4=Bron!$B$9,$L$4=Bron!$B$15),'Bouwkost NB'!$V71,IF($L$4=Bron!$B$10,'Bouwkost UITB'!$V70,IF($L$4=Bron!$B$11,'Bouwkost VERB'!$V70,IF($L$4=Bron!$B$12,'Bouwkost IER'!$V69,IF(OR($L$4=Bron!$B$13,$L$4=Bron!$B$14),'Bouwkost VOLT'!$V70,IF($L$4=Bron!$C$16,'Bouwkost AK+VERB'!$V70,0))))))</f>
        <v>0</v>
      </c>
      <c r="N58" s="89">
        <f>IF(OR($N$4=Bron!$B$8,$N$4=Bron!$B$9,,$N$4=Bron!$B$15),'Bouwkost NB'!$V71,IF($N$4=Bron!$B$10,'Bouwkost UITB'!$V70,IF($N$4=Bron!$B$11,'Bouwkost VERB'!$V70,IF($N$4=Bron!$B$12,'Bouwkost IER'!$V69,IF(OR($N$4=Bron!$B$13,$N$4=Bron!$B$14),'Bouwkost VOLT'!$V70,IF($N$4=Bron!$C$16,'Bouwkost AK+VERB'!$V70,0))))))</f>
        <v>0</v>
      </c>
      <c r="P58" s="89">
        <f>IF(OR($P$4=Bron!$B$8,$P$4=Bron!$B$9,$P$4=Bron!$B$15),'Bouwkost NB'!$V71,IF($P$4=Bron!$B$10,'Bouwkost UITB'!$V70,IF($P$4=Bron!$B$11,'Bouwkost VERB'!$V70,IF($P$4=Bron!$B$12,'Bouwkost IER'!$V69,IF(OR($P$4=Bron!$B$13,$P$4=Bron!$B$14),'Bouwkost VOLT'!$V70,IF($P$4=Bron!$C$16,'Bouwkost AK+VERB'!$V70,0))))))</f>
        <v>0</v>
      </c>
      <c r="R58" s="89">
        <f>IF(OR($R$4=Bron!$B$8,$R$4=Bron!$B$9,$R$4=Bron!$B$15),'Bouwkost NB'!$AG71,IF($R$4=Bron!$B$10,'Bouwkost UITB'!$AG70,IF($R$4=Bron!$B$11,'Bouwkost VERB'!$AG70,IF($R$4=Bron!$B$12,'Bouwkost IER'!$AG69,IF(OR($R$4=Bron!$B$13,$R$4=Bron!$B$14),'Bouwkost VOLT'!$AG70,IF($R$4=Bron!$C$16,'Bouwkost AK+VERB'!$AG70,0))))))</f>
        <v>0</v>
      </c>
      <c r="T58" s="89">
        <f>IF(OR($T$4=Bron!$B$8,$T$4=Bron!$B$9,$T$4=Bron!$B$15),'Bouwkost NB'!$AG71,IF($T$4=Bron!$B$10,'Bouwkost UITB'!$AG70,IF($T$4=Bron!$B$11,'Bouwkost VERB'!$AG70,IF($T$4=Bron!$B$12,'Bouwkost IER'!$AG69,IF(OR($T$4=Bron!$B$13,$T$4=Bron!$B$14),'Bouwkost VOLT'!$AG70,IF($T$4=Bron!$C$16,'Bouwkost AK+VERB'!$AG70,0))))))</f>
        <v>0</v>
      </c>
      <c r="V58" s="89">
        <f>IF(OR($V$4=Bron!$B$8,$V$4=Bron!$B$9,$V$4=Bron!$B$15),'Bouwkost NB'!$AG71,IF($V$4=Bron!$B$10,'Bouwkost UITB'!$AG70,IF($V$4=Bron!$B$11,'Bouwkost VERB'!$AG70,IF($V$4=Bron!$B$12,'Bouwkost IER'!$AG69,IF(OR($V$4=Bron!$B$13,$V$4=Bron!$B$14),'Bouwkost VOLT'!$AG70,IF($V$4=Bron!$C$16,'Bouwkost AK+VERB'!$AG70,0))))))</f>
        <v>0</v>
      </c>
      <c r="X58" s="89">
        <f>IF(OR($X$4=Bron!$B$8,$X$4=Bron!$B$9,$X$4=Bron!$B$15),'Bouwkost NB'!$AG71,IF($X$4=Bron!$B$10,'Bouwkost UITB'!$AG70,IF($X$4=Bron!$B$11,'Bouwkost VERB'!$AG70,IF($X$4=Bron!$B$12,'Bouwkost IER'!$AG69,IF(OR($X$4=Bron!$B$13,$X$4=Bron!$B$14),'Bouwkost VOLT'!$AG70,IF($X$4=Bron!$C$16,'Bouwkost AK+VERB'!$AG70,0))))))</f>
        <v>0</v>
      </c>
    </row>
    <row r="59" spans="1:24" x14ac:dyDescent="0.3">
      <c r="A59" s="636" t="s">
        <v>462</v>
      </c>
      <c r="B59" s="89">
        <f>IF(OR($B$4=Bron!$B$8,$B$4=Bron!$B$9,$B$4=Bron!$B$15),'Bouwkost NB'!$K72,IF($B$4=Bron!$B$10,'Bouwkost UITB'!$K71,IF($B$4=Bron!$B$11,'Bouwkost VERB'!$K71,IF($B$4=Bron!$B$12,'Bouwkost IER'!$K70,IF(OR($B$4=Bron!$B$13,$B$4=Bron!$B$14),'Bouwkost VOLT'!$K71,IF($B$4=Bron!$C$16,'Bouwkost AK+VERB'!$K71,0))))))</f>
        <v>0</v>
      </c>
      <c r="D59" s="89">
        <f>IF(OR($D$4=Bron!$B$8,$D$4=Bron!$B$9,$D$4=Bron!$B$15),'Bouwkost NB'!$K72,IF($D$4=Bron!$B$10,'Bouwkost UITB'!$K71,IF($D$4=Bron!$B$11,'Bouwkost VERB'!$K71,IF($D$4=Bron!$B$12,'Bouwkost IER'!$K70,IF(OR($D$4=Bron!$B$13,$D$4=Bron!$B$14),'Bouwkost VOLT'!$K71,IF($D$4=Bron!$C$16,'Bouwkost AK+VERB'!$K71,0))))))</f>
        <v>0</v>
      </c>
      <c r="F59" s="89">
        <f>IF(OR($F$4=Bron!$B$8,$F$4=Bron!$B$9,$F$4=Bron!$B$15),'Bouwkost NB'!$K72,IF($F$4=Bron!$B$10,'Bouwkost UITB'!$K71,IF($F$4=Bron!$B$11,'Bouwkost VERB'!$K71,IF($F$4=Bron!$B$12,'Bouwkost IER'!$K70,IF(OR($F$4=Bron!$B$13,$F$4=Bron!$B$14),'Bouwkost VOLT'!$K71,IF($F$4=Bron!$C$16,'Bouwkost AK+VERB'!$K71,0))))))</f>
        <v>0</v>
      </c>
      <c r="H59" s="89">
        <f>IF(OR($H$4=Bron!$B$8,$H$4=Bron!$B$9,$H$4=Bron!$B$15),'Bouwkost NB'!$K72,IF($H$4=Bron!$B$10,'Bouwkost UITB'!$K71,IF($H$4=Bron!$B$11,'Bouwkost VERB'!$K71,IF($H$4=Bron!$B$12,'Bouwkost IER'!$K70,IF(OR($H$4=Bron!$B$13,$H$4=Bron!$B$14),'Bouwkost VOLT'!$K71,IF($H$4=Bron!$C$16,'Bouwkost AK+VERB'!$K71,0))))))</f>
        <v>0</v>
      </c>
      <c r="J59" s="89">
        <f>IF(OR($J$4=Bron!$B$8,$J$4=Bron!$B$9,$J$4=Bron!$B$15),'Bouwkost NB'!$V72,IF($J$4=Bron!$B$10,'Bouwkost UITB'!$V71,IF($J$4=Bron!$B$11,'Bouwkost VERB'!$V71,IF($J$4=Bron!$B$12,'Bouwkost IER'!$V70,IF(OR($J$4=Bron!$B$13,$J$4=Bron!$B$14),'Bouwkost VOLT'!$V71,IF($J$4=Bron!$C$16,'Bouwkost AK+VERB'!$V71,0))))))</f>
        <v>0</v>
      </c>
      <c r="L59" s="89">
        <f>IF(OR($L$4=Bron!$B$8,$L$4=Bron!$B$9,$L$4=Bron!$B$15),'Bouwkost NB'!$V72,IF($L$4=Bron!$B$10,'Bouwkost UITB'!$V71,IF($L$4=Bron!$B$11,'Bouwkost VERB'!$V71,IF($L$4=Bron!$B$12,'Bouwkost IER'!$V70,IF(OR($L$4=Bron!$B$13,$L$4=Bron!$B$14),'Bouwkost VOLT'!$V71,IF($L$4=Bron!$C$16,'Bouwkost AK+VERB'!$V71,0))))))</f>
        <v>0</v>
      </c>
      <c r="N59" s="89">
        <f>IF(OR($N$4=Bron!$B$8,$N$4=Bron!$B$9,,$N$4=Bron!$B$15),'Bouwkost NB'!$V72,IF($N$4=Bron!$B$10,'Bouwkost UITB'!$V71,IF($N$4=Bron!$B$11,'Bouwkost VERB'!$V71,IF($N$4=Bron!$B$12,'Bouwkost IER'!$V70,IF(OR($N$4=Bron!$B$13,$N$4=Bron!$B$14),'Bouwkost VOLT'!$V71,IF($N$4=Bron!$C$16,'Bouwkost AK+VERB'!$V71,0))))))</f>
        <v>0</v>
      </c>
      <c r="P59" s="89">
        <f>IF(OR($P$4=Bron!$B$8,$P$4=Bron!$B$9,$P$4=Bron!$B$15),'Bouwkost NB'!$V72,IF($P$4=Bron!$B$10,'Bouwkost UITB'!$V71,IF($P$4=Bron!$B$11,'Bouwkost VERB'!$V71,IF($P$4=Bron!$B$12,'Bouwkost IER'!$V70,IF(OR($P$4=Bron!$B$13,$P$4=Bron!$B$14),'Bouwkost VOLT'!$V71,IF($P$4=Bron!$C$16,'Bouwkost AK+VERB'!$V71,0))))))</f>
        <v>0</v>
      </c>
      <c r="R59" s="89">
        <f>IF(OR($R$4=Bron!$B$8,$R$4=Bron!$B$9,$R$4=Bron!$B$15),'Bouwkost NB'!$AG72,IF($R$4=Bron!$B$10,'Bouwkost UITB'!$AG71,IF($R$4=Bron!$B$11,'Bouwkost VERB'!$AG71,IF($R$4=Bron!$B$12,'Bouwkost IER'!$AG70,IF(OR($R$4=Bron!$B$13,$R$4=Bron!$B$14),'Bouwkost VOLT'!$AG71,IF($R$4=Bron!$C$16,'Bouwkost AK+VERB'!$AG71,0))))))</f>
        <v>0</v>
      </c>
      <c r="T59" s="89">
        <f>IF(OR($T$4=Bron!$B$8,$T$4=Bron!$B$9,$T$4=Bron!$B$15),'Bouwkost NB'!$AG72,IF($T$4=Bron!$B$10,'Bouwkost UITB'!$AG71,IF($T$4=Bron!$B$11,'Bouwkost VERB'!$AG71,IF($T$4=Bron!$B$12,'Bouwkost IER'!$AG70,IF(OR($T$4=Bron!$B$13,$T$4=Bron!$B$14),'Bouwkost VOLT'!$AG71,IF($T$4=Bron!$C$16,'Bouwkost AK+VERB'!$AG71,0))))))</f>
        <v>0</v>
      </c>
      <c r="V59" s="89">
        <f>IF(OR($V$4=Bron!$B$8,$V$4=Bron!$B$9,$V$4=Bron!$B$15),'Bouwkost NB'!$AG72,IF($V$4=Bron!$B$10,'Bouwkost UITB'!$AG71,IF($V$4=Bron!$B$11,'Bouwkost VERB'!$AG71,IF($V$4=Bron!$B$12,'Bouwkost IER'!$AG70,IF(OR($V$4=Bron!$B$13,$V$4=Bron!$B$14),'Bouwkost VOLT'!$AG71,IF($V$4=Bron!$C$16,'Bouwkost AK+VERB'!$AG71,0))))))</f>
        <v>0</v>
      </c>
      <c r="X59" s="89">
        <f>IF(OR($X$4=Bron!$B$8,$X$4=Bron!$B$9,$X$4=Bron!$B$15),'Bouwkost NB'!$AG72,IF($X$4=Bron!$B$10,'Bouwkost UITB'!$AG71,IF($X$4=Bron!$B$11,'Bouwkost VERB'!$AG71,IF($X$4=Bron!$B$12,'Bouwkost IER'!$AG70,IF(OR($X$4=Bron!$B$13,$X$4=Bron!$B$14),'Bouwkost VOLT'!$AG71,IF($X$4=Bron!$C$16,'Bouwkost AK+VERB'!$AG71,0))))))</f>
        <v>0</v>
      </c>
    </row>
    <row r="60" spans="1:24" x14ac:dyDescent="0.3">
      <c r="A60" s="657" t="s">
        <v>463</v>
      </c>
      <c r="B60" s="89">
        <f>IF(OR($B$4=Bron!$B$8,$B$4=Bron!$B$9,$B$4=Bron!$B$15),'Bouwkost NB'!$K73,IF($B$4=Bron!$B$10,'Bouwkost UITB'!$K72,IF($B$4=Bron!$B$11,'Bouwkost VERB'!$K72,IF($B$4=Bron!$B$12,'Bouwkost IER'!$K71,IF(OR($B$4=Bron!$B$13,$B$4=Bron!$B$14),'Bouwkost VOLT'!$K72,IF($B$4=Bron!$C$16,'Bouwkost AK+VERB'!$K72,0))))))</f>
        <v>0</v>
      </c>
      <c r="D60" s="89">
        <f>IF(OR($D$4=Bron!$B$8,$D$4=Bron!$B$9,$D$4=Bron!$B$15),'Bouwkost NB'!$K73,IF($D$4=Bron!$B$10,'Bouwkost UITB'!$K72,IF($D$4=Bron!$B$11,'Bouwkost VERB'!$K72,IF($D$4=Bron!$B$12,'Bouwkost IER'!$K71,IF(OR($D$4=Bron!$B$13,$D$4=Bron!$B$14),'Bouwkost VOLT'!$K72,IF($D$4=Bron!$C$16,'Bouwkost AK+VERB'!$K72,0))))))</f>
        <v>0</v>
      </c>
      <c r="F60" s="89">
        <f>IF(OR($F$4=Bron!$B$8,$F$4=Bron!$B$9,$F$4=Bron!$B$15),'Bouwkost NB'!$K73,IF($F$4=Bron!$B$10,'Bouwkost UITB'!$K72,IF($F$4=Bron!$B$11,'Bouwkost VERB'!$K72,IF($F$4=Bron!$B$12,'Bouwkost IER'!$K71,IF(OR($F$4=Bron!$B$13,$F$4=Bron!$B$14),'Bouwkost VOLT'!$K72,IF($F$4=Bron!$C$16,'Bouwkost AK+VERB'!$K72,0))))))</f>
        <v>0</v>
      </c>
      <c r="H60" s="89">
        <f>IF(OR($H$4=Bron!$B$8,$H$4=Bron!$B$9,$H$4=Bron!$B$15),'Bouwkost NB'!$K73,IF($H$4=Bron!$B$10,'Bouwkost UITB'!$K72,IF($H$4=Bron!$B$11,'Bouwkost VERB'!$K72,IF($H$4=Bron!$B$12,'Bouwkost IER'!$K71,IF(OR($H$4=Bron!$B$13,$H$4=Bron!$B$14),'Bouwkost VOLT'!$K72,IF($H$4=Bron!$C$16,'Bouwkost AK+VERB'!$K72,0))))))</f>
        <v>0</v>
      </c>
      <c r="J60" s="89">
        <f>IF(OR($J$4=Bron!$B$8,$J$4=Bron!$B$9,$J$4=Bron!$B$15),'Bouwkost NB'!$V73,IF($J$4=Bron!$B$10,'Bouwkost UITB'!$V72,IF($J$4=Bron!$B$11,'Bouwkost VERB'!$V72,IF($J$4=Bron!$B$12,'Bouwkost IER'!$V71,IF(OR($J$4=Bron!$B$13,$J$4=Bron!$B$14),'Bouwkost VOLT'!$V72,IF($J$4=Bron!$C$16,'Bouwkost AK+VERB'!$V72,0))))))</f>
        <v>0</v>
      </c>
      <c r="L60" s="89">
        <f>IF(OR($L$4=Bron!$B$8,$L$4=Bron!$B$9,$L$4=Bron!$B$15),'Bouwkost NB'!$V73,IF($L$4=Bron!$B$10,'Bouwkost UITB'!$V72,IF($L$4=Bron!$B$11,'Bouwkost VERB'!$V72,IF($L$4=Bron!$B$12,'Bouwkost IER'!$V71,IF(OR($L$4=Bron!$B$13,$L$4=Bron!$B$14),'Bouwkost VOLT'!$V72,IF($L$4=Bron!$C$16,'Bouwkost AK+VERB'!$V72,0))))))</f>
        <v>0</v>
      </c>
      <c r="N60" s="89">
        <f>IF(OR($N$4=Bron!$B$8,$N$4=Bron!$B$9,,$N$4=Bron!$B$15),'Bouwkost NB'!$V73,IF($N$4=Bron!$B$10,'Bouwkost UITB'!$V72,IF($N$4=Bron!$B$11,'Bouwkost VERB'!$V72,IF($N$4=Bron!$B$12,'Bouwkost IER'!$V71,IF(OR($N$4=Bron!$B$13,$N$4=Bron!$B$14),'Bouwkost VOLT'!$V72,IF($N$4=Bron!$C$16,'Bouwkost AK+VERB'!$V72,0))))))</f>
        <v>0</v>
      </c>
      <c r="P60" s="89">
        <f>IF(OR($P$4=Bron!$B$8,$P$4=Bron!$B$9,$P$4=Bron!$B$15),'Bouwkost NB'!$V73,IF($P$4=Bron!$B$10,'Bouwkost UITB'!$V72,IF($P$4=Bron!$B$11,'Bouwkost VERB'!$V72,IF($P$4=Bron!$B$12,'Bouwkost IER'!$V71,IF(OR($P$4=Bron!$B$13,$P$4=Bron!$B$14),'Bouwkost VOLT'!$V72,IF($P$4=Bron!$C$16,'Bouwkost AK+VERB'!$V72,0))))))</f>
        <v>0</v>
      </c>
      <c r="R60" s="89">
        <f>IF(OR($R$4=Bron!$B$8,$R$4=Bron!$B$9,$R$4=Bron!$B$15),'Bouwkost NB'!$AG73,IF($R$4=Bron!$B$10,'Bouwkost UITB'!$AG72,IF($R$4=Bron!$B$11,'Bouwkost VERB'!$AG72,IF($R$4=Bron!$B$12,'Bouwkost IER'!$AG71,IF(OR($R$4=Bron!$B$13,$R$4=Bron!$B$14),'Bouwkost VOLT'!$AG72,IF($R$4=Bron!$C$16,'Bouwkost AK+VERB'!$AG72,0))))))</f>
        <v>0</v>
      </c>
      <c r="T60" s="89">
        <f>IF(OR($T$4=Bron!$B$8,$T$4=Bron!$B$9,$T$4=Bron!$B$15),'Bouwkost NB'!$AG73,IF($T$4=Bron!$B$10,'Bouwkost UITB'!$AG72,IF($T$4=Bron!$B$11,'Bouwkost VERB'!$AG72,IF($T$4=Bron!$B$12,'Bouwkost IER'!$AG71,IF(OR($T$4=Bron!$B$13,$T$4=Bron!$B$14),'Bouwkost VOLT'!$AG72,IF($T$4=Bron!$C$16,'Bouwkost AK+VERB'!$AG72,0))))))</f>
        <v>0</v>
      </c>
      <c r="V60" s="89">
        <f>IF(OR($V$4=Bron!$B$8,$V$4=Bron!$B$9,$V$4=Bron!$B$15),'Bouwkost NB'!$AG73,IF($V$4=Bron!$B$10,'Bouwkost UITB'!$AG72,IF($V$4=Bron!$B$11,'Bouwkost VERB'!$AG72,IF($V$4=Bron!$B$12,'Bouwkost IER'!$AG71,IF(OR($V$4=Bron!$B$13,$V$4=Bron!$B$14),'Bouwkost VOLT'!$AG72,IF($V$4=Bron!$C$16,'Bouwkost AK+VERB'!$AG72,0))))))</f>
        <v>0</v>
      </c>
      <c r="X60" s="89">
        <f>IF(OR($X$4=Bron!$B$8,$X$4=Bron!$B$9,$X$4=Bron!$B$15),'Bouwkost NB'!$AG73,IF($X$4=Bron!$B$10,'Bouwkost UITB'!$AG72,IF($X$4=Bron!$B$11,'Bouwkost VERB'!$AG72,IF($X$4=Bron!$B$12,'Bouwkost IER'!$AG71,IF(OR($X$4=Bron!$B$13,$X$4=Bron!$B$14),'Bouwkost VOLT'!$AG72,IF($X$4=Bron!$C$16,'Bouwkost AK+VERB'!$AG72,0))))))</f>
        <v>0</v>
      </c>
    </row>
    <row r="61" spans="1:24" x14ac:dyDescent="0.3">
      <c r="A61" s="657" t="s">
        <v>464</v>
      </c>
      <c r="B61" s="89">
        <f>IF(OR($B$4=Bron!$B$8,$B$4=Bron!$B$9,$B$4=Bron!$B$15),'Bouwkost NB'!$K74,IF($B$4=Bron!$B$10,'Bouwkost UITB'!$K73,IF($B$4=Bron!$B$11,'Bouwkost VERB'!$K73,IF($B$4=Bron!$B$12,'Bouwkost IER'!$K72,IF(OR($B$4=Bron!$B$13,$B$4=Bron!$B$14),'Bouwkost VOLT'!$K73,IF($B$4=Bron!$C$16,'Bouwkost AK+VERB'!$K73,0))))))</f>
        <v>0</v>
      </c>
      <c r="D61" s="89">
        <f>IF(OR($D$4=Bron!$B$8,$D$4=Bron!$B$9,$D$4=Bron!$B$15),'Bouwkost NB'!$K74,IF($D$4=Bron!$B$10,'Bouwkost UITB'!$K73,IF($D$4=Bron!$B$11,'Bouwkost VERB'!$K73,IF($D$4=Bron!$B$12,'Bouwkost IER'!$K72,IF(OR($D$4=Bron!$B$13,$D$4=Bron!$B$14),'Bouwkost VOLT'!$K73,IF($D$4=Bron!$C$16,'Bouwkost AK+VERB'!$K73,0))))))</f>
        <v>0</v>
      </c>
      <c r="F61" s="89">
        <f>IF(OR($F$4=Bron!$B$8,$F$4=Bron!$B$9,$F$4=Bron!$B$15),'Bouwkost NB'!$K74,IF($F$4=Bron!$B$10,'Bouwkost UITB'!$K73,IF($F$4=Bron!$B$11,'Bouwkost VERB'!$K73,IF($F$4=Bron!$B$12,'Bouwkost IER'!$K72,IF(OR($F$4=Bron!$B$13,$F$4=Bron!$B$14),'Bouwkost VOLT'!$K73,IF($F$4=Bron!$C$16,'Bouwkost AK+VERB'!$K73,0))))))</f>
        <v>0</v>
      </c>
      <c r="H61" s="89">
        <f>IF(OR($H$4=Bron!$B$8,$H$4=Bron!$B$9,$H$4=Bron!$B$15),'Bouwkost NB'!$K74,IF($H$4=Bron!$B$10,'Bouwkost UITB'!$K73,IF($H$4=Bron!$B$11,'Bouwkost VERB'!$K73,IF($H$4=Bron!$B$12,'Bouwkost IER'!$K72,IF(OR($H$4=Bron!$B$13,$H$4=Bron!$B$14),'Bouwkost VOLT'!$K73,IF($H$4=Bron!$C$16,'Bouwkost AK+VERB'!$K73,0))))))</f>
        <v>0</v>
      </c>
      <c r="J61" s="89">
        <f>IF(OR($J$4=Bron!$B$8,$J$4=Bron!$B$9,$J$4=Bron!$B$15),'Bouwkost NB'!$V74,IF($J$4=Bron!$B$10,'Bouwkost UITB'!$V73,IF($J$4=Bron!$B$11,'Bouwkost VERB'!$V73,IF($J$4=Bron!$B$12,'Bouwkost IER'!$V72,IF(OR($J$4=Bron!$B$13,$J$4=Bron!$B$14),'Bouwkost VOLT'!$V73,IF($J$4=Bron!$C$16,'Bouwkost AK+VERB'!$V73,0))))))</f>
        <v>0</v>
      </c>
      <c r="L61" s="89">
        <f>IF(OR($L$4=Bron!$B$8,$L$4=Bron!$B$9,$L$4=Bron!$B$15),'Bouwkost NB'!$V74,IF($L$4=Bron!$B$10,'Bouwkost UITB'!$V73,IF($L$4=Bron!$B$11,'Bouwkost VERB'!$V73,IF($L$4=Bron!$B$12,'Bouwkost IER'!$V72,IF(OR($L$4=Bron!$B$13,$L$4=Bron!$B$14),'Bouwkost VOLT'!$V73,IF($L$4=Bron!$C$16,'Bouwkost AK+VERB'!$V73,0))))))</f>
        <v>0</v>
      </c>
      <c r="N61" s="89">
        <f>IF(OR($N$4=Bron!$B$8,$N$4=Bron!$B$9,,$N$4=Bron!$B$15),'Bouwkost NB'!$V74,IF($N$4=Bron!$B$10,'Bouwkost UITB'!$V73,IF($N$4=Bron!$B$11,'Bouwkost VERB'!$V73,IF($N$4=Bron!$B$12,'Bouwkost IER'!$V72,IF(OR($N$4=Bron!$B$13,$N$4=Bron!$B$14),'Bouwkost VOLT'!$V73,IF($N$4=Bron!$C$16,'Bouwkost AK+VERB'!$V73,0))))))</f>
        <v>0</v>
      </c>
      <c r="P61" s="89">
        <f>IF(OR($P$4=Bron!$B$8,$P$4=Bron!$B$9,$P$4=Bron!$B$15),'Bouwkost NB'!$V74,IF($P$4=Bron!$B$10,'Bouwkost UITB'!$V73,IF($P$4=Bron!$B$11,'Bouwkost VERB'!$V73,IF($P$4=Bron!$B$12,'Bouwkost IER'!$V72,IF(OR($P$4=Bron!$B$13,$P$4=Bron!$B$14),'Bouwkost VOLT'!$V73,IF($P$4=Bron!$C$16,'Bouwkost AK+VERB'!$V73,0))))))</f>
        <v>0</v>
      </c>
      <c r="R61" s="89">
        <f>IF(OR($R$4=Bron!$B$8,$R$4=Bron!$B$9,$R$4=Bron!$B$15),'Bouwkost NB'!$AG74,IF($R$4=Bron!$B$10,'Bouwkost UITB'!$AG73,IF($R$4=Bron!$B$11,'Bouwkost VERB'!$AG73,IF($R$4=Bron!$B$12,'Bouwkost IER'!$AG72,IF(OR($R$4=Bron!$B$13,$R$4=Bron!$B$14),'Bouwkost VOLT'!$AG73,IF($R$4=Bron!$C$16,'Bouwkost AK+VERB'!$AG73,0))))))</f>
        <v>0</v>
      </c>
      <c r="T61" s="89">
        <f>IF(OR($T$4=Bron!$B$8,$T$4=Bron!$B$9,$T$4=Bron!$B$15),'Bouwkost NB'!$AG74,IF($T$4=Bron!$B$10,'Bouwkost UITB'!$AG73,IF($T$4=Bron!$B$11,'Bouwkost VERB'!$AG73,IF($T$4=Bron!$B$12,'Bouwkost IER'!$AG72,IF(OR($T$4=Bron!$B$13,$T$4=Bron!$B$14),'Bouwkost VOLT'!$AG73,IF($T$4=Bron!$C$16,'Bouwkost AK+VERB'!$AG73,0))))))</f>
        <v>0</v>
      </c>
      <c r="V61" s="89">
        <f>IF(OR($V$4=Bron!$B$8,$V$4=Bron!$B$9,$V$4=Bron!$B$15),'Bouwkost NB'!$AG74,IF($V$4=Bron!$B$10,'Bouwkost UITB'!$AG73,IF($V$4=Bron!$B$11,'Bouwkost VERB'!$AG73,IF($V$4=Bron!$B$12,'Bouwkost IER'!$AG72,IF(OR($V$4=Bron!$B$13,$V$4=Bron!$B$14),'Bouwkost VOLT'!$AG73,IF($V$4=Bron!$C$16,'Bouwkost AK+VERB'!$AG73,0))))))</f>
        <v>0</v>
      </c>
      <c r="X61" s="89">
        <f>IF(OR($X$4=Bron!$B$8,$X$4=Bron!$B$9,$X$4=Bron!$B$15),'Bouwkost NB'!$AG74,IF($X$4=Bron!$B$10,'Bouwkost UITB'!$AG73,IF($X$4=Bron!$B$11,'Bouwkost VERB'!$AG73,IF($X$4=Bron!$B$12,'Bouwkost IER'!$AG72,IF(OR($X$4=Bron!$B$13,$X$4=Bron!$B$14),'Bouwkost VOLT'!$AG73,IF($X$4=Bron!$C$16,'Bouwkost AK+VERB'!$AG73,0))))))</f>
        <v>0</v>
      </c>
    </row>
    <row r="62" spans="1:24" x14ac:dyDescent="0.3">
      <c r="A62" s="636" t="s">
        <v>465</v>
      </c>
      <c r="B62" s="89">
        <f>IF(OR($B$4=Bron!$B$8,$B$4=Bron!$B$9,$B$4=Bron!$B$15),'Bouwkost NB'!$K75,IF($B$4=Bron!$B$10,'Bouwkost UITB'!$K74,IF($B$4=Bron!$B$11,'Bouwkost VERB'!$K74,IF($B$4=Bron!$B$12,'Bouwkost IER'!$K73,IF(OR($B$4=Bron!$B$13,$B$4=Bron!$B$14),'Bouwkost VOLT'!$K74,IF($B$4=Bron!$C$16,'Bouwkost AK+VERB'!$K74,0))))))</f>
        <v>0</v>
      </c>
      <c r="D62" s="89">
        <f>IF(OR($D$4=Bron!$B$8,$D$4=Bron!$B$9,$D$4=Bron!$B$15),'Bouwkost NB'!$K75,IF($D$4=Bron!$B$10,'Bouwkost UITB'!$K74,IF($D$4=Bron!$B$11,'Bouwkost VERB'!$K74,IF($D$4=Bron!$B$12,'Bouwkost IER'!$K73,IF(OR($D$4=Bron!$B$13,$D$4=Bron!$B$14),'Bouwkost VOLT'!$K74,IF($D$4=Bron!$C$16,'Bouwkost AK+VERB'!$K74,0))))))</f>
        <v>0</v>
      </c>
      <c r="F62" s="89">
        <f>IF(OR($F$4=Bron!$B$8,$F$4=Bron!$B$9,$F$4=Bron!$B$15),'Bouwkost NB'!$K75,IF($F$4=Bron!$B$10,'Bouwkost UITB'!$K74,IF($F$4=Bron!$B$11,'Bouwkost VERB'!$K74,IF($F$4=Bron!$B$12,'Bouwkost IER'!$K73,IF(OR($F$4=Bron!$B$13,$F$4=Bron!$B$14),'Bouwkost VOLT'!$K74,IF($F$4=Bron!$C$16,'Bouwkost AK+VERB'!$K74,0))))))</f>
        <v>0</v>
      </c>
      <c r="H62" s="89">
        <f>IF(OR($H$4=Bron!$B$8,$H$4=Bron!$B$9,$H$4=Bron!$B$15),'Bouwkost NB'!$K75,IF($H$4=Bron!$B$10,'Bouwkost UITB'!$K74,IF($H$4=Bron!$B$11,'Bouwkost VERB'!$K74,IF($H$4=Bron!$B$12,'Bouwkost IER'!$K73,IF(OR($H$4=Bron!$B$13,$H$4=Bron!$B$14),'Bouwkost VOLT'!$K74,IF($H$4=Bron!$C$16,'Bouwkost AK+VERB'!$K74,0))))))</f>
        <v>0</v>
      </c>
      <c r="J62" s="89">
        <f>IF(OR($J$4=Bron!$B$8,$J$4=Bron!$B$9,$J$4=Bron!$B$15),'Bouwkost NB'!$V75,IF($J$4=Bron!$B$10,'Bouwkost UITB'!$V74,IF($J$4=Bron!$B$11,'Bouwkost VERB'!$V74,IF($J$4=Bron!$B$12,'Bouwkost IER'!$V73,IF(OR($J$4=Bron!$B$13,$J$4=Bron!$B$14),'Bouwkost VOLT'!$V74,IF($J$4=Bron!$C$16,'Bouwkost AK+VERB'!$V74,0))))))</f>
        <v>0</v>
      </c>
      <c r="L62" s="89">
        <f>IF(OR($L$4=Bron!$B$8,$L$4=Bron!$B$9,$L$4=Bron!$B$15),'Bouwkost NB'!$V75,IF($L$4=Bron!$B$10,'Bouwkost UITB'!$V74,IF($L$4=Bron!$B$11,'Bouwkost VERB'!$V74,IF($L$4=Bron!$B$12,'Bouwkost IER'!$V73,IF(OR($L$4=Bron!$B$13,$L$4=Bron!$B$14),'Bouwkost VOLT'!$V74,IF($L$4=Bron!$C$16,'Bouwkost AK+VERB'!$V74,0))))))</f>
        <v>0</v>
      </c>
      <c r="N62" s="89">
        <f>IF(OR($N$4=Bron!$B$8,$N$4=Bron!$B$9,,$N$4=Bron!$B$15),'Bouwkost NB'!$V75,IF($N$4=Bron!$B$10,'Bouwkost UITB'!$V74,IF($N$4=Bron!$B$11,'Bouwkost VERB'!$V74,IF($N$4=Bron!$B$12,'Bouwkost IER'!$V73,IF(OR($N$4=Bron!$B$13,$N$4=Bron!$B$14),'Bouwkost VOLT'!$V74,IF($N$4=Bron!$C$16,'Bouwkost AK+VERB'!$V74,0))))))</f>
        <v>0</v>
      </c>
      <c r="P62" s="89">
        <f>IF(OR($P$4=Bron!$B$8,$P$4=Bron!$B$9,$P$4=Bron!$B$15),'Bouwkost NB'!$V75,IF($P$4=Bron!$B$10,'Bouwkost UITB'!$V74,IF($P$4=Bron!$B$11,'Bouwkost VERB'!$V74,IF($P$4=Bron!$B$12,'Bouwkost IER'!$V73,IF(OR($P$4=Bron!$B$13,$P$4=Bron!$B$14),'Bouwkost VOLT'!$V74,IF($P$4=Bron!$C$16,'Bouwkost AK+VERB'!$V74,0))))))</f>
        <v>0</v>
      </c>
      <c r="R62" s="89">
        <f>IF(OR($R$4=Bron!$B$8,$R$4=Bron!$B$9,$R$4=Bron!$B$15),'Bouwkost NB'!$AG75,IF($R$4=Bron!$B$10,'Bouwkost UITB'!$AG74,IF($R$4=Bron!$B$11,'Bouwkost VERB'!$AG74,IF($R$4=Bron!$B$12,'Bouwkost IER'!$AG73,IF(OR($R$4=Bron!$B$13,$R$4=Bron!$B$14),'Bouwkost VOLT'!$AG74,IF($R$4=Bron!$C$16,'Bouwkost AK+VERB'!$AG74,0))))))</f>
        <v>0</v>
      </c>
      <c r="T62" s="89">
        <f>IF(OR($T$4=Bron!$B$8,$T$4=Bron!$B$9,$T$4=Bron!$B$15),'Bouwkost NB'!$AG75,IF($T$4=Bron!$B$10,'Bouwkost UITB'!$AG74,IF($T$4=Bron!$B$11,'Bouwkost VERB'!$AG74,IF($T$4=Bron!$B$12,'Bouwkost IER'!$AG73,IF(OR($T$4=Bron!$B$13,$T$4=Bron!$B$14),'Bouwkost VOLT'!$AG74,IF($T$4=Bron!$C$16,'Bouwkost AK+VERB'!$AG74,0))))))</f>
        <v>0</v>
      </c>
      <c r="V62" s="89">
        <f>IF(OR($V$4=Bron!$B$8,$V$4=Bron!$B$9,$V$4=Bron!$B$15),'Bouwkost NB'!$AG75,IF($V$4=Bron!$B$10,'Bouwkost UITB'!$AG74,IF($V$4=Bron!$B$11,'Bouwkost VERB'!$AG74,IF($V$4=Bron!$B$12,'Bouwkost IER'!$AG73,IF(OR($V$4=Bron!$B$13,$V$4=Bron!$B$14),'Bouwkost VOLT'!$AG74,IF($V$4=Bron!$C$16,'Bouwkost AK+VERB'!$AG74,0))))))</f>
        <v>0</v>
      </c>
      <c r="X62" s="89">
        <f>IF(OR($X$4=Bron!$B$8,$X$4=Bron!$B$9,$X$4=Bron!$B$15),'Bouwkost NB'!$AG75,IF($X$4=Bron!$B$10,'Bouwkost UITB'!$AG74,IF($X$4=Bron!$B$11,'Bouwkost VERB'!$AG74,IF($X$4=Bron!$B$12,'Bouwkost IER'!$AG73,IF(OR($X$4=Bron!$B$13,$X$4=Bron!$B$14),'Bouwkost VOLT'!$AG74,IF($X$4=Bron!$C$16,'Bouwkost AK+VERB'!$AG74,0))))))</f>
        <v>0</v>
      </c>
    </row>
    <row r="63" spans="1:24" x14ac:dyDescent="0.3">
      <c r="A63" s="636" t="s">
        <v>466</v>
      </c>
      <c r="B63" s="89">
        <f>IF(OR($B$4=Bron!$B$8,$B$4=Bron!$B$9,$B$4=Bron!$B$15),'Bouwkost NB'!$K76,IF($B$4=Bron!$B$10,'Bouwkost UITB'!$K75,IF($B$4=Bron!$B$11,'Bouwkost VERB'!$K75,IF($B$4=Bron!$B$12,'Bouwkost IER'!$K74,IF(OR($B$4=Bron!$B$13,$B$4=Bron!$B$14),'Bouwkost VOLT'!$K75,IF($B$4=Bron!$C$16,'Bouwkost AK+VERB'!$K75,0))))))</f>
        <v>0</v>
      </c>
      <c r="D63" s="89">
        <f>IF(OR($D$4=Bron!$B$8,$D$4=Bron!$B$9,$D$4=Bron!$B$15),'Bouwkost NB'!$K76,IF($D$4=Bron!$B$10,'Bouwkost UITB'!$K75,IF($D$4=Bron!$B$11,'Bouwkost VERB'!$K75,IF($D$4=Bron!$B$12,'Bouwkost IER'!$K74,IF(OR($D$4=Bron!$B$13,$D$4=Bron!$B$14),'Bouwkost VOLT'!$K75,IF($D$4=Bron!$C$16,'Bouwkost AK+VERB'!$K75,0))))))</f>
        <v>0</v>
      </c>
      <c r="F63" s="89">
        <f>IF(OR($F$4=Bron!$B$8,$F$4=Bron!$B$9,$F$4=Bron!$B$15),'Bouwkost NB'!$K76,IF($F$4=Bron!$B$10,'Bouwkost UITB'!$K75,IF($F$4=Bron!$B$11,'Bouwkost VERB'!$K75,IF($F$4=Bron!$B$12,'Bouwkost IER'!$K74,IF(OR($F$4=Bron!$B$13,$F$4=Bron!$B$14),'Bouwkost VOLT'!$K75,IF($F$4=Bron!$C$16,'Bouwkost AK+VERB'!$K75,0))))))</f>
        <v>0</v>
      </c>
      <c r="H63" s="89">
        <f>IF(OR($H$4=Bron!$B$8,$H$4=Bron!$B$9,$H$4=Bron!$B$15),'Bouwkost NB'!$K76,IF($H$4=Bron!$B$10,'Bouwkost UITB'!$K75,IF($H$4=Bron!$B$11,'Bouwkost VERB'!$K75,IF($H$4=Bron!$B$12,'Bouwkost IER'!$K74,IF(OR($H$4=Bron!$B$13,$H$4=Bron!$B$14),'Bouwkost VOLT'!$K75,IF($H$4=Bron!$C$16,'Bouwkost AK+VERB'!$K75,0))))))</f>
        <v>0</v>
      </c>
      <c r="J63" s="89">
        <f>IF(OR($J$4=Bron!$B$8,$J$4=Bron!$B$9,$J$4=Bron!$B$15),'Bouwkost NB'!$V76,IF($J$4=Bron!$B$10,'Bouwkost UITB'!$V75,IF($J$4=Bron!$B$11,'Bouwkost VERB'!$V75,IF($J$4=Bron!$B$12,'Bouwkost IER'!$V74,IF(OR($J$4=Bron!$B$13,$J$4=Bron!$B$14),'Bouwkost VOLT'!$V75,IF($J$4=Bron!$C$16,'Bouwkost AK+VERB'!$V75,0))))))</f>
        <v>0</v>
      </c>
      <c r="L63" s="89">
        <f>IF(OR($L$4=Bron!$B$8,$L$4=Bron!$B$9,$L$4=Bron!$B$15),'Bouwkost NB'!$V76,IF($L$4=Bron!$B$10,'Bouwkost UITB'!$V75,IF($L$4=Bron!$B$11,'Bouwkost VERB'!$V75,IF($L$4=Bron!$B$12,'Bouwkost IER'!$V74,IF(OR($L$4=Bron!$B$13,$L$4=Bron!$B$14),'Bouwkost VOLT'!$V75,IF($L$4=Bron!$C$16,'Bouwkost AK+VERB'!$V75,0))))))</f>
        <v>0</v>
      </c>
      <c r="N63" s="89">
        <f>IF(OR($N$4=Bron!$B$8,$N$4=Bron!$B$9,,$N$4=Bron!$B$15),'Bouwkost NB'!$V76,IF($N$4=Bron!$B$10,'Bouwkost UITB'!$V75,IF($N$4=Bron!$B$11,'Bouwkost VERB'!$V75,IF($N$4=Bron!$B$12,'Bouwkost IER'!$V74,IF(OR($N$4=Bron!$B$13,$N$4=Bron!$B$14),'Bouwkost VOLT'!$V75,IF($N$4=Bron!$C$16,'Bouwkost AK+VERB'!$V75,0))))))</f>
        <v>0</v>
      </c>
      <c r="P63" s="89">
        <f>IF(OR($P$4=Bron!$B$8,$P$4=Bron!$B$9,$P$4=Bron!$B$15),'Bouwkost NB'!$V76,IF($P$4=Bron!$B$10,'Bouwkost UITB'!$V75,IF($P$4=Bron!$B$11,'Bouwkost VERB'!$V75,IF($P$4=Bron!$B$12,'Bouwkost IER'!$V74,IF(OR($P$4=Bron!$B$13,$P$4=Bron!$B$14),'Bouwkost VOLT'!$V75,IF($P$4=Bron!$C$16,'Bouwkost AK+VERB'!$V75,0))))))</f>
        <v>0</v>
      </c>
      <c r="R63" s="89">
        <f>IF(OR($R$4=Bron!$B$8,$R$4=Bron!$B$9,$R$4=Bron!$B$15),'Bouwkost NB'!$AG76,IF($R$4=Bron!$B$10,'Bouwkost UITB'!$AG75,IF($R$4=Bron!$B$11,'Bouwkost VERB'!$AG75,IF($R$4=Bron!$B$12,'Bouwkost IER'!$AG74,IF(OR($R$4=Bron!$B$13,$R$4=Bron!$B$14),'Bouwkost VOLT'!$AG75,IF($R$4=Bron!$C$16,'Bouwkost AK+VERB'!$AG75,0))))))</f>
        <v>0</v>
      </c>
      <c r="T63" s="89">
        <f>IF(OR($T$4=Bron!$B$8,$T$4=Bron!$B$9,$T$4=Bron!$B$15),'Bouwkost NB'!$AG76,IF($T$4=Bron!$B$10,'Bouwkost UITB'!$AG75,IF($T$4=Bron!$B$11,'Bouwkost VERB'!$AG75,IF($T$4=Bron!$B$12,'Bouwkost IER'!$AG74,IF(OR($T$4=Bron!$B$13,$T$4=Bron!$B$14),'Bouwkost VOLT'!$AG75,IF($T$4=Bron!$C$16,'Bouwkost AK+VERB'!$AG75,0))))))</f>
        <v>0</v>
      </c>
      <c r="V63" s="89">
        <f>IF(OR($V$4=Bron!$B$8,$V$4=Bron!$B$9,$V$4=Bron!$B$15),'Bouwkost NB'!$AG76,IF($V$4=Bron!$B$10,'Bouwkost UITB'!$AG75,IF($V$4=Bron!$B$11,'Bouwkost VERB'!$AG75,IF($V$4=Bron!$B$12,'Bouwkost IER'!$AG74,IF(OR($V$4=Bron!$B$13,$V$4=Bron!$B$14),'Bouwkost VOLT'!$AG75,IF($V$4=Bron!$C$16,'Bouwkost AK+VERB'!$AG75,0))))))</f>
        <v>0</v>
      </c>
      <c r="X63" s="89">
        <f>IF(OR($X$4=Bron!$B$8,$X$4=Bron!$B$9,$X$4=Bron!$B$15),'Bouwkost NB'!$AG76,IF($X$4=Bron!$B$10,'Bouwkost UITB'!$AG75,IF($X$4=Bron!$B$11,'Bouwkost VERB'!$AG75,IF($X$4=Bron!$B$12,'Bouwkost IER'!$AG74,IF(OR($X$4=Bron!$B$13,$X$4=Bron!$B$14),'Bouwkost VOLT'!$AG75,IF($X$4=Bron!$C$16,'Bouwkost AK+VERB'!$AG75,0))))))</f>
        <v>0</v>
      </c>
    </row>
    <row r="64" spans="1:24" x14ac:dyDescent="0.3">
      <c r="A64" s="636" t="s">
        <v>467</v>
      </c>
      <c r="B64" s="89">
        <f>IF(OR($B$4=Bron!$B$8,$B$4=Bron!$B$9,$B$4=Bron!$B$15),'Bouwkost NB'!$K77,IF($B$4=Bron!$B$10,'Bouwkost UITB'!$K76,IF($B$4=Bron!$B$11,'Bouwkost VERB'!$K76,IF($B$4=Bron!$B$12,'Bouwkost IER'!$K75,IF(OR($B$4=Bron!$B$13,$B$4=Bron!$B$14),'Bouwkost VOLT'!$K76,IF($B$4=Bron!$C$16,'Bouwkost AK+VERB'!$K76,0))))))</f>
        <v>0</v>
      </c>
      <c r="D64" s="89">
        <f>IF(OR($D$4=Bron!$B$8,$D$4=Bron!$B$9,$D$4=Bron!$B$15),'Bouwkost NB'!$K77,IF($D$4=Bron!$B$10,'Bouwkost UITB'!$K76,IF($D$4=Bron!$B$11,'Bouwkost VERB'!$K76,IF($D$4=Bron!$B$12,'Bouwkost IER'!$K75,IF(OR($D$4=Bron!$B$13,$D$4=Bron!$B$14),'Bouwkost VOLT'!$K76,IF($D$4=Bron!$C$16,'Bouwkost AK+VERB'!$K76,0))))))</f>
        <v>0</v>
      </c>
      <c r="F64" s="89">
        <f>IF(OR($F$4=Bron!$B$8,$F$4=Bron!$B$9,$F$4=Bron!$B$15),'Bouwkost NB'!$K77,IF($F$4=Bron!$B$10,'Bouwkost UITB'!$K76,IF($F$4=Bron!$B$11,'Bouwkost VERB'!$K76,IF($F$4=Bron!$B$12,'Bouwkost IER'!$K75,IF(OR($F$4=Bron!$B$13,$F$4=Bron!$B$14),'Bouwkost VOLT'!$K76,IF($F$4=Bron!$C$16,'Bouwkost AK+VERB'!$K76,0))))))</f>
        <v>0</v>
      </c>
      <c r="H64" s="89">
        <f>IF(OR($H$4=Bron!$B$8,$H$4=Bron!$B$9,$H$4=Bron!$B$15),'Bouwkost NB'!$K77,IF($H$4=Bron!$B$10,'Bouwkost UITB'!$K76,IF($H$4=Bron!$B$11,'Bouwkost VERB'!$K76,IF($H$4=Bron!$B$12,'Bouwkost IER'!$K75,IF(OR($H$4=Bron!$B$13,$H$4=Bron!$B$14),'Bouwkost VOLT'!$K76,IF($H$4=Bron!$C$16,'Bouwkost AK+VERB'!$K76,0))))))</f>
        <v>0</v>
      </c>
      <c r="J64" s="89">
        <f>IF(OR($J$4=Bron!$B$8,$J$4=Bron!$B$9,$J$4=Bron!$B$15),'Bouwkost NB'!$V77,IF($J$4=Bron!$B$10,'Bouwkost UITB'!$V76,IF($J$4=Bron!$B$11,'Bouwkost VERB'!$V76,IF($J$4=Bron!$B$12,'Bouwkost IER'!$V75,IF(OR($J$4=Bron!$B$13,$J$4=Bron!$B$14),'Bouwkost VOLT'!$V76,IF($J$4=Bron!$C$16,'Bouwkost AK+VERB'!$V76,0))))))</f>
        <v>0</v>
      </c>
      <c r="L64" s="89">
        <f>IF(OR($L$4=Bron!$B$8,$L$4=Bron!$B$9,$L$4=Bron!$B$15),'Bouwkost NB'!$V77,IF($L$4=Bron!$B$10,'Bouwkost UITB'!$V76,IF($L$4=Bron!$B$11,'Bouwkost VERB'!$V76,IF($L$4=Bron!$B$12,'Bouwkost IER'!$V75,IF(OR($L$4=Bron!$B$13,$L$4=Bron!$B$14),'Bouwkost VOLT'!$V76,IF($L$4=Bron!$C$16,'Bouwkost AK+VERB'!$V76,0))))))</f>
        <v>0</v>
      </c>
      <c r="N64" s="89">
        <f>IF(OR($N$4=Bron!$B$8,$N$4=Bron!$B$9,,$N$4=Bron!$B$15),'Bouwkost NB'!$V77,IF($N$4=Bron!$B$10,'Bouwkost UITB'!$V76,IF($N$4=Bron!$B$11,'Bouwkost VERB'!$V76,IF($N$4=Bron!$B$12,'Bouwkost IER'!$V75,IF(OR($N$4=Bron!$B$13,$N$4=Bron!$B$14),'Bouwkost VOLT'!$V76,IF($N$4=Bron!$C$16,'Bouwkost AK+VERB'!$V76,0))))))</f>
        <v>0</v>
      </c>
      <c r="P64" s="89">
        <f>IF(OR($P$4=Bron!$B$8,$P$4=Bron!$B$9,$P$4=Bron!$B$15),'Bouwkost NB'!$V77,IF($P$4=Bron!$B$10,'Bouwkost UITB'!$V76,IF($P$4=Bron!$B$11,'Bouwkost VERB'!$V76,IF($P$4=Bron!$B$12,'Bouwkost IER'!$V75,IF(OR($P$4=Bron!$B$13,$P$4=Bron!$B$14),'Bouwkost VOLT'!$V76,IF($P$4=Bron!$C$16,'Bouwkost AK+VERB'!$V76,0))))))</f>
        <v>0</v>
      </c>
      <c r="R64" s="89">
        <f>IF(OR($R$4=Bron!$B$8,$R$4=Bron!$B$9,$R$4=Bron!$B$15),'Bouwkost NB'!$AG77,IF($R$4=Bron!$B$10,'Bouwkost UITB'!$AG76,IF($R$4=Bron!$B$11,'Bouwkost VERB'!$AG76,IF($R$4=Bron!$B$12,'Bouwkost IER'!$AG75,IF(OR($R$4=Bron!$B$13,$R$4=Bron!$B$14),'Bouwkost VOLT'!$AG76,IF($R$4=Bron!$C$16,'Bouwkost AK+VERB'!$AG76,0))))))</f>
        <v>0</v>
      </c>
      <c r="T64" s="89">
        <f>IF(OR($T$4=Bron!$B$8,$T$4=Bron!$B$9,$T$4=Bron!$B$15),'Bouwkost NB'!$AG77,IF($T$4=Bron!$B$10,'Bouwkost UITB'!$AG76,IF($T$4=Bron!$B$11,'Bouwkost VERB'!$AG76,IF($T$4=Bron!$B$12,'Bouwkost IER'!$AG75,IF(OR($T$4=Bron!$B$13,$T$4=Bron!$B$14),'Bouwkost VOLT'!$AG76,IF($T$4=Bron!$C$16,'Bouwkost AK+VERB'!$AG76,0))))))</f>
        <v>0</v>
      </c>
      <c r="V64" s="89">
        <f>IF(OR($V$4=Bron!$B$8,$V$4=Bron!$B$9,$V$4=Bron!$B$15),'Bouwkost NB'!$AG77,IF($V$4=Bron!$B$10,'Bouwkost UITB'!$AG76,IF($V$4=Bron!$B$11,'Bouwkost VERB'!$AG76,IF($V$4=Bron!$B$12,'Bouwkost IER'!$AG75,IF(OR($V$4=Bron!$B$13,$V$4=Bron!$B$14),'Bouwkost VOLT'!$AG76,IF($V$4=Bron!$C$16,'Bouwkost AK+VERB'!$AG76,0))))))</f>
        <v>0</v>
      </c>
      <c r="X64" s="89">
        <f>IF(OR($X$4=Bron!$B$8,$X$4=Bron!$B$9,$X$4=Bron!$B$15),'Bouwkost NB'!$AG77,IF($X$4=Bron!$B$10,'Bouwkost UITB'!$AG76,IF($X$4=Bron!$B$11,'Bouwkost VERB'!$AG76,IF($X$4=Bron!$B$12,'Bouwkost IER'!$AG75,IF(OR($X$4=Bron!$B$13,$X$4=Bron!$B$14),'Bouwkost VOLT'!$AG76,IF($X$4=Bron!$C$16,'Bouwkost AK+VERB'!$AG76,0))))))</f>
        <v>0</v>
      </c>
    </row>
    <row r="65" spans="1:27" x14ac:dyDescent="0.3">
      <c r="A65" s="637" t="s">
        <v>468</v>
      </c>
      <c r="B65" s="89">
        <f>IF(OR($B$4=Bron!$B$8,$B$4=Bron!$B$9,$B$4=Bron!$B$15),'Bouwkost NB'!$K78,IF($B$4=Bron!$B$10,'Bouwkost UITB'!$K77,IF($B$4=Bron!$B$11,'Bouwkost VERB'!$K77,IF($B$4=Bron!$B$12,'Bouwkost IER'!$K76,IF(OR($B$4=Bron!$B$13,$B$4=Bron!$B$14),'Bouwkost VOLT'!$K77,IF($B$4=Bron!$C$16,'Bouwkost AK+VERB'!$K77,0))))))</f>
        <v>0</v>
      </c>
      <c r="D65" s="89">
        <f>IF(OR($D$4=Bron!$B$8,$D$4=Bron!$B$9,$D$4=Bron!$B$15),'Bouwkost NB'!$K78,IF($D$4=Bron!$B$10,'Bouwkost UITB'!$K77,IF($D$4=Bron!$B$11,'Bouwkost VERB'!$K77,IF($D$4=Bron!$B$12,'Bouwkost IER'!$K76,IF(OR($D$4=Bron!$B$13,$D$4=Bron!$B$14),'Bouwkost VOLT'!$K77,IF($D$4=Bron!$C$16,'Bouwkost AK+VERB'!$K77,0))))))</f>
        <v>0</v>
      </c>
      <c r="F65" s="89">
        <f>IF(OR($F$4=Bron!$B$8,$F$4=Bron!$B$9,$F$4=Bron!$B$15),'Bouwkost NB'!$K78,IF($F$4=Bron!$B$10,'Bouwkost UITB'!$K77,IF($F$4=Bron!$B$11,'Bouwkost VERB'!$K77,IF($F$4=Bron!$B$12,'Bouwkost IER'!$K76,IF(OR($F$4=Bron!$B$13,$F$4=Bron!$B$14),'Bouwkost VOLT'!$K77,IF($F$4=Bron!$C$16,'Bouwkost AK+VERB'!$K77,0))))))</f>
        <v>0</v>
      </c>
      <c r="H65" s="89">
        <f>IF(OR($H$4=Bron!$B$8,$H$4=Bron!$B$9,$H$4=Bron!$B$15),'Bouwkost NB'!$K78,IF($H$4=Bron!$B$10,'Bouwkost UITB'!$K77,IF($H$4=Bron!$B$11,'Bouwkost VERB'!$K77,IF($H$4=Bron!$B$12,'Bouwkost IER'!$K76,IF(OR($H$4=Bron!$B$13,$H$4=Bron!$B$14),'Bouwkost VOLT'!$K77,IF($H$4=Bron!$C$16,'Bouwkost AK+VERB'!$K77,0))))))</f>
        <v>0</v>
      </c>
      <c r="J65" s="89">
        <f>IF(OR($J$4=Bron!$B$8,$J$4=Bron!$B$9,$J$4=Bron!$B$15),'Bouwkost NB'!$V78,IF($J$4=Bron!$B$10,'Bouwkost UITB'!$V77,IF($J$4=Bron!$B$11,'Bouwkost VERB'!$V77,IF($J$4=Bron!$B$12,'Bouwkost IER'!$V76,IF(OR($J$4=Bron!$B$13,$J$4=Bron!$B$14),'Bouwkost VOLT'!$V77,IF($J$4=Bron!$C$16,'Bouwkost AK+VERB'!$V77,0))))))</f>
        <v>0</v>
      </c>
      <c r="L65" s="89">
        <f>IF(OR($L$4=Bron!$B$8,$L$4=Bron!$B$9,$L$4=Bron!$B$15),'Bouwkost NB'!$V78,IF($L$4=Bron!$B$10,'Bouwkost UITB'!$V77,IF($L$4=Bron!$B$11,'Bouwkost VERB'!$V77,IF($L$4=Bron!$B$12,'Bouwkost IER'!$V76,IF(OR($L$4=Bron!$B$13,$L$4=Bron!$B$14),'Bouwkost VOLT'!$V77,IF($L$4=Bron!$C$16,'Bouwkost AK+VERB'!$V77,0))))))</f>
        <v>0</v>
      </c>
      <c r="N65" s="89">
        <f>IF(OR($N$4=Bron!$B$8,$N$4=Bron!$B$9,,$N$4=Bron!$B$15),'Bouwkost NB'!$V78,IF($N$4=Bron!$B$10,'Bouwkost UITB'!$V77,IF($N$4=Bron!$B$11,'Bouwkost VERB'!$V77,IF($N$4=Bron!$B$12,'Bouwkost IER'!$V76,IF(OR($N$4=Bron!$B$13,$N$4=Bron!$B$14),'Bouwkost VOLT'!$V77,IF($N$4=Bron!$C$16,'Bouwkost AK+VERB'!$V77,0))))))</f>
        <v>0</v>
      </c>
      <c r="P65" s="89">
        <f>IF(OR($P$4=Bron!$B$8,$P$4=Bron!$B$9,$P$4=Bron!$B$15),'Bouwkost NB'!$V78,IF($P$4=Bron!$B$10,'Bouwkost UITB'!$V77,IF($P$4=Bron!$B$11,'Bouwkost VERB'!$V77,IF($P$4=Bron!$B$12,'Bouwkost IER'!$V76,IF(OR($P$4=Bron!$B$13,$P$4=Bron!$B$14),'Bouwkost VOLT'!$V77,IF($P$4=Bron!$C$16,'Bouwkost AK+VERB'!$V77,0))))))</f>
        <v>0</v>
      </c>
      <c r="R65" s="89">
        <f>IF(OR($R$4=Bron!$B$8,$R$4=Bron!$B$9,$R$4=Bron!$B$15),'Bouwkost NB'!$AG78,IF($R$4=Bron!$B$10,'Bouwkost UITB'!$AG77,IF($R$4=Bron!$B$11,'Bouwkost VERB'!$AG77,IF($R$4=Bron!$B$12,'Bouwkost IER'!$AG76,IF(OR($R$4=Bron!$B$13,$R$4=Bron!$B$14),'Bouwkost VOLT'!$AG77,IF($R$4=Bron!$C$16,'Bouwkost AK+VERB'!$AG77,0))))))</f>
        <v>0</v>
      </c>
      <c r="T65" s="89">
        <f>IF(OR($T$4=Bron!$B$8,$T$4=Bron!$B$9,$T$4=Bron!$B$15),'Bouwkost NB'!$AG78,IF($T$4=Bron!$B$10,'Bouwkost UITB'!$AG77,IF($T$4=Bron!$B$11,'Bouwkost VERB'!$AG77,IF($T$4=Bron!$B$12,'Bouwkost IER'!$AG76,IF(OR($T$4=Bron!$B$13,$T$4=Bron!$B$14),'Bouwkost VOLT'!$AG77,IF($T$4=Bron!$C$16,'Bouwkost AK+VERB'!$AG77,0))))))</f>
        <v>0</v>
      </c>
      <c r="V65" s="89">
        <f>IF(OR($V$4=Bron!$B$8,$V$4=Bron!$B$9,$V$4=Bron!$B$15),'Bouwkost NB'!$AG78,IF($V$4=Bron!$B$10,'Bouwkost UITB'!$AG77,IF($V$4=Bron!$B$11,'Bouwkost VERB'!$AG77,IF($V$4=Bron!$B$12,'Bouwkost IER'!$AG76,IF(OR($V$4=Bron!$B$13,$V$4=Bron!$B$14),'Bouwkost VOLT'!$AG77,IF($V$4=Bron!$C$16,'Bouwkost AK+VERB'!$AG77,0))))))</f>
        <v>0</v>
      </c>
      <c r="X65" s="89">
        <f>IF(OR($X$4=Bron!$B$8,$X$4=Bron!$B$9,$X$4=Bron!$B$15),'Bouwkost NB'!$AG78,IF($X$4=Bron!$B$10,'Bouwkost UITB'!$AG77,IF($X$4=Bron!$B$11,'Bouwkost VERB'!$AG77,IF($X$4=Bron!$B$12,'Bouwkost IER'!$AG76,IF(OR($X$4=Bron!$B$13,$X$4=Bron!$B$14),'Bouwkost VOLT'!$AG77,IF($X$4=Bron!$C$16,'Bouwkost AK+VERB'!$AG77,0))))))</f>
        <v>0</v>
      </c>
    </row>
    <row r="66" spans="1:27" x14ac:dyDescent="0.3">
      <c r="A66" s="637" t="s">
        <v>469</v>
      </c>
      <c r="B66" s="89">
        <f>IF(OR($B$4=Bron!$B$8,$B$4=Bron!$B$9,$B$4=Bron!$B$15),'Bouwkost NB'!$K79,IF($B$4=Bron!$B$10,'Bouwkost UITB'!$K78,IF($B$4=Bron!$B$11,'Bouwkost VERB'!$K78,IF($B$4=Bron!$B$12,'Bouwkost IER'!$K77,IF(OR($B$4=Bron!$B$13,$B$4=Bron!$B$14),'Bouwkost VOLT'!$K78,IF($B$4=Bron!$C$16,'Bouwkost AK+VERB'!$K78,0))))))</f>
        <v>0</v>
      </c>
      <c r="D66" s="89">
        <f>IF(OR($D$4=Bron!$B$8,$D$4=Bron!$B$9,$D$4=Bron!$B$15),'Bouwkost NB'!$K79,IF($D$4=Bron!$B$10,'Bouwkost UITB'!$K78,IF($D$4=Bron!$B$11,'Bouwkost VERB'!$K78,IF($D$4=Bron!$B$12,'Bouwkost IER'!$K77,IF(OR($D$4=Bron!$B$13,$D$4=Bron!$B$14),'Bouwkost VOLT'!$K78,IF($D$4=Bron!$C$16,'Bouwkost AK+VERB'!$K78,0))))))</f>
        <v>0</v>
      </c>
      <c r="F66" s="89">
        <f>IF(OR($F$4=Bron!$B$8,$F$4=Bron!$B$9,$F$4=Bron!$B$15),'Bouwkost NB'!$K79,IF($F$4=Bron!$B$10,'Bouwkost UITB'!$K78,IF($F$4=Bron!$B$11,'Bouwkost VERB'!$K78,IF($F$4=Bron!$B$12,'Bouwkost IER'!$K77,IF(OR($F$4=Bron!$B$13,$F$4=Bron!$B$14),'Bouwkost VOLT'!$K78,IF($F$4=Bron!$C$16,'Bouwkost AK+VERB'!$K78,0))))))</f>
        <v>0</v>
      </c>
      <c r="H66" s="89">
        <f>IF(OR($H$4=Bron!$B$8,$H$4=Bron!$B$9,$H$4=Bron!$B$15),'Bouwkost NB'!$K79,IF($H$4=Bron!$B$10,'Bouwkost UITB'!$K78,IF($H$4=Bron!$B$11,'Bouwkost VERB'!$K78,IF($H$4=Bron!$B$12,'Bouwkost IER'!$K77,IF(OR($H$4=Bron!$B$13,$H$4=Bron!$B$14),'Bouwkost VOLT'!$K78,IF($H$4=Bron!$C$16,'Bouwkost AK+VERB'!$K78,0))))))</f>
        <v>0</v>
      </c>
      <c r="J66" s="89">
        <f>IF(OR($J$4=Bron!$B$8,$J$4=Bron!$B$9,$J$4=Bron!$B$15),'Bouwkost NB'!$V79,IF($J$4=Bron!$B$10,'Bouwkost UITB'!$V78,IF($J$4=Bron!$B$11,'Bouwkost VERB'!$V78,IF($J$4=Bron!$B$12,'Bouwkost IER'!$V77,IF(OR($J$4=Bron!$B$13,$J$4=Bron!$B$14),'Bouwkost VOLT'!$V78,IF($J$4=Bron!$C$16,'Bouwkost AK+VERB'!$V78,0))))))</f>
        <v>0</v>
      </c>
      <c r="L66" s="89">
        <f>IF(OR($L$4=Bron!$B$8,$L$4=Bron!$B$9,$L$4=Bron!$B$15),'Bouwkost NB'!$V79,IF($L$4=Bron!$B$10,'Bouwkost UITB'!$V78,IF($L$4=Bron!$B$11,'Bouwkost VERB'!$V78,IF($L$4=Bron!$B$12,'Bouwkost IER'!$V77,IF(OR($L$4=Bron!$B$13,$L$4=Bron!$B$14),'Bouwkost VOLT'!$V78,IF($L$4=Bron!$C$16,'Bouwkost AK+VERB'!$V78,0))))))</f>
        <v>0</v>
      </c>
      <c r="N66" s="89">
        <f>IF(OR($N$4=Bron!$B$8,$N$4=Bron!$B$9,,$N$4=Bron!$B$15),'Bouwkost NB'!$V79,IF($N$4=Bron!$B$10,'Bouwkost UITB'!$V78,IF($N$4=Bron!$B$11,'Bouwkost VERB'!$V78,IF($N$4=Bron!$B$12,'Bouwkost IER'!$V77,IF(OR($N$4=Bron!$B$13,$N$4=Bron!$B$14),'Bouwkost VOLT'!$V78,IF($N$4=Bron!$C$16,'Bouwkost AK+VERB'!$V78,0))))))</f>
        <v>0</v>
      </c>
      <c r="P66" s="89">
        <f>IF(OR($P$4=Bron!$B$8,$P$4=Bron!$B$9,$P$4=Bron!$B$15),'Bouwkost NB'!$V79,IF($P$4=Bron!$B$10,'Bouwkost UITB'!$V78,IF($P$4=Bron!$B$11,'Bouwkost VERB'!$V78,IF($P$4=Bron!$B$12,'Bouwkost IER'!$V77,IF(OR($P$4=Bron!$B$13,$P$4=Bron!$B$14),'Bouwkost VOLT'!$V78,IF($P$4=Bron!$C$16,'Bouwkost AK+VERB'!$V78,0))))))</f>
        <v>0</v>
      </c>
      <c r="R66" s="89">
        <f>IF(OR($R$4=Bron!$B$8,$R$4=Bron!$B$9,$R$4=Bron!$B$15),'Bouwkost NB'!$AG79,IF($R$4=Bron!$B$10,'Bouwkost UITB'!$AG78,IF($R$4=Bron!$B$11,'Bouwkost VERB'!$AG78,IF($R$4=Bron!$B$12,'Bouwkost IER'!$AG77,IF(OR($R$4=Bron!$B$13,$R$4=Bron!$B$14),'Bouwkost VOLT'!$AG78,IF($R$4=Bron!$C$16,'Bouwkost AK+VERB'!$AG78,0))))))</f>
        <v>0</v>
      </c>
      <c r="T66" s="89">
        <f>IF(OR($T$4=Bron!$B$8,$T$4=Bron!$B$9,$T$4=Bron!$B$15),'Bouwkost NB'!$AG79,IF($T$4=Bron!$B$10,'Bouwkost UITB'!$AG78,IF($T$4=Bron!$B$11,'Bouwkost VERB'!$AG78,IF($T$4=Bron!$B$12,'Bouwkost IER'!$AG77,IF(OR($T$4=Bron!$B$13,$T$4=Bron!$B$14),'Bouwkost VOLT'!$AG78,IF($T$4=Bron!$C$16,'Bouwkost AK+VERB'!$AG78,0))))))</f>
        <v>0</v>
      </c>
      <c r="V66" s="89">
        <f>IF(OR($V$4=Bron!$B$8,$V$4=Bron!$B$9,$V$4=Bron!$B$15),'Bouwkost NB'!$AG79,IF($V$4=Bron!$B$10,'Bouwkost UITB'!$AG78,IF($V$4=Bron!$B$11,'Bouwkost VERB'!$AG78,IF($V$4=Bron!$B$12,'Bouwkost IER'!$AG77,IF(OR($V$4=Bron!$B$13,$V$4=Bron!$B$14),'Bouwkost VOLT'!$AG78,IF($V$4=Bron!$C$16,'Bouwkost AK+VERB'!$AG78,0))))))</f>
        <v>0</v>
      </c>
      <c r="X66" s="89">
        <f>IF(OR($X$4=Bron!$B$8,$X$4=Bron!$B$9,$X$4=Bron!$B$15),'Bouwkost NB'!$AG79,IF($X$4=Bron!$B$10,'Bouwkost UITB'!$AG78,IF($X$4=Bron!$B$11,'Bouwkost VERB'!$AG78,IF($X$4=Bron!$B$12,'Bouwkost IER'!$AG77,IF(OR($X$4=Bron!$B$13,$X$4=Bron!$B$14),'Bouwkost VOLT'!$AG78,IF($X$4=Bron!$C$16,'Bouwkost AK+VERB'!$AG78,0))))))</f>
        <v>0</v>
      </c>
    </row>
    <row r="67" spans="1:27" x14ac:dyDescent="0.3">
      <c r="A67" s="638" t="s">
        <v>431</v>
      </c>
      <c r="B67" s="89">
        <f>IF(OR($B$4=Bron!$B$8,$B$4=Bron!$B$9,$B$4=Bron!$B$15),'Bouwkost NB'!$K80,IF($B$4=Bron!$B$10,'Bouwkost UITB'!$K79,IF($B$4=Bron!$B$11,'Bouwkost VERB'!$K79,IF($B$4=Bron!$B$12,'Bouwkost IER'!$K78,IF(OR($B$4=Bron!$B$13,$B$4=Bron!$B$14),'Bouwkost VOLT'!$K79,IF($B$4=Bron!$C$16,'Bouwkost AK+VERB'!$K79,0))))))</f>
        <v>0</v>
      </c>
      <c r="D67" s="89">
        <f>IF(OR($D$4=Bron!$B$8,$D$4=Bron!$B$9,$D$4=Bron!$B$15),'Bouwkost NB'!$K80,IF($D$4=Bron!$B$10,'Bouwkost UITB'!$K79,IF($D$4=Bron!$B$11,'Bouwkost VERB'!$K79,IF($D$4=Bron!$B$12,'Bouwkost IER'!$K78,IF(OR($D$4=Bron!$B$13,$D$4=Bron!$B$14),'Bouwkost VOLT'!$K79,IF($D$4=Bron!$C$16,'Bouwkost AK+VERB'!$K79,0))))))</f>
        <v>0</v>
      </c>
      <c r="F67" s="89">
        <f>IF(OR($F$4=Bron!$B$8,$F$4=Bron!$B$9,$F$4=Bron!$B$15),'Bouwkost NB'!$K80,IF($F$4=Bron!$B$10,'Bouwkost UITB'!$K79,IF($F$4=Bron!$B$11,'Bouwkost VERB'!$K79,IF($F$4=Bron!$B$12,'Bouwkost IER'!$K78,IF(OR($F$4=Bron!$B$13,$F$4=Bron!$B$14),'Bouwkost VOLT'!$K79,IF($F$4=Bron!$C$16,'Bouwkost AK+VERB'!$K79,0))))))</f>
        <v>0</v>
      </c>
      <c r="H67" s="89">
        <f>IF(OR($H$4=Bron!$B$8,$H$4=Bron!$B$9,$H$4=Bron!$B$15),'Bouwkost NB'!$K80,IF($H$4=Bron!$B$10,'Bouwkost UITB'!$K79,IF($H$4=Bron!$B$11,'Bouwkost VERB'!$K79,IF($H$4=Bron!$B$12,'Bouwkost IER'!$K78,IF(OR($H$4=Bron!$B$13,$H$4=Bron!$B$14),'Bouwkost VOLT'!$K79,IF($H$4=Bron!$C$16,'Bouwkost AK+VERB'!$K79,0))))))</f>
        <v>0</v>
      </c>
      <c r="J67" s="89">
        <f>IF(OR($J$4=Bron!$B$8,$J$4=Bron!$B$9,$J$4=Bron!$B$15),'Bouwkost NB'!$V80,IF($J$4=Bron!$B$10,'Bouwkost UITB'!$V79,IF($J$4=Bron!$B$11,'Bouwkost VERB'!$V79,IF($J$4=Bron!$B$12,'Bouwkost IER'!$V78,IF(OR($J$4=Bron!$B$13,$J$4=Bron!$B$14),'Bouwkost VOLT'!$V79,IF($J$4=Bron!$C$16,'Bouwkost AK+VERB'!$V79,0))))))</f>
        <v>0</v>
      </c>
      <c r="L67" s="89">
        <f>IF(OR($L$4=Bron!$B$8,$L$4=Bron!$B$9,$L$4=Bron!$B$15),'Bouwkost NB'!$V80,IF($L$4=Bron!$B$10,'Bouwkost UITB'!$V79,IF($L$4=Bron!$B$11,'Bouwkost VERB'!$V79,IF($L$4=Bron!$B$12,'Bouwkost IER'!$V78,IF(OR($L$4=Bron!$B$13,$L$4=Bron!$B$14),'Bouwkost VOLT'!$V79,IF($L$4=Bron!$C$16,'Bouwkost AK+VERB'!$V79,0))))))</f>
        <v>0</v>
      </c>
      <c r="N67" s="89">
        <f>IF(OR($N$4=Bron!$B$8,$N$4=Bron!$B$9,,$N$4=Bron!$B$15),'Bouwkost NB'!$V80,IF($N$4=Bron!$B$10,'Bouwkost UITB'!$V79,IF($N$4=Bron!$B$11,'Bouwkost VERB'!$V79,IF($N$4=Bron!$B$12,'Bouwkost IER'!$V78,IF(OR($N$4=Bron!$B$13,$N$4=Bron!$B$14),'Bouwkost VOLT'!$V79,IF($N$4=Bron!$C$16,'Bouwkost AK+VERB'!$V79,0))))))</f>
        <v>0</v>
      </c>
      <c r="P67" s="89">
        <f>IF(OR($P$4=Bron!$B$8,$P$4=Bron!$B$9,$P$4=Bron!$B$15),'Bouwkost NB'!$V80,IF($P$4=Bron!$B$10,'Bouwkost UITB'!$V79,IF($P$4=Bron!$B$11,'Bouwkost VERB'!$V79,IF($P$4=Bron!$B$12,'Bouwkost IER'!$V78,IF(OR($P$4=Bron!$B$13,$P$4=Bron!$B$14),'Bouwkost VOLT'!$V79,IF($P$4=Bron!$C$16,'Bouwkost AK+VERB'!$V79,0))))))</f>
        <v>0</v>
      </c>
      <c r="R67" s="89">
        <f>IF(OR($R$4=Bron!$B$8,$R$4=Bron!$B$9,$R$4=Bron!$B$15),'Bouwkost NB'!$AG80,IF($R$4=Bron!$B$10,'Bouwkost UITB'!$AG79,IF($R$4=Bron!$B$11,'Bouwkost VERB'!$AG79,IF($R$4=Bron!$B$12,'Bouwkost IER'!$AG78,IF(OR($R$4=Bron!$B$13,$R$4=Bron!$B$14),'Bouwkost VOLT'!$AG79,IF($R$4=Bron!$C$16,'Bouwkost AK+VERB'!$AG79,0))))))</f>
        <v>0</v>
      </c>
      <c r="T67" s="89">
        <f>IF(OR($T$4=Bron!$B$8,$T$4=Bron!$B$9,$T$4=Bron!$B$15),'Bouwkost NB'!$AG80,IF($T$4=Bron!$B$10,'Bouwkost UITB'!$AG79,IF($T$4=Bron!$B$11,'Bouwkost VERB'!$AG79,IF($T$4=Bron!$B$12,'Bouwkost IER'!$AG78,IF(OR($T$4=Bron!$B$13,$T$4=Bron!$B$14),'Bouwkost VOLT'!$AG79,IF($T$4=Bron!$C$16,'Bouwkost AK+VERB'!$AG79,0))))))</f>
        <v>0</v>
      </c>
      <c r="V67" s="89">
        <f>IF(OR($V$4=Bron!$B$8,$V$4=Bron!$B$9,$V$4=Bron!$B$15),'Bouwkost NB'!$AG80,IF($V$4=Bron!$B$10,'Bouwkost UITB'!$AG79,IF($V$4=Bron!$B$11,'Bouwkost VERB'!$AG79,IF($V$4=Bron!$B$12,'Bouwkost IER'!$AG78,IF(OR($V$4=Bron!$B$13,$V$4=Bron!$B$14),'Bouwkost VOLT'!$AG79,IF($V$4=Bron!$C$16,'Bouwkost AK+VERB'!$AG79,0))))))</f>
        <v>0</v>
      </c>
      <c r="X67" s="89">
        <f>IF(OR($X$4=Bron!$B$8,$X$4=Bron!$B$9,$X$4=Bron!$B$15),'Bouwkost NB'!$AG80,IF($X$4=Bron!$B$10,'Bouwkost UITB'!$AG79,IF($X$4=Bron!$B$11,'Bouwkost VERB'!$AG79,IF($X$4=Bron!$B$12,'Bouwkost IER'!$AG78,IF(OR($X$4=Bron!$B$13,$X$4=Bron!$B$14),'Bouwkost VOLT'!$AG79,IF($X$4=Bron!$C$16,'Bouwkost AK+VERB'!$AG79,0))))))</f>
        <v>0</v>
      </c>
    </row>
    <row r="68" spans="1:27" ht="15" thickBot="1" x14ac:dyDescent="0.35">
      <c r="A68" s="18"/>
    </row>
    <row r="69" spans="1:27" ht="15" thickBot="1" x14ac:dyDescent="0.35">
      <c r="A69" s="307" t="s">
        <v>471</v>
      </c>
      <c r="B69" s="597">
        <f>SUM(B47:B49)+B5+B9</f>
        <v>0</v>
      </c>
      <c r="C69" s="597"/>
      <c r="D69" s="597">
        <f>SUM(D47:D49)+D5+D9</f>
        <v>0</v>
      </c>
      <c r="E69" s="597"/>
      <c r="F69" s="597">
        <f>SUM(F47:F49)+F5+F9</f>
        <v>0</v>
      </c>
      <c r="G69" s="597"/>
      <c r="H69" s="597">
        <f>SUM(H47:H49)+H5+H9</f>
        <v>0</v>
      </c>
      <c r="I69" s="597"/>
      <c r="J69" s="597">
        <f>SUM(J47:J49)+J5+J9</f>
        <v>0</v>
      </c>
      <c r="K69" s="597"/>
      <c r="L69" s="597">
        <f>SUM(L47:L49)+L5+L9</f>
        <v>0</v>
      </c>
      <c r="M69" s="597"/>
      <c r="N69" s="597">
        <f>SUM(N47:N49)+N5+N9</f>
        <v>0</v>
      </c>
      <c r="O69" s="597"/>
      <c r="P69" s="597">
        <f>SUM(P47:P49)+P5+P9</f>
        <v>0</v>
      </c>
      <c r="Q69" s="597"/>
      <c r="R69" s="597">
        <f>SUM(R47:R49)+R5+R9</f>
        <v>0</v>
      </c>
      <c r="S69" s="597"/>
      <c r="T69" s="597">
        <f>SUM(T47:T49)+T5+T9+T51</f>
        <v>0</v>
      </c>
      <c r="U69" s="597"/>
      <c r="V69" s="597">
        <f>SUM(V47:V49)+V5+V9</f>
        <v>0</v>
      </c>
      <c r="W69" s="597"/>
      <c r="X69" s="597">
        <f>SUM(X47:X49)+X5+X9+X51</f>
        <v>0</v>
      </c>
      <c r="Y69" s="819">
        <f>SUM(B69:X69)</f>
        <v>0</v>
      </c>
    </row>
    <row r="70" spans="1:27" x14ac:dyDescent="0.3">
      <c r="A70" s="307" t="s">
        <v>503</v>
      </c>
      <c r="B70" s="51">
        <f>'uitgebreide raming_gewijzigd'!B26</f>
        <v>0</v>
      </c>
      <c r="C70" s="51"/>
      <c r="D70" s="51">
        <f>'uitgebreide raming_gewijzigd'!D26</f>
        <v>0</v>
      </c>
      <c r="E70" s="51"/>
      <c r="F70" s="51">
        <f>'uitgebreide raming_gewijzigd'!F26</f>
        <v>0</v>
      </c>
      <c r="G70" s="51"/>
      <c r="H70" s="51">
        <f>'uitgebreide raming_gewijzigd'!H26</f>
        <v>0</v>
      </c>
      <c r="I70" s="51"/>
      <c r="J70" s="51">
        <f>'uitgebreide raming_gewijzigd'!B53</f>
        <v>0</v>
      </c>
      <c r="K70" s="51"/>
      <c r="L70" s="51">
        <f>'uitgebreide raming_gewijzigd'!D53</f>
        <v>0</v>
      </c>
      <c r="M70" s="51"/>
      <c r="N70" s="51">
        <f>'uitgebreide raming_gewijzigd'!F53</f>
        <v>0</v>
      </c>
      <c r="O70" s="51"/>
      <c r="P70" s="51">
        <f>'uitgebreide raming_gewijzigd'!H53</f>
        <v>0</v>
      </c>
      <c r="Q70" s="51"/>
      <c r="R70" s="51">
        <f>'uitgebreide raming_gewijzigd'!B80</f>
        <v>0</v>
      </c>
      <c r="S70" s="51"/>
      <c r="T70" s="51">
        <f>'uitgebreide raming_gewijzigd'!D80</f>
        <v>0</v>
      </c>
      <c r="U70" s="51"/>
      <c r="V70" s="51">
        <f>'uitgebreide raming_gewijzigd'!F80</f>
        <v>0</v>
      </c>
      <c r="W70" s="51"/>
      <c r="X70" s="51">
        <f>'uitgebreide raming_gewijzigd'!H80</f>
        <v>0</v>
      </c>
      <c r="Y70" s="819">
        <f>SUM(B70:X70)</f>
        <v>0</v>
      </c>
      <c r="Z70" t="s">
        <v>506</v>
      </c>
    </row>
    <row r="71" spans="1:27" x14ac:dyDescent="0.3">
      <c r="A71" s="380" t="s">
        <v>134</v>
      </c>
      <c r="B71" s="301">
        <f>ROUND((B13+B20+B28)*C71,2)</f>
        <v>0</v>
      </c>
      <c r="C71" s="803">
        <f>IF(ISNUMBER(MATCH(B4,'Overzicht BTA'!$B$13:$B$19,0)),VLOOKUP(B4,'Overzicht BTA'!$B$13:$C$19,2,FALSE),0.21)</f>
        <v>0.21</v>
      </c>
      <c r="D71" s="301">
        <f>ROUND((D13+D20+D28)*E71,2)</f>
        <v>0</v>
      </c>
      <c r="E71" s="803">
        <f>IF(ISNUMBER(MATCH(D4,'Overzicht BTA'!$B$13:$B$19,0)),VLOOKUP(D4,'Overzicht BTA'!$B$13:$C$19,2,FALSE),0.21)</f>
        <v>0.21</v>
      </c>
      <c r="F71" s="301">
        <f>ROUND((F13+F20+F28)*G71,2)</f>
        <v>0</v>
      </c>
      <c r="G71" s="803">
        <f>IF(ISNUMBER(MATCH(F4,'Overzicht BTA'!$B$13:$B$19,0)),VLOOKUP(F4,'Overzicht BTA'!$B$13:$C$19,2,FALSE),0.21)</f>
        <v>0.21</v>
      </c>
      <c r="H71" s="301">
        <f>ROUND((H13+H20+H28)*I71,2)</f>
        <v>0</v>
      </c>
      <c r="I71" s="803">
        <f>IF(ISNUMBER(MATCH(H4,'Overzicht BTA'!$B$13:$B$19,0)),VLOOKUP(H4,'Overzicht BTA'!$B$13:$C$19,2,FALSE),0.21)</f>
        <v>0.21</v>
      </c>
      <c r="J71" s="301">
        <f>ROUND((J13+J20+J28)*K71,2)</f>
        <v>0</v>
      </c>
      <c r="K71" s="803">
        <f>IF(ISNUMBER(MATCH(J4,'Overzicht BTA'!$H$13:$H$19,0)),VLOOKUP(J4,'Overzicht BTA'!$H$13:$I$19,2,FALSE),0.21)</f>
        <v>0.21</v>
      </c>
      <c r="L71" s="301">
        <f>ROUND((L13+L20+L28)*M71,2)</f>
        <v>0</v>
      </c>
      <c r="M71" s="803">
        <f>IF(ISNUMBER(MATCH(L4,'Overzicht BTA'!$H$13:$H$19,0)),VLOOKUP(L4,'Overzicht BTA'!$H$13:$I$19,2,FALSE),0.21)</f>
        <v>0.21</v>
      </c>
      <c r="N71" s="301">
        <f>ROUND((N13+N20+N28)*O71,2)</f>
        <v>0</v>
      </c>
      <c r="O71" s="803">
        <f>IF(ISNUMBER(MATCH(N4,'Overzicht BTA'!$H$13:$H$19,0)),VLOOKUP(N4,'Overzicht BTA'!$H$13:$I$19,2,FALSE),0.21)</f>
        <v>0.21</v>
      </c>
      <c r="P71" s="301">
        <f>ROUND((P13+P20+P28)*Q71,2)</f>
        <v>0</v>
      </c>
      <c r="Q71" s="803">
        <f>IF(ISNUMBER(MATCH(P4,'Overzicht BTA'!$H$13:$H$19,0)),VLOOKUP(P4,'Overzicht BTA'!$H$13:$I$19,2,FALSE),0.21)</f>
        <v>0.21</v>
      </c>
      <c r="R71" s="301">
        <f>ROUND((R13+R20+R28)*S71,2)</f>
        <v>0</v>
      </c>
      <c r="S71" s="803">
        <f>IF(ISNUMBER(MATCH(R4,'Overzicht BTA'!$N$13:$N$19,0)),VLOOKUP(R4,'Overzicht BTA'!$N$13:$O$19,2,FALSE),0.21)</f>
        <v>0.21</v>
      </c>
      <c r="T71" s="301">
        <f>ROUND((T13+T20+T28)*U71,2)</f>
        <v>0</v>
      </c>
      <c r="U71" s="803">
        <f>IF(ISNUMBER(MATCH(T4,'Overzicht BTA'!$N$13:$N$19,0)),VLOOKUP(T4,'Overzicht BTA'!$N$13:$O$19,2,FALSE),0.21)</f>
        <v>0.21</v>
      </c>
      <c r="V71" s="301">
        <f>ROUND((V13+V20+V28)*W71,2)</f>
        <v>0</v>
      </c>
      <c r="W71" s="803">
        <f>IF(ISNUMBER(MATCH(V4,'Overzicht BTA'!$N$13:$N$19,0)),VLOOKUP(V4,'Overzicht BTA'!$N$13:$O$19,2,FALSE),0.21)</f>
        <v>0.21</v>
      </c>
      <c r="X71" s="301">
        <f>ROUND((X13+X20+X28)*Y71,2)</f>
        <v>0</v>
      </c>
      <c r="Y71" s="803">
        <f>IF(ISNUMBER(MATCH(X4,'Overzicht BTA'!$N$13:$N$19,0)),VLOOKUP(X4,'Overzicht BTA'!$N$13:$O$19,2,FALSE),0.21)</f>
        <v>0.21</v>
      </c>
    </row>
    <row r="72" spans="1:27" x14ac:dyDescent="0.3">
      <c r="A72" s="380" t="s">
        <v>135</v>
      </c>
      <c r="B72" s="301">
        <f>B44*C72</f>
        <v>0</v>
      </c>
      <c r="C72" s="35">
        <v>0.06</v>
      </c>
      <c r="D72" s="301">
        <f>D44*E72</f>
        <v>0</v>
      </c>
      <c r="E72" s="35">
        <v>0.06</v>
      </c>
      <c r="F72" s="301">
        <f>F44*G72</f>
        <v>0</v>
      </c>
      <c r="G72" s="35">
        <v>0.06</v>
      </c>
      <c r="H72" s="301">
        <f>H44*I72</f>
        <v>0</v>
      </c>
      <c r="I72" s="35">
        <v>0.06</v>
      </c>
      <c r="J72" s="301">
        <f>J44*K72</f>
        <v>0</v>
      </c>
      <c r="K72" s="35">
        <v>0.06</v>
      </c>
      <c r="L72" s="301">
        <f>L44*M72</f>
        <v>0</v>
      </c>
      <c r="M72" s="35">
        <v>0.06</v>
      </c>
      <c r="N72" s="301">
        <f>N44*O72</f>
        <v>0</v>
      </c>
      <c r="O72" s="35">
        <v>0.06</v>
      </c>
      <c r="P72" s="301">
        <f>P44*Q72</f>
        <v>0</v>
      </c>
      <c r="Q72" s="35">
        <v>0.06</v>
      </c>
      <c r="R72" s="301">
        <f>R44*S72</f>
        <v>0</v>
      </c>
      <c r="S72" s="35">
        <v>0.06</v>
      </c>
      <c r="T72" s="301">
        <f>T44*U72</f>
        <v>0</v>
      </c>
      <c r="U72" s="35">
        <v>0.06</v>
      </c>
      <c r="V72" s="301">
        <f>V44*W72</f>
        <v>0</v>
      </c>
      <c r="W72" s="35">
        <v>0.06</v>
      </c>
      <c r="X72" s="301">
        <f>X44*Y72</f>
        <v>0</v>
      </c>
      <c r="Y72" s="35">
        <v>0.06</v>
      </c>
    </row>
    <row r="73" spans="1:27" x14ac:dyDescent="0.3">
      <c r="A73" s="380" t="s">
        <v>136</v>
      </c>
      <c r="B73" s="301">
        <f>ROUND((B40+B38)*C73,2)</f>
        <v>0</v>
      </c>
      <c r="C73" s="35">
        <v>0.21</v>
      </c>
      <c r="D73" s="301">
        <f>ROUND((D40+D38)*E73,2)</f>
        <v>0</v>
      </c>
      <c r="E73" s="35">
        <v>0.21</v>
      </c>
      <c r="F73" s="301">
        <f>ROUND((F40+F38)*G73,2)</f>
        <v>0</v>
      </c>
      <c r="G73" s="35">
        <v>0.21</v>
      </c>
      <c r="H73" s="301">
        <f>ROUND((H40+H38)*I73,2)</f>
        <v>0</v>
      </c>
      <c r="I73" s="35">
        <v>0.21</v>
      </c>
      <c r="J73" s="301">
        <f>ROUND((J40+J38)*K73,2)</f>
        <v>0</v>
      </c>
      <c r="K73" s="35">
        <v>0.21</v>
      </c>
      <c r="L73" s="301">
        <f>ROUND((L40+L38)*M73,2)</f>
        <v>0</v>
      </c>
      <c r="M73" s="35">
        <v>0.21</v>
      </c>
      <c r="N73" s="301">
        <f>ROUND((N40+N38)*O73,2)</f>
        <v>0</v>
      </c>
      <c r="O73" s="35">
        <v>0.21</v>
      </c>
      <c r="P73" s="301">
        <f>ROUND((P40+P38)*Q73,2)</f>
        <v>0</v>
      </c>
      <c r="Q73" s="35">
        <v>0.21</v>
      </c>
      <c r="R73" s="301">
        <f>ROUND((R40+R38)*S73,2)</f>
        <v>0</v>
      </c>
      <c r="S73" s="35">
        <v>0.21</v>
      </c>
      <c r="T73" s="301">
        <f>ROUND((T40+T38)*U73,2)</f>
        <v>0</v>
      </c>
      <c r="U73" s="35">
        <v>0.21</v>
      </c>
      <c r="V73" s="301">
        <f>ROUND((V40+V38)*W73,2)</f>
        <v>0</v>
      </c>
      <c r="W73" s="35">
        <v>0.21</v>
      </c>
      <c r="X73" s="301">
        <f>ROUND((X40+X38)*Y73,2)</f>
        <v>0</v>
      </c>
      <c r="Y73" s="35">
        <v>0.21</v>
      </c>
    </row>
    <row r="74" spans="1:27" x14ac:dyDescent="0.3">
      <c r="A74" s="380" t="s">
        <v>137</v>
      </c>
      <c r="B74" s="798">
        <f>B51</f>
        <v>0</v>
      </c>
      <c r="C74" s="634">
        <f>IFERROR(B74/(B69-B65-B63),0)</f>
        <v>0</v>
      </c>
      <c r="D74" s="798">
        <f>D51</f>
        <v>0</v>
      </c>
      <c r="E74" s="634">
        <f>IFERROR(D74/(D69-D65-D63),0)</f>
        <v>0</v>
      </c>
      <c r="F74" s="798">
        <f>F51</f>
        <v>0</v>
      </c>
      <c r="G74" s="634">
        <f>IFERROR(F74/(F69-F65-F63),0)</f>
        <v>0</v>
      </c>
      <c r="H74" s="798">
        <f>H51</f>
        <v>0</v>
      </c>
      <c r="I74" s="634">
        <f>IFERROR(H74/(H69-H65-H63),0)</f>
        <v>0</v>
      </c>
      <c r="J74" s="798">
        <f>J51</f>
        <v>0</v>
      </c>
      <c r="K74" s="634">
        <f>IFERROR(J74/(J69-J65-J63),0)</f>
        <v>0</v>
      </c>
      <c r="L74" s="798">
        <f>L51</f>
        <v>0</v>
      </c>
      <c r="M74" s="634">
        <f>IFERROR(L74/(L69-L65-L63),0)</f>
        <v>0</v>
      </c>
      <c r="N74" s="798">
        <f>N51</f>
        <v>0</v>
      </c>
      <c r="O74" s="634">
        <f>IFERROR(N74/(N69-N65-N63),0)</f>
        <v>0</v>
      </c>
      <c r="P74" s="798">
        <f>P51</f>
        <v>0</v>
      </c>
      <c r="Q74" s="634">
        <f>IFERROR(P74/(P69-P65-P63),0)</f>
        <v>0</v>
      </c>
      <c r="R74" s="798">
        <f>R51</f>
        <v>0</v>
      </c>
      <c r="S74" s="634">
        <f>IFERROR(R74/(R69-R65-R63),0)</f>
        <v>0</v>
      </c>
      <c r="T74" s="798">
        <f>T51</f>
        <v>0</v>
      </c>
      <c r="U74" s="634">
        <f>IFERROR(T74/(T69-T65-T63),0)</f>
        <v>0</v>
      </c>
      <c r="V74" s="798">
        <f>V51</f>
        <v>0</v>
      </c>
      <c r="W74" s="634">
        <f>IFERROR(V74/(V69-V65-V63),0)</f>
        <v>0</v>
      </c>
      <c r="X74" s="798">
        <f>X51</f>
        <v>0</v>
      </c>
      <c r="Y74" s="634">
        <f>IFERROR(X74/(X69-X65-X63),0)</f>
        <v>0</v>
      </c>
    </row>
    <row r="75" spans="1:27" x14ac:dyDescent="0.3">
      <c r="A75" s="380" t="s">
        <v>138</v>
      </c>
      <c r="B75" s="301">
        <f>ROUND(B74*C75,2)</f>
        <v>0</v>
      </c>
      <c r="C75" s="35">
        <v>0.21</v>
      </c>
      <c r="D75" s="301">
        <f>ROUND(D74*E75,2)</f>
        <v>0</v>
      </c>
      <c r="E75" s="35">
        <v>0.21</v>
      </c>
      <c r="F75" s="301">
        <f>ROUND(F74*G75,2)</f>
        <v>0</v>
      </c>
      <c r="G75" s="35">
        <v>0.21</v>
      </c>
      <c r="H75" s="301">
        <f>ROUND(H74*I75,2)</f>
        <v>0</v>
      </c>
      <c r="I75" s="35">
        <v>0.21</v>
      </c>
      <c r="J75" s="301">
        <f>ROUND(J74*K75,2)</f>
        <v>0</v>
      </c>
      <c r="K75" s="35">
        <v>0.21</v>
      </c>
      <c r="L75" s="301">
        <f>ROUND(L74*M75,2)</f>
        <v>0</v>
      </c>
      <c r="M75" s="35">
        <v>0.21</v>
      </c>
      <c r="N75" s="301">
        <f>ROUND(N74*O75,2)</f>
        <v>0</v>
      </c>
      <c r="O75" s="35">
        <v>0.21</v>
      </c>
      <c r="P75" s="301">
        <f>ROUND(P74*Q75,2)</f>
        <v>0</v>
      </c>
      <c r="Q75" s="35">
        <v>0.21</v>
      </c>
      <c r="R75" s="301">
        <f>ROUND(R74*S75,2)</f>
        <v>0</v>
      </c>
      <c r="S75" s="35">
        <v>0.21</v>
      </c>
      <c r="T75" s="301">
        <f>ROUND(T74*U75,2)</f>
        <v>0</v>
      </c>
      <c r="U75" s="35">
        <v>0.21</v>
      </c>
      <c r="V75" s="301">
        <f>ROUND(V74*W75,2)</f>
        <v>0</v>
      </c>
      <c r="W75" s="35">
        <v>0.21</v>
      </c>
      <c r="X75" s="301">
        <f>ROUND(X74*Y75,2)</f>
        <v>0</v>
      </c>
      <c r="Y75" s="35">
        <v>0.21</v>
      </c>
    </row>
    <row r="76" spans="1:27" x14ac:dyDescent="0.3">
      <c r="A76" s="383" t="s">
        <v>139</v>
      </c>
      <c r="B76" s="804">
        <f>SUM(B71:B75)</f>
        <v>0</v>
      </c>
      <c r="C76" s="35"/>
      <c r="D76" s="804">
        <f>SUM(D71:D75)</f>
        <v>0</v>
      </c>
      <c r="E76" s="35"/>
      <c r="F76" s="804">
        <f>SUM(F71:F75)</f>
        <v>0</v>
      </c>
      <c r="G76" s="35"/>
      <c r="H76" s="804">
        <f>SUM(H71:H75)</f>
        <v>0</v>
      </c>
      <c r="I76" s="35"/>
      <c r="J76" s="804">
        <f>SUM(J71:J75)</f>
        <v>0</v>
      </c>
      <c r="K76" s="35"/>
      <c r="L76" s="804">
        <f>SUM(L71:L75)</f>
        <v>0</v>
      </c>
      <c r="M76" s="35"/>
      <c r="N76" s="804">
        <f>SUM(N71:N75)</f>
        <v>0</v>
      </c>
      <c r="O76" s="35"/>
      <c r="P76" s="804">
        <f>SUM(P71:P75)</f>
        <v>0</v>
      </c>
      <c r="Q76" s="35"/>
      <c r="R76" s="804">
        <f>SUM(R71:R75)</f>
        <v>0</v>
      </c>
      <c r="S76" s="35"/>
      <c r="T76" s="804">
        <f>SUM(T71:T75)</f>
        <v>0</v>
      </c>
      <c r="U76" s="35"/>
      <c r="V76" s="804">
        <f>SUM(V71:V75)</f>
        <v>0</v>
      </c>
      <c r="W76" s="35"/>
      <c r="X76" s="804">
        <f>SUM(X71:X75)</f>
        <v>0</v>
      </c>
      <c r="Y76" s="35"/>
    </row>
    <row r="77" spans="1:27" x14ac:dyDescent="0.3">
      <c r="A77" s="582" t="s">
        <v>140</v>
      </c>
      <c r="B77" s="583">
        <f>B9+B5</f>
        <v>0</v>
      </c>
      <c r="C77" s="51"/>
      <c r="D77" s="583">
        <f>D9+D5</f>
        <v>0</v>
      </c>
      <c r="E77" s="51"/>
      <c r="F77" s="583">
        <f>F9+F5</f>
        <v>0</v>
      </c>
      <c r="G77" s="51"/>
      <c r="H77" s="583">
        <f>H9+H5</f>
        <v>0</v>
      </c>
      <c r="I77" s="51"/>
      <c r="J77" s="583">
        <f>J9+J5</f>
        <v>0</v>
      </c>
      <c r="K77" s="51"/>
      <c r="L77" s="583">
        <f>L9+L5</f>
        <v>0</v>
      </c>
      <c r="M77" s="51"/>
      <c r="N77" s="583">
        <f>N9+N5</f>
        <v>0</v>
      </c>
      <c r="O77" s="51"/>
      <c r="P77" s="583">
        <f>P9+P5</f>
        <v>0</v>
      </c>
      <c r="Q77" s="51"/>
      <c r="R77" s="583">
        <f>R9+R5</f>
        <v>0</v>
      </c>
      <c r="S77" s="51"/>
      <c r="T77" s="583">
        <f>T9+T5</f>
        <v>0</v>
      </c>
      <c r="U77" s="51"/>
      <c r="V77" s="583">
        <f>V9+V5</f>
        <v>0</v>
      </c>
      <c r="W77" s="51"/>
      <c r="X77" s="583">
        <f>X9+X5</f>
        <v>0</v>
      </c>
      <c r="Y77" s="51"/>
    </row>
    <row r="78" spans="1:27" ht="28.95" customHeight="1" x14ac:dyDescent="0.3">
      <c r="A78" s="381" t="s">
        <v>141</v>
      </c>
      <c r="B78" s="801">
        <f>B69+B76</f>
        <v>0</v>
      </c>
      <c r="D78" s="801">
        <f>D69+D76</f>
        <v>0</v>
      </c>
      <c r="F78" s="801">
        <f>F69+F76</f>
        <v>0</v>
      </c>
      <c r="H78" s="801">
        <f>H69+H76</f>
        <v>0</v>
      </c>
      <c r="J78" s="801">
        <f>J69+J76</f>
        <v>0</v>
      </c>
      <c r="L78" s="801">
        <f>L69+L76</f>
        <v>0</v>
      </c>
      <c r="N78" s="801">
        <f>N69+N76</f>
        <v>0</v>
      </c>
      <c r="P78" s="801">
        <f>P69+P76</f>
        <v>0</v>
      </c>
      <c r="R78" s="801">
        <f>R69+R76</f>
        <v>0</v>
      </c>
      <c r="T78" s="801">
        <f>T69+T76</f>
        <v>0</v>
      </c>
      <c r="V78" s="801">
        <f>V69+V76</f>
        <v>0</v>
      </c>
      <c r="X78" s="801">
        <f>X69+X76</f>
        <v>0</v>
      </c>
      <c r="Y78" s="599">
        <f>SUM(B78:X78)</f>
        <v>0</v>
      </c>
      <c r="Z78" s="680" t="s">
        <v>507</v>
      </c>
      <c r="AA78" s="767">
        <f>IFERROR(Y78/'Overzicht project'!E66,0)</f>
        <v>0</v>
      </c>
    </row>
    <row r="79" spans="1:27" ht="43.2" x14ac:dyDescent="0.3">
      <c r="A79" s="307" t="s">
        <v>61</v>
      </c>
      <c r="Y79" s="963">
        <f>IFERROR((Y78-Y69)/Y69,0)</f>
        <v>0</v>
      </c>
      <c r="Z79" s="681" t="s">
        <v>505</v>
      </c>
    </row>
    <row r="80" spans="1:27" x14ac:dyDescent="0.3">
      <c r="A80" s="22" t="s">
        <v>475</v>
      </c>
      <c r="B80" s="89">
        <f>IF(OR($B$4=Bron!$B$8,$B$4=Bron!$B$9,$B$4=Bron!$B$15),'Bouwkost NB'!$K87,IF($B$4=Bron!$B$10,'Bouwkost UITB'!$K86,IF($B$4=Bron!$B$11,'Bouwkost VERB'!$K86,IF($B$4=Bron!$B$12,'Bouwkost IER'!$K85,IF(OR($B$4=Bron!$B$13,$B$4=Bron!$B$14),'Bouwkost VOLT'!$K86,IF($B$4=Bron!$C$16,'Bouwkost AK+VERB'!$K86,0))))))</f>
        <v>0</v>
      </c>
      <c r="D80" s="89">
        <f>IF(OR($D$4=Bron!$B$8,$D$4=Bron!$B$9,$D$4=Bron!$B$15),'Bouwkost NB'!$K87,IF($D$4=Bron!$B$10,'Bouwkost UITB'!$K86,IF($D$4=Bron!$B$11,'Bouwkost VERB'!$K86,IF($D$4=Bron!$B$12,'Bouwkost IER'!$K85,IF(OR($D$4=Bron!$B$13,$D$4=Bron!$B$14),'Bouwkost VOLT'!$K86,IF($D$4=Bron!$C$16,'Bouwkost AK+VERB'!$K86,0))))))</f>
        <v>0</v>
      </c>
      <c r="F80" s="89">
        <f>IF(OR($F$4=Bron!$B$8,$F$4=Bron!$B$9,$F$4=Bron!$B$15),'Bouwkost NB'!$K87,IF($F$4=Bron!$B$10,'Bouwkost UITB'!$K86,IF($F$4=Bron!$B$11,'Bouwkost VERB'!$K86,IF($F$4=Bron!$B$12,'Bouwkost IER'!$K85,IF(OR($F$4=Bron!$B$13,$F$4=Bron!$B$14),'Bouwkost VOLT'!$K86,IF($F$4=Bron!$C$16,'Bouwkost AK+VERB'!$K86,0))))))</f>
        <v>0</v>
      </c>
      <c r="H80" s="89">
        <f>IF(OR($H$4=Bron!$B$8,$H$4=Bron!$B$9,$H$4=Bron!$B$15),'Bouwkost NB'!$K87,IF($H$4=Bron!$B$10,'Bouwkost UITB'!$K86,IF($H$4=Bron!$B$11,'Bouwkost VERB'!$K86,IF($H$4=Bron!$B$12,'Bouwkost IER'!$K85,IF(OR($H$4=Bron!$B$13,$H$4=Bron!$B$14),'Bouwkost VOLT'!$K86,IF($H$4=Bron!$C$16,'Bouwkost AK+VERB'!$K86,0))))))</f>
        <v>0</v>
      </c>
      <c r="J80" s="89">
        <f>IF(OR($J$4=Bron!$B$8,$J$4=Bron!$B$9,$J$4=Bron!$B$15),'Bouwkost NB'!$V87,IF($J$4=Bron!$B$10,'Bouwkost UITB'!$V86,IF($J$4=Bron!$B$11,'Bouwkost VERB'!$V86,IF($J$4=Bron!$B$12,'Bouwkost IER'!$V85,IF(OR($J$4=Bron!$B$13,$J$4=Bron!$B$14),'Bouwkost VOLT'!$V86,IF($J$4=Bron!$C$16,'Bouwkost AK+VERB'!$V86,0))))))</f>
        <v>0</v>
      </c>
      <c r="L80" s="89">
        <f>IF(OR($L$4=Bron!$B$8,$L$4=Bron!$B$9,$L$4=Bron!$B$15),'Bouwkost NB'!$V87,IF($L$4=Bron!$B$10,'Bouwkost UITB'!$V86,IF($L$4=Bron!$B$11,'Bouwkost VERB'!$V86,IF($L$4=Bron!$B$12,'Bouwkost IER'!$V85,IF(OR($L$4=Bron!$B$13,$L$4=Bron!$B$14),'Bouwkost VOLT'!$V86,IF($L$4=Bron!$C$16,'Bouwkost AK+VERB'!$V86,0))))))</f>
        <v>0</v>
      </c>
      <c r="N80" s="89">
        <f>IF(OR($N$4=Bron!$B$8,$N$4=Bron!$B$9,,$N$4=Bron!$B$15),'Bouwkost NB'!$V87,IF($N$4=Bron!$B$10,'Bouwkost UITB'!$V86,IF($N$4=Bron!$B$11,'Bouwkost VERB'!$V86,IF($N$4=Bron!$B$12,'Bouwkost IER'!$V85,IF(OR($N$4=Bron!$B$13,$N$4=Bron!$B$14),'Bouwkost VOLT'!$V86,IF($N$4=Bron!$C$16,'Bouwkost AK+VERB'!$V86,0))))))</f>
        <v>0</v>
      </c>
      <c r="P80" s="89">
        <f>IF(OR($P$4=Bron!$B$8,$P$4=Bron!$B$9,$P$4=Bron!$B$15),'Bouwkost NB'!$V87,IF($P$4=Bron!$B$10,'Bouwkost UITB'!$V86,IF($P$4=Bron!$B$11,'Bouwkost VERB'!$V86,IF($P$4=Bron!$B$12,'Bouwkost IER'!$V85,IF(OR($P$4=Bron!$B$13,$P$4=Bron!$B$14),'Bouwkost VOLT'!$V86,IF($P$4=Bron!$C$16,'Bouwkost AK+VERB'!$V86,0))))))</f>
        <v>0</v>
      </c>
      <c r="R80" s="89">
        <f>IF(OR($R$4=Bron!$B$8,$R$4=Bron!$B$9,$R$4=Bron!$B$15),'Bouwkost NB'!$AG87,IF($R$4=Bron!$B$10,'Bouwkost UITB'!$AG86,IF($R$4=Bron!$B$11,'Bouwkost VERB'!$AG86,IF($R$4=Bron!$B$12,'Bouwkost IER'!$AG85,IF(OR($R$4=Bron!$B$13,$R$4=Bron!$B$14),'Bouwkost VOLT'!$AG86,IF($R$4=Bron!$C$16,'Bouwkost AK+VERB'!$AG86,0))))))</f>
        <v>0</v>
      </c>
      <c r="T80" s="89">
        <f>IF(OR($T$4=Bron!$B$8,$T$4=Bron!$B$9,$T$4=Bron!$B$15),'Bouwkost NB'!$AG87,IF($T$4=Bron!$B$10,'Bouwkost UITB'!$AG86,IF($T$4=Bron!$B$11,'Bouwkost VERB'!$AG86,IF($T$4=Bron!$B$12,'Bouwkost IER'!$AG85,IF(OR($T$4=Bron!$B$13,$T$4=Bron!$B$14),'Bouwkost VOLT'!$AG86,IF($T$4=Bron!$C$16,'Bouwkost AK+VERB'!$AG86,0))))))</f>
        <v>0</v>
      </c>
      <c r="V80" s="89">
        <f>IF(OR($V$4=Bron!$B$8,$V$4=Bron!$B$9,$V$4=Bron!$B$15),'Bouwkost NB'!$AG87,IF($V$4=Bron!$B$10,'Bouwkost UITB'!$AG86,IF($V$4=Bron!$B$11,'Bouwkost VERB'!$AG86,IF($V$4=Bron!$B$12,'Bouwkost IER'!$AG85,IF(OR($V$4=Bron!$B$13,$V$4=Bron!$B$14),'Bouwkost VOLT'!$AG86,IF($V$4=Bron!$C$16,'Bouwkost AK+VERB'!$AG86,0))))))</f>
        <v>0</v>
      </c>
      <c r="X80" s="89">
        <f>IF(OR($X$4=Bron!$B$8,$X$4=Bron!$B$9,$X$4=Bron!$B$15),'Bouwkost NB'!$AG87,IF($X$4=Bron!$B$10,'Bouwkost UITB'!$AG86,IF($X$4=Bron!$B$11,'Bouwkost VERB'!$AG86,IF($X$4=Bron!$B$12,'Bouwkost IER'!$AG85,IF(OR($X$4=Bron!$B$13,$X$4=Bron!$B$14),'Bouwkost VOLT'!$AG86,IF($X$4=Bron!$C$16,'Bouwkost AK+VERB'!$AG86,0))))))</f>
        <v>0</v>
      </c>
    </row>
    <row r="81" spans="1:25" x14ac:dyDescent="0.3">
      <c r="A81" s="916" t="s">
        <v>477</v>
      </c>
      <c r="B81" s="89">
        <f>IF(OR($B$4=Bron!$B$8,$B$4=Bron!$B$9,$B$4=Bron!$B$15),'Bouwkost NB'!$K88,IF($B$4=Bron!$B$10,'Bouwkost UITB'!$K87,IF($B$4=Bron!$B$11,'Bouwkost VERB'!$K87,IF($B$4=Bron!$B$12,'Bouwkost IER'!$K86,IF(OR($B$4=Bron!$B$13,$B$4=Bron!$B$14),'Bouwkost VOLT'!$K87,IF($B$4=Bron!$C$16,'Bouwkost AK+VERB'!$K87,0))))))</f>
        <v>0</v>
      </c>
      <c r="D81" s="89">
        <f>IF(OR($D$4=Bron!$B$8,$D$4=Bron!$B$9,$D$4=Bron!$B$15),'Bouwkost NB'!$K88,IF($D$4=Bron!$B$10,'Bouwkost UITB'!$K87,IF($D$4=Bron!$B$11,'Bouwkost VERB'!$K87,IF($D$4=Bron!$B$12,'Bouwkost IER'!$K86,IF(OR($D$4=Bron!$B$13,$D$4=Bron!$B$14),'Bouwkost VOLT'!$K87,IF($D$4=Bron!$C$16,'Bouwkost AK+VERB'!$K87,0))))))</f>
        <v>0</v>
      </c>
      <c r="F81" s="89">
        <f>IF(OR($F$4=Bron!$B$8,$F$4=Bron!$B$9,$F$4=Bron!$B$15),'Bouwkost NB'!$K88,IF($F$4=Bron!$B$10,'Bouwkost UITB'!$K87,IF($F$4=Bron!$B$11,'Bouwkost VERB'!$K87,IF($F$4=Bron!$B$12,'Bouwkost IER'!$K86,IF(OR($F$4=Bron!$B$13,$F$4=Bron!$B$14),'Bouwkost VOLT'!$K87,IF($F$4=Bron!$C$16,'Bouwkost AK+VERB'!$K87,0))))))</f>
        <v>0</v>
      </c>
      <c r="H81" s="89">
        <f>IF(OR($H$4=Bron!$B$8,$H$4=Bron!$B$9,$H$4=Bron!$B$15),'Bouwkost NB'!$K88,IF($H$4=Bron!$B$10,'Bouwkost UITB'!$K87,IF($H$4=Bron!$B$11,'Bouwkost VERB'!$K87,IF($H$4=Bron!$B$12,'Bouwkost IER'!$K86,IF(OR($H$4=Bron!$B$13,$H$4=Bron!$B$14),'Bouwkost VOLT'!$K87,IF($H$4=Bron!$C$16,'Bouwkost AK+VERB'!$K87,0))))))</f>
        <v>0</v>
      </c>
      <c r="J81" s="89">
        <f>IF(OR($J$4=Bron!$B$8,$J$4=Bron!$B$9,$J$4=Bron!$B$15),'Bouwkost NB'!$V88,IF($J$4=Bron!$B$10,'Bouwkost UITB'!$V87,IF($J$4=Bron!$B$11,'Bouwkost VERB'!$V87,IF($J$4=Bron!$B$12,'Bouwkost IER'!$V86,IF(OR($J$4=Bron!$B$13,$J$4=Bron!$B$14),'Bouwkost VOLT'!$V87,IF($J$4=Bron!$C$16,'Bouwkost AK+VERB'!$V87,0))))))</f>
        <v>0</v>
      </c>
      <c r="L81" s="89">
        <f>IF(OR($L$4=Bron!$B$8,$L$4=Bron!$B$9,$L$4=Bron!$B$15),'Bouwkost NB'!$V88,IF($L$4=Bron!$B$10,'Bouwkost UITB'!$V87,IF($L$4=Bron!$B$11,'Bouwkost VERB'!$V87,IF($L$4=Bron!$B$12,'Bouwkost IER'!$V86,IF(OR($L$4=Bron!$B$13,$L$4=Bron!$B$14),'Bouwkost VOLT'!$V87,IF($L$4=Bron!$C$16,'Bouwkost AK+VERB'!$V87,0))))))</f>
        <v>0</v>
      </c>
      <c r="N81" s="89">
        <f>IF(OR($N$4=Bron!$B$8,$N$4=Bron!$B$9,,$N$4=Bron!$B$15),'Bouwkost NB'!$V88,IF($N$4=Bron!$B$10,'Bouwkost UITB'!$V87,IF($N$4=Bron!$B$11,'Bouwkost VERB'!$V87,IF($N$4=Bron!$B$12,'Bouwkost IER'!$V86,IF(OR($N$4=Bron!$B$13,$N$4=Bron!$B$14),'Bouwkost VOLT'!$V87,IF($N$4=Bron!$C$16,'Bouwkost AK+VERB'!$V87,0))))))</f>
        <v>0</v>
      </c>
      <c r="P81" s="89">
        <f>IF(OR($P$4=Bron!$B$8,$P$4=Bron!$B$9,$P$4=Bron!$B$15),'Bouwkost NB'!$V88,IF($P$4=Bron!$B$10,'Bouwkost UITB'!$V87,IF($P$4=Bron!$B$11,'Bouwkost VERB'!$V87,IF($P$4=Bron!$B$12,'Bouwkost IER'!$V86,IF(OR($P$4=Bron!$B$13,$P$4=Bron!$B$14),'Bouwkost VOLT'!$V87,IF($P$4=Bron!$C$16,'Bouwkost AK+VERB'!$V87,0))))))</f>
        <v>0</v>
      </c>
      <c r="R81" s="89">
        <f>IF(OR($R$4=Bron!$B$8,$R$4=Bron!$B$9,$R$4=Bron!$B$15),'Bouwkost NB'!$AG88,IF($R$4=Bron!$B$10,'Bouwkost UITB'!$AG87,IF($R$4=Bron!$B$11,'Bouwkost VERB'!$AG87,IF($R$4=Bron!$B$12,'Bouwkost IER'!$AG86,IF(OR($R$4=Bron!$B$13,$R$4=Bron!$B$14),'Bouwkost VOLT'!$AG87,IF($R$4=Bron!$C$16,'Bouwkost AK+VERB'!$AG87,0))))))</f>
        <v>0</v>
      </c>
      <c r="T81" s="89">
        <f>IF(OR($T$4=Bron!$B$8,$T$4=Bron!$B$9,$T$4=Bron!$B$15),'Bouwkost NB'!$AG88,IF($T$4=Bron!$B$10,'Bouwkost UITB'!$AG87,IF($T$4=Bron!$B$11,'Bouwkost VERB'!$AG87,IF($T$4=Bron!$B$12,'Bouwkost IER'!$AG86,IF(OR($T$4=Bron!$B$13,$T$4=Bron!$B$14),'Bouwkost VOLT'!$AG87,IF($T$4=Bron!$C$16,'Bouwkost AK+VERB'!$AG87,0))))))</f>
        <v>0</v>
      </c>
      <c r="V81" s="89">
        <f>IF(OR($V$4=Bron!$B$8,$V$4=Bron!$B$9,$V$4=Bron!$B$15),'Bouwkost NB'!$AG88,IF($V$4=Bron!$B$10,'Bouwkost UITB'!$AG87,IF($V$4=Bron!$B$11,'Bouwkost VERB'!$AG87,IF($V$4=Bron!$B$12,'Bouwkost IER'!$AG86,IF(OR($V$4=Bron!$B$13,$V$4=Bron!$B$14),'Bouwkost VOLT'!$AG87,IF($V$4=Bron!$C$16,'Bouwkost AK+VERB'!$AG87,0))))))</f>
        <v>0</v>
      </c>
      <c r="X81" s="89">
        <f>IF(OR($X$4=Bron!$B$8,$X$4=Bron!$B$9,$X$4=Bron!$B$15),'Bouwkost NB'!$AG88,IF($X$4=Bron!$B$10,'Bouwkost UITB'!$AG87,IF($X$4=Bron!$B$11,'Bouwkost VERB'!$AG87,IF($X$4=Bron!$B$12,'Bouwkost IER'!$AG86,IF(OR($X$4=Bron!$B$13,$X$4=Bron!$B$14),'Bouwkost VOLT'!$AG87,IF($X$4=Bron!$C$16,'Bouwkost AK+VERB'!$AG87,0))))))</f>
        <v>0</v>
      </c>
    </row>
    <row r="82" spans="1:25" x14ac:dyDescent="0.3">
      <c r="A82" s="917" t="s">
        <v>130</v>
      </c>
      <c r="B82" s="89">
        <f>IF(OR($B$4=Bron!$B$8,$B$4=Bron!$B$9,$B$4=Bron!$B$15),'Bouwkost NB'!$K90,IF($B$4=Bron!$B$10,'Bouwkost UITB'!$K89,IF($B$4=Bron!$B$11,'Bouwkost VERB'!$K89,IF($B$4=Bron!$B$12,'Bouwkost IER'!$K88,IF(OR($B$4=Bron!$B$13,$B$4=Bron!$B$14),'Bouwkost VOLT'!$K89,IF($B$4=Bron!$C$16,'Bouwkost AK+VERB'!$K89,0))))))</f>
        <v>0</v>
      </c>
      <c r="D82" s="89">
        <f>IF(OR($D$4=Bron!$B$8,$D$4=Bron!$B$9,$D$4=Bron!$B$15),'Bouwkost NB'!$K90,IF($D$4=Bron!$B$10,'Bouwkost UITB'!$K89,IF($D$4=Bron!$B$11,'Bouwkost VERB'!$K89,IF($D$4=Bron!$B$12,'Bouwkost IER'!$K88,IF(OR($D$4=Bron!$B$13,$D$4=Bron!$B$14),'Bouwkost VOLT'!$K89,IF($D$4=Bron!$C$16,'Bouwkost AK+VERB'!$K89,0))))))</f>
        <v>0</v>
      </c>
      <c r="F82" s="89">
        <f>IF(OR($F$4=Bron!$B$8,$F$4=Bron!$B$9,$F$4=Bron!$B$15),'Bouwkost NB'!$K90,IF($F$4=Bron!$B$10,'Bouwkost UITB'!$K89,IF($F$4=Bron!$B$11,'Bouwkost VERB'!$K89,IF($F$4=Bron!$B$12,'Bouwkost IER'!$K88,IF(OR($F$4=Bron!$B$13,$F$4=Bron!$B$14),'Bouwkost VOLT'!$K89,IF($F$4=Bron!$C$16,'Bouwkost AK+VERB'!$K89,0))))))</f>
        <v>0</v>
      </c>
      <c r="H82" s="89">
        <f>IF(OR($H$4=Bron!$B$8,$H$4=Bron!$B$9,$H$4=Bron!$B$15),'Bouwkost NB'!$K90,IF($H$4=Bron!$B$10,'Bouwkost UITB'!$K89,IF($H$4=Bron!$B$11,'Bouwkost VERB'!$K89,IF($H$4=Bron!$B$12,'Bouwkost IER'!$K88,IF(OR($H$4=Bron!$B$13,$H$4=Bron!$B$14),'Bouwkost VOLT'!$K89,IF($H$4=Bron!$C$16,'Bouwkost AK+VERB'!$K89,0))))))</f>
        <v>0</v>
      </c>
      <c r="J82" s="89">
        <f>IF(OR($J$4=Bron!$B$8,$J$4=Bron!$B$9,$J$4=Bron!$B$15),'Bouwkost NB'!$V90,IF($J$4=Bron!$B$10,'Bouwkost UITB'!$V89,IF($J$4=Bron!$B$11,'Bouwkost VERB'!$V89,IF($J$4=Bron!$B$12,'Bouwkost IER'!$V88,IF(OR($J$4=Bron!$B$13,$J$4=Bron!$B$14),'Bouwkost VOLT'!$V89,IF($J$4=Bron!$C$16,'Bouwkost AK+VERB'!$V89,0))))))</f>
        <v>0</v>
      </c>
      <c r="L82" s="89">
        <f>IF(OR($L$4=Bron!$B$8,$L$4=Bron!$B$9,$L$4=Bron!$B$15),'Bouwkost NB'!$V90,IF($L$4=Bron!$B$10,'Bouwkost UITB'!$V89,IF($L$4=Bron!$B$11,'Bouwkost VERB'!$V89,IF($L$4=Bron!$B$12,'Bouwkost IER'!$V88,IF(OR($L$4=Bron!$B$13,$L$4=Bron!$B$14),'Bouwkost VOLT'!$V89,IF($L$4=Bron!$C$16,'Bouwkost AK+VERB'!$V89,0))))))</f>
        <v>0</v>
      </c>
      <c r="N82" s="89">
        <f>IF(OR($N$4=Bron!$B$8,$N$4=Bron!$B$9,,$N$4=Bron!$B$15),'Bouwkost NB'!$V90,IF($N$4=Bron!$B$10,'Bouwkost UITB'!$V89,IF($N$4=Bron!$B$11,'Bouwkost VERB'!$V89,IF($N$4=Bron!$B$12,'Bouwkost IER'!$V88,IF(OR($N$4=Bron!$B$13,$N$4=Bron!$B$14),'Bouwkost VOLT'!$V89,IF($N$4=Bron!$C$16,'Bouwkost AK+VERB'!$V89,0))))))</f>
        <v>0</v>
      </c>
      <c r="P82" s="89">
        <f>IF(OR($P$4=Bron!$B$8,$P$4=Bron!$B$9,$P$4=Bron!$B$15),'Bouwkost NB'!$V90,IF($P$4=Bron!$B$10,'Bouwkost UITB'!$V89,IF($P$4=Bron!$B$11,'Bouwkost VERB'!$V89,IF($P$4=Bron!$B$12,'Bouwkost IER'!$V88,IF(OR($P$4=Bron!$B$13,$P$4=Bron!$B$14),'Bouwkost VOLT'!$V89,IF($P$4=Bron!$C$16,'Bouwkost AK+VERB'!$V89,0))))))</f>
        <v>0</v>
      </c>
      <c r="R82" s="89">
        <f>IF(OR($R$4=Bron!$B$8,$R$4=Bron!$B$9,$R$4=Bron!$B$15),'Bouwkost NB'!$AG90,IF($R$4=Bron!$B$10,'Bouwkost UITB'!$AG89,IF($R$4=Bron!$B$11,'Bouwkost VERB'!$AG89,IF($R$4=Bron!$B$12,'Bouwkost IER'!$AG88,IF(OR($R$4=Bron!$B$13,$R$4=Bron!$B$14),'Bouwkost VOLT'!$AG89,IF($R$4=Bron!$C$16,'Bouwkost AK+VERB'!$AG89,0))))))</f>
        <v>0</v>
      </c>
      <c r="T82" s="89">
        <f>IF(OR($T$4=Bron!$B$8,$T$4=Bron!$B$9,$T$4=Bron!$B$15),'Bouwkost NB'!$AG90,IF($T$4=Bron!$B$10,'Bouwkost UITB'!$AG89,IF($T$4=Bron!$B$11,'Bouwkost VERB'!$AG89,IF($T$4=Bron!$B$12,'Bouwkost IER'!$AG88,IF(OR($T$4=Bron!$B$13,$T$4=Bron!$B$14),'Bouwkost VOLT'!$AG89,IF($T$4=Bron!$C$16,'Bouwkost AK+VERB'!$AG89,0))))))</f>
        <v>0</v>
      </c>
      <c r="V82" s="89">
        <f>IF(OR($V$4=Bron!$B$8,$V$4=Bron!$B$9,$V$4=Bron!$B$15),'Bouwkost NB'!$AG90,IF($V$4=Bron!$B$10,'Bouwkost UITB'!$AG89,IF($V$4=Bron!$B$11,'Bouwkost VERB'!$AG89,IF($V$4=Bron!$B$12,'Bouwkost IER'!$AG88,IF(OR($V$4=Bron!$B$13,$V$4=Bron!$B$14),'Bouwkost VOLT'!$AG89,IF($V$4=Bron!$C$16,'Bouwkost AK+VERB'!$AG89,0))))))</f>
        <v>0</v>
      </c>
      <c r="X82" s="89">
        <f>IF(OR($X$4=Bron!$B$8,$X$4=Bron!$B$9,$X$4=Bron!$B$15),'Bouwkost NB'!$AG90,IF($X$4=Bron!$B$10,'Bouwkost UITB'!$AG89,IF($X$4=Bron!$B$11,'Bouwkost VERB'!$AG89,IF($X$4=Bron!$B$12,'Bouwkost IER'!$AG88,IF(OR($X$4=Bron!$B$13,$X$4=Bron!$B$14),'Bouwkost VOLT'!$AG89,IF($X$4=Bron!$C$16,'Bouwkost AK+VERB'!$AG89,0))))))</f>
        <v>0</v>
      </c>
    </row>
    <row r="83" spans="1:25" x14ac:dyDescent="0.3">
      <c r="A83" s="22" t="s">
        <v>479</v>
      </c>
      <c r="B83" s="89">
        <f>IF(OR($B$4=Bron!$B$8,$B$4=Bron!$B$9,$B$4=Bron!$B$15),'Bouwkost NB'!$K91,IF($B$4=Bron!$B$10,'Bouwkost UITB'!$K90,IF($B$4=Bron!$B$11,'Bouwkost VERB'!$K90,IF($B$4=Bron!$B$12,'Bouwkost IER'!$K89,IF(OR($B$4=Bron!$B$13,$B$4=Bron!$B$14),'Bouwkost VOLT'!$K90,IF($B$4=Bron!$C$16,'Bouwkost AK+VERB'!$K90,0))))))</f>
        <v>0</v>
      </c>
      <c r="D83" s="89">
        <f>IF(OR($D$4=Bron!$B$8,$D$4=Bron!$B$9,$D$4=Bron!$B$15),'Bouwkost NB'!$K91,IF($D$4=Bron!$B$10,'Bouwkost UITB'!$K90,IF($D$4=Bron!$B$11,'Bouwkost VERB'!$K90,IF($D$4=Bron!$B$12,'Bouwkost IER'!$K89,IF(OR($D$4=Bron!$B$13,$D$4=Bron!$B$14),'Bouwkost VOLT'!$K90,IF($D$4=Bron!$C$16,'Bouwkost AK+VERB'!$K90,0))))))</f>
        <v>0</v>
      </c>
      <c r="F83" s="89">
        <f>IF(OR($F$4=Bron!$B$8,$F$4=Bron!$B$9,$F$4=Bron!$B$15),'Bouwkost NB'!$K91,IF($F$4=Bron!$B$10,'Bouwkost UITB'!$K90,IF($F$4=Bron!$B$11,'Bouwkost VERB'!$K90,IF($F$4=Bron!$B$12,'Bouwkost IER'!$K89,IF(OR($F$4=Bron!$B$13,$F$4=Bron!$B$14),'Bouwkost VOLT'!$K90,IF($F$4=Bron!$C$16,'Bouwkost AK+VERB'!$K90,0))))))</f>
        <v>0</v>
      </c>
      <c r="H83" s="89">
        <f>IF(OR($H$4=Bron!$B$8,$H$4=Bron!$B$9,$H$4=Bron!$B$15),'Bouwkost NB'!$K91,IF($H$4=Bron!$B$10,'Bouwkost UITB'!$K90,IF($H$4=Bron!$B$11,'Bouwkost VERB'!$K90,IF($H$4=Bron!$B$12,'Bouwkost IER'!$K89,IF(OR($H$4=Bron!$B$13,$H$4=Bron!$B$14),'Bouwkost VOLT'!$K90,IF($H$4=Bron!$C$16,'Bouwkost AK+VERB'!$K90,0))))))</f>
        <v>0</v>
      </c>
      <c r="J83" s="89">
        <f>IF(OR($J$4=Bron!$B$8,$J$4=Bron!$B$9,$J$4=Bron!$B$15),'Bouwkost NB'!$V91,IF($J$4=Bron!$B$10,'Bouwkost UITB'!$V90,IF($J$4=Bron!$B$11,'Bouwkost VERB'!$V90,IF($J$4=Bron!$B$12,'Bouwkost IER'!$V89,IF(OR($J$4=Bron!$B$13,$J$4=Bron!$B$14),'Bouwkost VOLT'!$V90,IF($J$4=Bron!$C$16,'Bouwkost AK+VERB'!$V90,0))))))</f>
        <v>0</v>
      </c>
      <c r="L83" s="89">
        <f>IF(OR($L$4=Bron!$B$8,$L$4=Bron!$B$9,$L$4=Bron!$B$15),'Bouwkost NB'!$V91,IF($L$4=Bron!$B$10,'Bouwkost UITB'!$V90,IF($L$4=Bron!$B$11,'Bouwkost VERB'!$V90,IF($L$4=Bron!$B$12,'Bouwkost IER'!$V89,IF(OR($L$4=Bron!$B$13,$L$4=Bron!$B$14),'Bouwkost VOLT'!$V90,IF($L$4=Bron!$C$16,'Bouwkost AK+VERB'!$V90,0))))))</f>
        <v>0</v>
      </c>
      <c r="N83" s="89">
        <f>IF(OR($N$4=Bron!$B$8,$N$4=Bron!$B$9,,$N$4=Bron!$B$15),'Bouwkost NB'!$V91,IF($N$4=Bron!$B$10,'Bouwkost UITB'!$V90,IF($N$4=Bron!$B$11,'Bouwkost VERB'!$V90,IF($N$4=Bron!$B$12,'Bouwkost IER'!$V89,IF(OR($N$4=Bron!$B$13,$N$4=Bron!$B$14),'Bouwkost VOLT'!$V90,IF($N$4=Bron!$C$16,'Bouwkost AK+VERB'!$V90,0))))))</f>
        <v>0</v>
      </c>
      <c r="P83" s="89">
        <f>IF(OR($P$4=Bron!$B$8,$P$4=Bron!$B$9,$P$4=Bron!$B$15),'Bouwkost NB'!$V91,IF($P$4=Bron!$B$10,'Bouwkost UITB'!$V90,IF($P$4=Bron!$B$11,'Bouwkost VERB'!$V90,IF($P$4=Bron!$B$12,'Bouwkost IER'!$V89,IF(OR($P$4=Bron!$B$13,$P$4=Bron!$B$14),'Bouwkost VOLT'!$V90,IF($P$4=Bron!$C$16,'Bouwkost AK+VERB'!$V90,0))))))</f>
        <v>0</v>
      </c>
      <c r="R83" s="89">
        <f>IF(OR($R$4=Bron!$B$8,$R$4=Bron!$B$9,$R$4=Bron!$B$15),'Bouwkost NB'!$AG91,IF($R$4=Bron!$B$10,'Bouwkost UITB'!$AG90,IF($R$4=Bron!$B$11,'Bouwkost VERB'!$AG90,IF($R$4=Bron!$B$12,'Bouwkost IER'!$AG89,IF(OR($R$4=Bron!$B$13,$R$4=Bron!$B$14),'Bouwkost VOLT'!$AG90,IF($R$4=Bron!$C$16,'Bouwkost AK+VERB'!$AG90,0))))))</f>
        <v>0</v>
      </c>
      <c r="T83" s="89">
        <f>IF(OR($T$4=Bron!$B$8,$T$4=Bron!$B$9,$T$4=Bron!$B$15),'Bouwkost NB'!$AG91,IF($T$4=Bron!$B$10,'Bouwkost UITB'!$AG90,IF($T$4=Bron!$B$11,'Bouwkost VERB'!$AG90,IF($T$4=Bron!$B$12,'Bouwkost IER'!$AG89,IF(OR($T$4=Bron!$B$13,$T$4=Bron!$B$14),'Bouwkost VOLT'!$AG90,IF($T$4=Bron!$C$16,'Bouwkost AK+VERB'!$AG90,0))))))</f>
        <v>0</v>
      </c>
      <c r="V83" s="89">
        <f>IF(OR($V$4=Bron!$B$8,$V$4=Bron!$B$9,$V$4=Bron!$B$15),'Bouwkost NB'!$AG91,IF($V$4=Bron!$B$10,'Bouwkost UITB'!$AG90,IF($V$4=Bron!$B$11,'Bouwkost VERB'!$AG90,IF($V$4=Bron!$B$12,'Bouwkost IER'!$AG89,IF(OR($V$4=Bron!$B$13,$V$4=Bron!$B$14),'Bouwkost VOLT'!$AG90,IF($V$4=Bron!$C$16,'Bouwkost AK+VERB'!$AG90,0))))))</f>
        <v>0</v>
      </c>
      <c r="X83" s="89">
        <f>IF(OR($X$4=Bron!$B$8,$X$4=Bron!$B$9,$X$4=Bron!$B$15),'Bouwkost NB'!$AG91,IF($X$4=Bron!$B$10,'Bouwkost UITB'!$AG90,IF($X$4=Bron!$B$11,'Bouwkost VERB'!$AG90,IF($X$4=Bron!$B$12,'Bouwkost IER'!$AG89,IF(OR($X$4=Bron!$B$13,$X$4=Bron!$B$14),'Bouwkost VOLT'!$AG90,IF($X$4=Bron!$C$16,'Bouwkost AK+VERB'!$AG90,0))))))</f>
        <v>0</v>
      </c>
    </row>
    <row r="84" spans="1:25" x14ac:dyDescent="0.3">
      <c r="A84" s="18"/>
    </row>
    <row r="85" spans="1:25" x14ac:dyDescent="0.3">
      <c r="A85" s="22" t="s">
        <v>88</v>
      </c>
      <c r="B85" s="89">
        <f>IF(OR($B$4=Bron!$B$8,$B$4=Bron!$B$9,$B$4=Bron!$B$15),'Bouwkost NB'!$K93,IF($B$4=Bron!$B$10,'Bouwkost UITB'!$K92,IF($B$4=Bron!$B$11,'Bouwkost VERB'!$K92,IF($B$4=Bron!$B$12,'Bouwkost IER'!$K91,IF(OR($B$4=Bron!$B$13,$B$4=Bron!$B$14),'Bouwkost VOLT'!$K92,IF($B$4=Bron!$C$16,'Bouwkost AK+VERB'!$K92,0))))))</f>
        <v>0</v>
      </c>
      <c r="D85" s="89">
        <f>IF(OR($D$4=Bron!$B$8,$D$4=Bron!$B$9,$D$4=Bron!$B$15),'Bouwkost NB'!$K93,IF($D$4=Bron!$B$10,'Bouwkost UITB'!$K92,IF($D$4=Bron!$B$11,'Bouwkost VERB'!$K92,IF($D$4=Bron!$B$12,'Bouwkost IER'!$K91,IF(OR($D$4=Bron!$B$13,$D$4=Bron!$B$14),'Bouwkost VOLT'!$K92,IF($D$4=Bron!$C$16,'Bouwkost AK+VERB'!$K92,0))))))</f>
        <v>0</v>
      </c>
      <c r="F85" s="89">
        <f>IF(OR($F$4=Bron!$B$8,$F$4=Bron!$B$9,$F$4=Bron!$B$15),'Bouwkost NB'!$K93,IF($F$4=Bron!$B$10,'Bouwkost UITB'!$K92,IF($F$4=Bron!$B$11,'Bouwkost VERB'!$K92,IF($F$4=Bron!$B$12,'Bouwkost IER'!$K91,IF(OR($F$4=Bron!$B$13,$F$4=Bron!$B$14),'Bouwkost VOLT'!$K92,IF($F$4=Bron!$C$16,'Bouwkost AK+VERB'!$K92,0))))))</f>
        <v>0</v>
      </c>
      <c r="H85" s="89">
        <f>IF(OR($H$4=Bron!$B$8,$H$4=Bron!$B$9,$H$4=Bron!$B$15),'Bouwkost NB'!$K93,IF($H$4=Bron!$B$10,'Bouwkost UITB'!$K92,IF($H$4=Bron!$B$11,'Bouwkost VERB'!$K92,IF($H$4=Bron!$B$12,'Bouwkost IER'!$K91,IF(OR($H$4=Bron!$B$13,$H$4=Bron!$B$14),'Bouwkost VOLT'!$K92,IF($H$4=Bron!$C$16,'Bouwkost AK+VERB'!$K92,0))))))</f>
        <v>0</v>
      </c>
      <c r="J85" s="89">
        <f>IF(OR($J$4=Bron!$B$8,$J$4=Bron!$B$9,$J$4=Bron!$B$15),'Bouwkost NB'!$V93,IF($J$4=Bron!$B$10,'Bouwkost UITB'!$V92,IF($J$4=Bron!$B$11,'Bouwkost VERB'!$V92,IF($J$4=Bron!$B$12,'Bouwkost IER'!$V91,IF(OR($J$4=Bron!$B$13,$J$4=Bron!$B$14),'Bouwkost VOLT'!$V92,IF($J$4=Bron!$C$16,'Bouwkost AK+VERB'!$V92,0))))))</f>
        <v>0</v>
      </c>
      <c r="L85" s="89">
        <f>IF(OR($L$4=Bron!$B$8,$L$4=Bron!$B$9,$L$4=Bron!$B$15),'Bouwkost NB'!$V93,IF($L$4=Bron!$B$10,'Bouwkost UITB'!$V92,IF($L$4=Bron!$B$11,'Bouwkost VERB'!$V92,IF($L$4=Bron!$B$12,'Bouwkost IER'!$V91,IF(OR($L$4=Bron!$B$13,$L$4=Bron!$B$14),'Bouwkost VOLT'!$V92,IF($L$4=Bron!$C$16,'Bouwkost AK+VERB'!$V92,0))))))</f>
        <v>0</v>
      </c>
      <c r="N85" s="89">
        <f>IF(OR($N$4=Bron!$B$8,$N$4=Bron!$B$9,,$N$4=Bron!$B$15),'Bouwkost NB'!$V93,IF($N$4=Bron!$B$10,'Bouwkost UITB'!$V92,IF($N$4=Bron!$B$11,'Bouwkost VERB'!$V92,IF($N$4=Bron!$B$12,'Bouwkost IER'!$V91,IF(OR($N$4=Bron!$B$13,$N$4=Bron!$B$14),'Bouwkost VOLT'!$V92,IF($N$4=Bron!$C$16,'Bouwkost AK+VERB'!$V92,0))))))</f>
        <v>0</v>
      </c>
      <c r="P85" s="89">
        <f>IF(OR($P$4=Bron!$B$8,$P$4=Bron!$B$9,$P$4=Bron!$B$15),'Bouwkost NB'!$V93,IF($P$4=Bron!$B$10,'Bouwkost UITB'!$V92,IF($P$4=Bron!$B$11,'Bouwkost VERB'!$V92,IF($P$4=Bron!$B$12,'Bouwkost IER'!$V91,IF(OR($P$4=Bron!$B$13,$P$4=Bron!$B$14),'Bouwkost VOLT'!$V92,IF($P$4=Bron!$C$16,'Bouwkost AK+VERB'!$V92,0))))))</f>
        <v>0</v>
      </c>
      <c r="R85" s="89">
        <f>IF(OR($R$4=Bron!$B$8,$R$4=Bron!$B$9,$R$4=Bron!$B$15),'Bouwkost NB'!$AG93,IF($R$4=Bron!$B$10,'Bouwkost UITB'!$AG92,IF($R$4=Bron!$B$11,'Bouwkost VERB'!$AG92,IF($R$4=Bron!$B$12,'Bouwkost IER'!$AG91,IF(OR($R$4=Bron!$B$13,$R$4=Bron!$B$14),'Bouwkost VOLT'!$AG92,IF($R$4=Bron!$C$16,'Bouwkost AK+VERB'!$AG92,0))))))</f>
        <v>0</v>
      </c>
      <c r="T85" s="89">
        <f>IF(OR($T$4=Bron!$B$8,$T$4=Bron!$B$9,$T$4=Bron!$B$15),'Bouwkost NB'!$AG93,IF($T$4=Bron!$B$10,'Bouwkost UITB'!$AG92,IF($T$4=Bron!$B$11,'Bouwkost VERB'!$AG92,IF($T$4=Bron!$B$12,'Bouwkost IER'!$AG91,IF(OR($T$4=Bron!$B$13,$T$4=Bron!$B$14),'Bouwkost VOLT'!$AG92,IF($T$4=Bron!$C$16,'Bouwkost AK+VERB'!$AG92,0))))))</f>
        <v>0</v>
      </c>
      <c r="V85" s="89">
        <f>IF(OR($V$4=Bron!$B$8,$V$4=Bron!$B$9,$V$4=Bron!$B$15),'Bouwkost NB'!$AG93,IF($V$4=Bron!$B$10,'Bouwkost UITB'!$AG92,IF($V$4=Bron!$B$11,'Bouwkost VERB'!$AG92,IF($V$4=Bron!$B$12,'Bouwkost IER'!$AG91,IF(OR($V$4=Bron!$B$13,$V$4=Bron!$B$14),'Bouwkost VOLT'!$AG92,IF($V$4=Bron!$C$16,'Bouwkost AK+VERB'!$AG92,0))))))</f>
        <v>0</v>
      </c>
      <c r="X85" s="89">
        <f>IF(OR($X$4=Bron!$B$8,$X$4=Bron!$B$9,$X$4=Bron!$B$15),'Bouwkost NB'!$AG93,IF($X$4=Bron!$B$10,'Bouwkost UITB'!$AG92,IF($X$4=Bron!$B$11,'Bouwkost VERB'!$AG92,IF($X$4=Bron!$B$12,'Bouwkost IER'!$AG91,IF(OR($X$4=Bron!$B$13,$X$4=Bron!$B$14),'Bouwkost VOLT'!$AG92,IF($X$4=Bron!$C$16,'Bouwkost AK+VERB'!$AG92,0))))))</f>
        <v>0</v>
      </c>
    </row>
    <row r="86" spans="1:25" x14ac:dyDescent="0.3">
      <c r="A86" s="18"/>
    </row>
    <row r="87" spans="1:25" x14ac:dyDescent="0.3">
      <c r="A87" s="249" t="s">
        <v>481</v>
      </c>
      <c r="B87" s="89">
        <f>IF(OR($B$4=Bron!$B$8,$B$4=Bron!$B$9,$B$4=Bron!$B$15),'Bouwkost NB'!$K95,IF($B$4=Bron!$B$10,'Bouwkost UITB'!$K94,IF($B$4=Bron!$B$11,'Bouwkost VERB'!$K94,IF($B$4=Bron!$B$12,'Bouwkost IER'!$K93,IF(OR($B$4=Bron!$B$13,$B$4=Bron!$B$14),'Bouwkost VOLT'!$K94,IF($B$4=Bron!$C$16,'Bouwkost AK+VERB'!$K94,0))))))</f>
        <v>0</v>
      </c>
      <c r="D87" s="89">
        <f>IF(OR($D$4=Bron!$B$8,$D$4=Bron!$B$9,$D$4=Bron!$B$15),'Bouwkost NB'!$K95,IF($D$4=Bron!$B$10,'Bouwkost UITB'!$K94,IF($D$4=Bron!$B$11,'Bouwkost VERB'!$K94,IF($D$4=Bron!$B$12,'Bouwkost IER'!$K93,IF(OR($D$4=Bron!$B$13,$D$4=Bron!$B$14),'Bouwkost VOLT'!$K94,IF($D$4=Bron!$C$16,'Bouwkost AK+VERB'!$K94,0))))))</f>
        <v>0</v>
      </c>
      <c r="F87" s="89">
        <f>IF(OR($F$4=Bron!$B$8,$F$4=Bron!$B$9,$F$4=Bron!$B$15),'Bouwkost NB'!$K95,IF($F$4=Bron!$B$10,'Bouwkost UITB'!$K94,IF($F$4=Bron!$B$11,'Bouwkost VERB'!$K94,IF($F$4=Bron!$B$12,'Bouwkost IER'!$K93,IF(OR($F$4=Bron!$B$13,$F$4=Bron!$B$14),'Bouwkost VOLT'!$K94,IF($F$4=Bron!$C$16,'Bouwkost AK+VERB'!$K94,0))))))</f>
        <v>0</v>
      </c>
      <c r="H87" s="89">
        <f>IF(OR($H$4=Bron!$B$8,$H$4=Bron!$B$9,$H$4=Bron!$B$15),'Bouwkost NB'!$K95,IF($H$4=Bron!$B$10,'Bouwkost UITB'!$K94,IF($H$4=Bron!$B$11,'Bouwkost VERB'!$K94,IF($H$4=Bron!$B$12,'Bouwkost IER'!$K93,IF(OR($H$4=Bron!$B$13,$H$4=Bron!$B$14),'Bouwkost VOLT'!$K94,IF($H$4=Bron!$C$16,'Bouwkost AK+VERB'!$K94,0))))))</f>
        <v>0</v>
      </c>
      <c r="J87" s="89">
        <f>IF(OR($J$4=Bron!$B$8,$J$4=Bron!$B$9,$J$4=Bron!$B$15),'Bouwkost NB'!$V95,IF($J$4=Bron!$B$10,'Bouwkost UITB'!$V94,IF($J$4=Bron!$B$11,'Bouwkost VERB'!$V94,IF($J$4=Bron!$B$12,'Bouwkost IER'!$V93,IF(OR($J$4=Bron!$B$13,$J$4=Bron!$B$14),'Bouwkost VOLT'!$V94,IF($J$4=Bron!$C$16,'Bouwkost AK+VERB'!$V94,0))))))</f>
        <v>0</v>
      </c>
      <c r="L87" s="89">
        <f>IF(OR($L$4=Bron!$B$8,$L$4=Bron!$B$9,$L$4=Bron!$B$15),'Bouwkost NB'!$V95,IF($L$4=Bron!$B$10,'Bouwkost UITB'!$V94,IF($L$4=Bron!$B$11,'Bouwkost VERB'!$V94,IF($L$4=Bron!$B$12,'Bouwkost IER'!$V93,IF(OR($L$4=Bron!$B$13,$L$4=Bron!$B$14),'Bouwkost VOLT'!$V94,IF($L$4=Bron!$C$16,'Bouwkost AK+VERB'!$V94,0))))))</f>
        <v>0</v>
      </c>
      <c r="N87" s="89">
        <f>IF(OR($N$4=Bron!$B$8,$N$4=Bron!$B$9,,$N$4=Bron!$B$15),'Bouwkost NB'!$V95,IF($N$4=Bron!$B$10,'Bouwkost UITB'!$V94,IF($N$4=Bron!$B$11,'Bouwkost VERB'!$V94,IF($N$4=Bron!$B$12,'Bouwkost IER'!$V93,IF(OR($N$4=Bron!$B$13,$N$4=Bron!$B$14),'Bouwkost VOLT'!$V94,IF($N$4=Bron!$C$16,'Bouwkost AK+VERB'!$V94,0))))))</f>
        <v>0</v>
      </c>
      <c r="P87" s="89">
        <f>IF(OR($P$4=Bron!$B$8,$P$4=Bron!$B$9,$P$4=Bron!$B$15),'Bouwkost NB'!$V95,IF($P$4=Bron!$B$10,'Bouwkost UITB'!$V94,IF($P$4=Bron!$B$11,'Bouwkost VERB'!$V94,IF($P$4=Bron!$B$12,'Bouwkost IER'!$V93,IF(OR($P$4=Bron!$B$13,$P$4=Bron!$B$14),'Bouwkost VOLT'!$V94,IF($P$4=Bron!$C$16,'Bouwkost AK+VERB'!$V94,0))))))</f>
        <v>0</v>
      </c>
      <c r="R87" s="89">
        <f>IF(OR($R$4=Bron!$B$8,$R$4=Bron!$B$9,$R$4=Bron!$B$15),'Bouwkost NB'!$AG95,IF($R$4=Bron!$B$10,'Bouwkost UITB'!$AG94,IF($R$4=Bron!$B$11,'Bouwkost VERB'!$AG94,IF($R$4=Bron!$B$12,'Bouwkost IER'!$AG93,IF(OR($R$4=Bron!$B$13,$R$4=Bron!$B$14),'Bouwkost VOLT'!$AG94,IF($R$4=Bron!$C$16,'Bouwkost AK+VERB'!$AG94,0))))))</f>
        <v>0</v>
      </c>
      <c r="T87" s="89">
        <f>IF(OR($T$4=Bron!$B$8,$T$4=Bron!$B$9,$T$4=Bron!$B$15),'Bouwkost NB'!$AG95,IF($T$4=Bron!$B$10,'Bouwkost UITB'!$AG94,IF($T$4=Bron!$B$11,'Bouwkost VERB'!$AG94,IF($T$4=Bron!$B$12,'Bouwkost IER'!$AG93,IF(OR($T$4=Bron!$B$13,$T$4=Bron!$B$14),'Bouwkost VOLT'!$AG94,IF($T$4=Bron!$C$16,'Bouwkost AK+VERB'!$AG94,0))))))</f>
        <v>0</v>
      </c>
      <c r="V87" s="89">
        <f>IF(OR($V$4=Bron!$B$8,$V$4=Bron!$B$9,$V$4=Bron!$B$15),'Bouwkost NB'!$AG95,IF($V$4=Bron!$B$10,'Bouwkost UITB'!$AG94,IF($V$4=Bron!$B$11,'Bouwkost VERB'!$AG94,IF($V$4=Bron!$B$12,'Bouwkost IER'!$AG93,IF(OR($V$4=Bron!$B$13,$V$4=Bron!$B$14),'Bouwkost VOLT'!$AG94,IF($V$4=Bron!$C$16,'Bouwkost AK+VERB'!$AG94,0))))))</f>
        <v>0</v>
      </c>
      <c r="X87" s="89">
        <f>IF(OR($X$4=Bron!$B$8,$X$4=Bron!$B$9,$X$4=Bron!$B$15),'Bouwkost NB'!$AG95,IF($X$4=Bron!$B$10,'Bouwkost UITB'!$AG94,IF($X$4=Bron!$B$11,'Bouwkost VERB'!$AG94,IF($X$4=Bron!$B$12,'Bouwkost IER'!$AG93,IF(OR($X$4=Bron!$B$13,$X$4=Bron!$B$14),'Bouwkost VOLT'!$AG94,IF($X$4=Bron!$C$16,'Bouwkost AK+VERB'!$AG94,0))))))</f>
        <v>0</v>
      </c>
    </row>
    <row r="89" spans="1:25" x14ac:dyDescent="0.3">
      <c r="A89" s="307" t="s">
        <v>482</v>
      </c>
      <c r="B89" s="89">
        <f>IF(OR($B$4=Bron!$B$8,$B$4=Bron!$B$9,$B$4=Bron!$B$15),'Bouwkost NB'!$AN97,IF($B$4=Bron!$B$10,'Bouwkost UITB'!$P85,IF($B$4=Bron!$B$11,'Bouwkost VERB'!$AZ86,IF($B$4=Bron!$B$12,'Bouwkost IER'!$O85,IF(OR($B$4=Bron!$B$13,$B$4=Bron!$B$14),'Bouwkost VOLT'!$O86,IF($B$4=Bron!$C$16,'Bouwkost AK+VERB'!$O86,0))))))</f>
        <v>0</v>
      </c>
      <c r="D89" s="89">
        <f>IF(OR($D$4=Bron!$B$8,$D$4=Bron!$B$9,$D$4=Bron!$B$15),'Bouwkost NB'!$K97,IF($D$4=Bron!$B$10,'Bouwkost UITB'!$K96,IF($D$4=Bron!$B$11,'Bouwkost VERB'!$K96,IF($D$4=Bron!$B$12,'Bouwkost IER'!$K95,IF(OR($D$4=Bron!$B$13,$D$4=Bron!$B$14),'Bouwkost VOLT'!$K96,IF($D$4=Bron!$C$16,'Bouwkost AK+VERB'!$K96,0))))))</f>
        <v>0</v>
      </c>
      <c r="F89" s="89">
        <f>IF(OR($F$4=Bron!$B$8,$F$4=Bron!$B$9,$F$4=Bron!$B$15),'Bouwkost NB'!$K97,IF($F$4=Bron!$B$10,'Bouwkost UITB'!$K96,IF($F$4=Bron!$B$11,'Bouwkost VERB'!$K96,IF($F$4=Bron!$B$12,'Bouwkost IER'!$K95,IF(OR($F$4=Bron!$B$13,$F$4=Bron!$B$14),'Bouwkost VOLT'!$K96,IF($F$4=Bron!$C$16,'Bouwkost AK+VERB'!$K96,0))))))</f>
        <v>0</v>
      </c>
      <c r="H89" s="89">
        <f>IF(OR($H$4=Bron!$B$8,$H$4=Bron!$B$9,$H$4=Bron!$B$15),'Bouwkost NB'!$K97,IF($H$4=Bron!$B$10,'Bouwkost UITB'!$K96,IF($H$4=Bron!$B$11,'Bouwkost VERB'!$K96,IF($H$4=Bron!$B$12,'Bouwkost IER'!$K95,IF(OR($H$4=Bron!$B$13,$H$4=Bron!$B$14),'Bouwkost VOLT'!$K96,IF($H$4=Bron!$C$16,'Bouwkost AK+VERB'!$K96,0))))))</f>
        <v>0</v>
      </c>
      <c r="J89" s="89">
        <f>IF(OR($J$4=Bron!$B$8,$J$4=Bron!$B$9,$J$4=Bron!$B$15),'Bouwkost NB'!$V97,IF($J$4=Bron!$B$10,'Bouwkost UITB'!$V96,IF($J$4=Bron!$B$11,'Bouwkost VERB'!$V96,IF($J$4=Bron!$B$12,'Bouwkost IER'!$V95,IF(OR($J$4=Bron!$B$13,$J$4=Bron!$B$14),'Bouwkost VOLT'!$V96,IF($J$4=Bron!$C$16,'Bouwkost AK+VERB'!$V96,0))))))</f>
        <v>0</v>
      </c>
      <c r="L89" s="89">
        <f>IF(OR($L$4=Bron!$B$8,$L$4=Bron!$B$9,$L$4=Bron!$B$15),'Bouwkost NB'!$V97,IF($L$4=Bron!$B$10,'Bouwkost UITB'!$V96,IF($L$4=Bron!$B$11,'Bouwkost VERB'!$V96,IF($L$4=Bron!$B$12,'Bouwkost IER'!$V95,IF(OR($L$4=Bron!$B$13,$L$4=Bron!$B$14),'Bouwkost VOLT'!$V96,IF($L$4=Bron!$C$16,'Bouwkost AK+VERB'!$V96,0))))))</f>
        <v>0</v>
      </c>
      <c r="N89" s="89">
        <f>IF(OR($N$4=Bron!$B$8,$N$4=Bron!$B$9,,$N$4=Bron!$B$15),'Bouwkost NB'!$V97,IF($N$4=Bron!$B$10,'Bouwkost UITB'!$V96,IF($N$4=Bron!$B$11,'Bouwkost VERB'!$V96,IF($N$4=Bron!$B$12,'Bouwkost IER'!$V95,IF(OR($N$4=Bron!$B$13,$N$4=Bron!$B$14),'Bouwkost VOLT'!$V96,IF($N$4=Bron!$C$16,'Bouwkost AK+VERB'!$V96,0))))))</f>
        <v>0</v>
      </c>
      <c r="P89" s="89">
        <f>IF(OR($P$4=Bron!$B$8,$P$4=Bron!$B$9,$P$4=Bron!$B$15),'Bouwkost NB'!$V97,IF($P$4=Bron!$B$10,'Bouwkost UITB'!$V96,IF($P$4=Bron!$B$11,'Bouwkost VERB'!$V96,IF($P$4=Bron!$B$12,'Bouwkost IER'!$V95,IF(OR($P$4=Bron!$B$13,$P$4=Bron!$B$14),'Bouwkost VOLT'!$V96,IF($P$4=Bron!$C$16,'Bouwkost AK+VERB'!$V96,0))))))</f>
        <v>0</v>
      </c>
      <c r="R89" s="89">
        <f>IF(OR($R$4=Bron!$B$8,$R$4=Bron!$B$9,$R$4=Bron!$B$15),'Bouwkost NB'!$AG97,IF($R$4=Bron!$B$10,'Bouwkost UITB'!$AG96,IF($R$4=Bron!$B$11,'Bouwkost VERB'!$AG96,IF($R$4=Bron!$B$12,'Bouwkost IER'!$AG95,IF(OR($R$4=Bron!$B$13,$R$4=Bron!$B$14),'Bouwkost VOLT'!$AG96,IF($R$4=Bron!$C$16,'Bouwkost AK+VERB'!$AG96,0))))))</f>
        <v>0</v>
      </c>
      <c r="T89" s="89">
        <f>IF(OR($T$4=Bron!$B$8,$T$4=Bron!$B$9,$T$4=Bron!$B$15),'Bouwkost NB'!$AG97,IF($T$4=Bron!$B$10,'Bouwkost UITB'!$AG96,IF($T$4=Bron!$B$11,'Bouwkost VERB'!$AG96,IF($T$4=Bron!$B$12,'Bouwkost IER'!$AG95,IF(OR($T$4=Bron!$B$13,$T$4=Bron!$B$14),'Bouwkost VOLT'!$AG96,IF($T$4=Bron!$C$16,'Bouwkost AK+VERB'!$AG96,0))))))</f>
        <v>0</v>
      </c>
      <c r="V89" s="89">
        <f>IF(OR($V$4=Bron!$B$8,$V$4=Bron!$B$9,$V$4=Bron!$B$15),'Bouwkost NB'!$AG97,IF($V$4=Bron!$B$10,'Bouwkost UITB'!$AG96,IF($V$4=Bron!$B$11,'Bouwkost VERB'!$AG96,IF($V$4=Bron!$B$12,'Bouwkost IER'!$AG95,IF(OR($V$4=Bron!$B$13,$V$4=Bron!$B$14),'Bouwkost VOLT'!$AG96,IF($V$4=Bron!$C$16,'Bouwkost AK+VERB'!$AG96,0))))))</f>
        <v>0</v>
      </c>
      <c r="X89" s="89">
        <f>IF(OR($X$4=Bron!$B$8,$X$4=Bron!$B$9,$X$4=Bron!$B$15),'Bouwkost NB'!$AG97,IF($X$4=Bron!$B$10,'Bouwkost UITB'!$AG96,IF($X$4=Bron!$B$11,'Bouwkost VERB'!$AG96,IF($X$4=Bron!$B$12,'Bouwkost IER'!$AG95,IF(OR($X$4=Bron!$B$13,$X$4=Bron!$B$14),'Bouwkost VOLT'!$AG96,IF($X$4=Bron!$C$16,'Bouwkost AK+VERB'!$AG96,0))))))</f>
        <v>0</v>
      </c>
    </row>
    <row r="90" spans="1:25" x14ac:dyDescent="0.3">
      <c r="A90" s="21" t="s">
        <v>356</v>
      </c>
      <c r="B90" s="810">
        <f>IF(OR($B$4=Bron!$B$8,$B$4=Bron!$B$9,$B$4=Bron!$B$15),'Bouwkost NB'!$K98,IF($B$4=Bron!$B$10,'Bouwkost UITB'!$K97,IF($B$4=Bron!$B$11,'Bouwkost VERB'!$K97,IF($B$4=Bron!$B$12,'Bouwkost IER'!$K96,IF(OR($B$4=Bron!$B$13,$B$4=Bron!$B$14),'Bouwkost VOLT'!$K97,IF($B$4=Bron!$C$16,'Bouwkost AK+VERB'!$K97,0))))))</f>
        <v>0</v>
      </c>
      <c r="C90" s="810"/>
      <c r="D90" s="810">
        <f>IF(OR($D$4=Bron!$B$8,$D$4=Bron!$B$9,$D$4=Bron!$B$15),'Bouwkost NB'!$K98,IF($D$4=Bron!$B$10,'Bouwkost UITB'!$K97,IF($D$4=Bron!$B$11,'Bouwkost VERB'!$K97,IF($D$4=Bron!$B$12,'Bouwkost IER'!$K96,IF(OR($D$4=Bron!$B$13,$D$4=Bron!$B$14),'Bouwkost VOLT'!$K97,IF($D$4=Bron!$C$16,'Bouwkost AK+VERB'!$K97,0))))))</f>
        <v>0</v>
      </c>
      <c r="E90" s="810"/>
      <c r="F90" s="810">
        <f>IF(OR($F$4=Bron!$B$8,$F$4=Bron!$B$9,$F$4=Bron!$B$15),'Bouwkost NB'!$K98,IF($F$4=Bron!$B$10,'Bouwkost UITB'!$K97,IF($F$4=Bron!$B$11,'Bouwkost VERB'!$K97,IF($F$4=Bron!$B$12,'Bouwkost IER'!$K96,IF(OR($F$4=Bron!$B$13,$F$4=Bron!$B$14),'Bouwkost VOLT'!$K97,IF($F$4=Bron!$C$16,'Bouwkost AK+VERB'!$K97,0))))))</f>
        <v>0</v>
      </c>
      <c r="G90" s="810"/>
      <c r="H90" s="810">
        <f>IF(OR($H$4=Bron!$B$8,$H$4=Bron!$B$9,$H$4=Bron!$B$15),'Bouwkost NB'!$K98,IF($H$4=Bron!$B$10,'Bouwkost UITB'!$K97,IF($H$4=Bron!$B$11,'Bouwkost VERB'!$K97,IF($H$4=Bron!$B$12,'Bouwkost IER'!$K96,IF(OR($H$4=Bron!$B$13,$H$4=Bron!$B$14),'Bouwkost VOLT'!$K97,IF($H$4=Bron!$C$16,'Bouwkost AK+VERB'!$K97,0))))))</f>
        <v>0</v>
      </c>
      <c r="I90" s="810"/>
      <c r="J90" s="810">
        <f>IF(OR($J$4=Bron!$B$8,$J$4=Bron!$B$9,$J$4=Bron!$B$15),'Bouwkost NB'!$V98,IF($J$4=Bron!$B$10,'Bouwkost UITB'!$V97,IF($J$4=Bron!$B$11,'Bouwkost VERB'!$V97,IF($J$4=Bron!$B$12,'Bouwkost IER'!$V96,IF(OR($J$4=Bron!$B$13,$J$4=Bron!$B$14),'Bouwkost VOLT'!$V97,IF($J$4=Bron!$C$16,'Bouwkost AK+VERB'!$V97,0))))))</f>
        <v>0</v>
      </c>
      <c r="K90" s="810"/>
      <c r="L90" s="810">
        <f>IF(OR($L$4=Bron!$B$8,$L$4=Bron!$B$9,$L$4=Bron!$B$15),'Bouwkost NB'!$V98,IF($L$4=Bron!$B$10,'Bouwkost UITB'!$V97,IF($L$4=Bron!$B$11,'Bouwkost VERB'!$V97,IF($L$4=Bron!$B$12,'Bouwkost IER'!$V96,IF(OR($L$4=Bron!$B$13,$L$4=Bron!$B$14),'Bouwkost VOLT'!$V97,IF($L$4=Bron!$C$16,'Bouwkost AK+VERB'!$V97,0))))))</f>
        <v>0</v>
      </c>
      <c r="M90" s="810"/>
      <c r="N90" s="810">
        <f>IF(OR($N$4=Bron!$B$8,$N$4=Bron!$B$9,,$N$4=Bron!$B$15),'Bouwkost NB'!$V98,IF($N$4=Bron!$B$10,'Bouwkost UITB'!$V97,IF($N$4=Bron!$B$11,'Bouwkost VERB'!$V97,IF($N$4=Bron!$B$12,'Bouwkost IER'!$V96,IF(OR($N$4=Bron!$B$13,$N$4=Bron!$B$14),'Bouwkost VOLT'!$V97,IF($N$4=Bron!$C$16,'Bouwkost AK+VERB'!$V97,0))))))</f>
        <v>0</v>
      </c>
      <c r="O90" s="810"/>
      <c r="P90" s="810">
        <f>IF(OR($P$4=Bron!$B$8,$P$4=Bron!$B$9,$P$4=Bron!$B$15),'Bouwkost NB'!$V98,IF($P$4=Bron!$B$10,'Bouwkost UITB'!$V97,IF($P$4=Bron!$B$11,'Bouwkost VERB'!$V97,IF($P$4=Bron!$B$12,'Bouwkost IER'!$V96,IF(OR($P$4=Bron!$B$13,$P$4=Bron!$B$14),'Bouwkost VOLT'!$V97,IF($P$4=Bron!$C$16,'Bouwkost AK+VERB'!$V97,0))))))</f>
        <v>0</v>
      </c>
      <c r="Q90" s="810"/>
      <c r="R90" s="810">
        <f>IF(OR($R$4=Bron!$B$8,$R$4=Bron!$B$9,$R$4=Bron!$B$15),'Bouwkost NB'!$AG98,IF($R$4=Bron!$B$10,'Bouwkost UITB'!$AG97,IF($R$4=Bron!$B$11,'Bouwkost VERB'!$AG97,IF($R$4=Bron!$B$12,'Bouwkost IER'!$AG96,IF(OR($R$4=Bron!$B$13,$R$4=Bron!$B$14),'Bouwkost VOLT'!$AG97,IF($R$4=Bron!$C$16,'Bouwkost AK+VERB'!$AG97,0))))))</f>
        <v>0</v>
      </c>
      <c r="S90" s="810"/>
      <c r="T90" s="810">
        <f>IF(OR($T$4=Bron!$B$8,$T$4=Bron!$B$9,$T$4=Bron!$B$15),'Bouwkost NB'!$AG98,IF($T$4=Bron!$B$10,'Bouwkost UITB'!$AG97,IF($T$4=Bron!$B$11,'Bouwkost VERB'!$AG97,IF($T$4=Bron!$B$12,'Bouwkost IER'!$AG96,IF(OR($T$4=Bron!$B$13,$T$4=Bron!$B$14),'Bouwkost VOLT'!$AG97,IF($T$4=Bron!$C$16,'Bouwkost AK+VERB'!$AG97,0))))))</f>
        <v>0</v>
      </c>
      <c r="U90" s="810"/>
      <c r="V90" s="810">
        <f>IF(OR($V$4=Bron!$B$8,$V$4=Bron!$B$9,$V$4=Bron!$B$15),'Bouwkost NB'!$AG98,IF($V$4=Bron!$B$10,'Bouwkost UITB'!$AG97,IF($V$4=Bron!$B$11,'Bouwkost VERB'!$AG97,IF($V$4=Bron!$B$12,'Bouwkost IER'!$AG96,IF(OR($V$4=Bron!$B$13,$V$4=Bron!$B$14),'Bouwkost VOLT'!$AG97,IF($V$4=Bron!$C$16,'Bouwkost AK+VERB'!$AG97,0))))))</f>
        <v>0</v>
      </c>
      <c r="W90" s="810"/>
      <c r="X90" s="810">
        <f>IF(OR($X$4=Bron!$B$8,$X$4=Bron!$B$9,$X$4=Bron!$B$15),'Bouwkost NB'!$AG98,IF($X$4=Bron!$B$10,'Bouwkost UITB'!$AG97,IF($X$4=Bron!$B$11,'Bouwkost VERB'!$AG97,IF($X$4=Bron!$B$12,'Bouwkost IER'!$AG96,IF(OR($X$4=Bron!$B$13,$X$4=Bron!$B$14),'Bouwkost VOLT'!$AG97,IF($X$4=Bron!$C$16,'Bouwkost AK+VERB'!$AG97,0))))))</f>
        <v>0</v>
      </c>
      <c r="Y90" s="810" t="str">
        <f>IFERROR(Y37/'Overzicht project_gewijzigd'!$E$28,"0")</f>
        <v>0</v>
      </c>
    </row>
    <row r="91" spans="1:25" x14ac:dyDescent="0.3">
      <c r="A91" s="21" t="s">
        <v>357</v>
      </c>
      <c r="B91" s="810">
        <f>IF(OR($B$4=Bron!$B$8,$B$4=Bron!$B$9,$B$4=Bron!$B$15),'Bouwkost NB'!$K99,IF($B$4=Bron!$B$10,'Bouwkost UITB'!$K98,IF($B$4=Bron!$B$11,'Bouwkost VERB'!$K98,IF($B$4=Bron!$B$12,'Bouwkost IER'!$K97,IF(OR($B$4=Bron!$B$13,$B$4=Bron!$B$14),'Bouwkost VOLT'!$K98,IF($B$4=Bron!$C$16,'Bouwkost AK+VERB'!$K98,0))))))</f>
        <v>0</v>
      </c>
      <c r="C91" s="810"/>
      <c r="D91" s="810">
        <f>IF(OR($D$4=Bron!$B$8,$D$4=Bron!$B$9,$D$4=Bron!$B$15),'Bouwkost NB'!$K99,IF($D$4=Bron!$B$10,'Bouwkost UITB'!$K98,IF($D$4=Bron!$B$11,'Bouwkost VERB'!$K98,IF($D$4=Bron!$B$12,'Bouwkost IER'!$K97,IF(OR($D$4=Bron!$B$13,$D$4=Bron!$B$14),'Bouwkost VOLT'!$K98,IF($D$4=Bron!$C$16,'Bouwkost AK+VERB'!$K98,0))))))</f>
        <v>0</v>
      </c>
      <c r="E91" s="810"/>
      <c r="F91" s="810">
        <f>IF(OR($F$4=Bron!$B$8,$F$4=Bron!$B$9,$F$4=Bron!$B$15),'Bouwkost NB'!$K99,IF($F$4=Bron!$B$10,'Bouwkost UITB'!$K98,IF($F$4=Bron!$B$11,'Bouwkost VERB'!$K98,IF($F$4=Bron!$B$12,'Bouwkost IER'!$K97,IF(OR($F$4=Bron!$B$13,$F$4=Bron!$B$14),'Bouwkost VOLT'!$K98,IF($F$4=Bron!$C$16,'Bouwkost AK+VERB'!$K98,0))))))</f>
        <v>0</v>
      </c>
      <c r="G91" s="810"/>
      <c r="H91" s="810">
        <f>IF(OR($H$4=Bron!$B$8,$H$4=Bron!$B$9,$H$4=Bron!$B$15),'Bouwkost NB'!$K99,IF($H$4=Bron!$B$10,'Bouwkost UITB'!$K98,IF($H$4=Bron!$B$11,'Bouwkost VERB'!$K98,IF($H$4=Bron!$B$12,'Bouwkost IER'!$K97,IF(OR($H$4=Bron!$B$13,$H$4=Bron!$B$14),'Bouwkost VOLT'!$K98,IF($H$4=Bron!$C$16,'Bouwkost AK+VERB'!$K98,0))))))</f>
        <v>0</v>
      </c>
      <c r="I91" s="810"/>
      <c r="J91" s="810">
        <f>IF(OR($J$4=Bron!$B$8,$J$4=Bron!$B$9,$J$4=Bron!$B$15),'Bouwkost NB'!$V99,IF($J$4=Bron!$B$10,'Bouwkost UITB'!$V98,IF($J$4=Bron!$B$11,'Bouwkost VERB'!$V98,IF($J$4=Bron!$B$12,'Bouwkost IER'!$V97,IF(OR($J$4=Bron!$B$13,$J$4=Bron!$B$14),'Bouwkost VOLT'!$V98,IF($J$4=Bron!$C$16,'Bouwkost AK+VERB'!$V98,0))))))</f>
        <v>0</v>
      </c>
      <c r="K91" s="810"/>
      <c r="L91" s="810">
        <f>IF(OR($L$4=Bron!$B$8,$L$4=Bron!$B$9,$L$4=Bron!$B$15),'Bouwkost NB'!$V99,IF($L$4=Bron!$B$10,'Bouwkost UITB'!$V98,IF($L$4=Bron!$B$11,'Bouwkost VERB'!$V98,IF($L$4=Bron!$B$12,'Bouwkost IER'!$V97,IF(OR($L$4=Bron!$B$13,$L$4=Bron!$B$14),'Bouwkost VOLT'!$V98,IF($L$4=Bron!$C$16,'Bouwkost AK+VERB'!$V98,0))))))</f>
        <v>0</v>
      </c>
      <c r="M91" s="810"/>
      <c r="N91" s="810">
        <f>IF(OR($N$4=Bron!$B$8,$N$4=Bron!$B$9,,$N$4=Bron!$B$15),'Bouwkost NB'!$V99,IF($N$4=Bron!$B$10,'Bouwkost UITB'!$V98,IF($N$4=Bron!$B$11,'Bouwkost VERB'!$V98,IF($N$4=Bron!$B$12,'Bouwkost IER'!$V97,IF(OR($N$4=Bron!$B$13,$N$4=Bron!$B$14),'Bouwkost VOLT'!$V98,IF($N$4=Bron!$C$16,'Bouwkost AK+VERB'!$V98,0))))))</f>
        <v>0</v>
      </c>
      <c r="O91" s="810"/>
      <c r="P91" s="810">
        <f>IF(OR($P$4=Bron!$B$8,$P$4=Bron!$B$9,$P$4=Bron!$B$15),'Bouwkost NB'!$V99,IF($P$4=Bron!$B$10,'Bouwkost UITB'!$V98,IF($P$4=Bron!$B$11,'Bouwkost VERB'!$V98,IF($P$4=Bron!$B$12,'Bouwkost IER'!$V97,IF(OR($P$4=Bron!$B$13,$P$4=Bron!$B$14),'Bouwkost VOLT'!$V98,IF($P$4=Bron!$C$16,'Bouwkost AK+VERB'!$V98,0))))))</f>
        <v>0</v>
      </c>
      <c r="Q91" s="810"/>
      <c r="R91" s="810">
        <f>IF(OR($R$4=Bron!$B$8,$R$4=Bron!$B$9,$R$4=Bron!$B$15),'Bouwkost NB'!$AG99,IF($R$4=Bron!$B$10,'Bouwkost UITB'!$AG98,IF($R$4=Bron!$B$11,'Bouwkost VERB'!$AG98,IF($R$4=Bron!$B$12,'Bouwkost IER'!$AG97,IF(OR($R$4=Bron!$B$13,$R$4=Bron!$B$14),'Bouwkost VOLT'!$AG98,IF($R$4=Bron!$C$16,'Bouwkost AK+VERB'!$AG98,0))))))</f>
        <v>0</v>
      </c>
      <c r="S91" s="810"/>
      <c r="T91" s="810">
        <f>IF(OR($T$4=Bron!$B$8,$T$4=Bron!$B$9,$T$4=Bron!$B$15),'Bouwkost NB'!$AG99,IF($T$4=Bron!$B$10,'Bouwkost UITB'!$AG98,IF($T$4=Bron!$B$11,'Bouwkost VERB'!$AG98,IF($T$4=Bron!$B$12,'Bouwkost IER'!$AG97,IF(OR($T$4=Bron!$B$13,$T$4=Bron!$B$14),'Bouwkost VOLT'!$AG98,IF($T$4=Bron!$C$16,'Bouwkost AK+VERB'!$AG98,0))))))</f>
        <v>0</v>
      </c>
      <c r="U91" s="810"/>
      <c r="V91" s="810">
        <f>IF(OR($V$4=Bron!$B$8,$V$4=Bron!$B$9,$V$4=Bron!$B$15),'Bouwkost NB'!$AG99,IF($V$4=Bron!$B$10,'Bouwkost UITB'!$AG98,IF($V$4=Bron!$B$11,'Bouwkost VERB'!$AG98,IF($V$4=Bron!$B$12,'Bouwkost IER'!$AG97,IF(OR($V$4=Bron!$B$13,$V$4=Bron!$B$14),'Bouwkost VOLT'!$AG98,IF($V$4=Bron!$C$16,'Bouwkost AK+VERB'!$AG98,0))))))</f>
        <v>0</v>
      </c>
      <c r="W91" s="810"/>
      <c r="X91" s="810">
        <f>IF(OR($X$4=Bron!$B$8,$X$4=Bron!$B$9,$X$4=Bron!$B$15),'Bouwkost NB'!$AG99,IF($X$4=Bron!$B$10,'Bouwkost UITB'!$AG98,IF($X$4=Bron!$B$11,'Bouwkost VERB'!$AG98,IF($X$4=Bron!$B$12,'Bouwkost IER'!$AG97,IF(OR($X$4=Bron!$B$13,$X$4=Bron!$B$14),'Bouwkost VOLT'!$AG98,IF($X$4=Bron!$C$16,'Bouwkost AK+VERB'!$AG98,0))))))</f>
        <v>0</v>
      </c>
      <c r="Y91" s="810" t="str">
        <f>IFERROR(Y39/'Overzicht project_gewijzigd'!$E$28,"0")</f>
        <v>0</v>
      </c>
    </row>
    <row r="92" spans="1:25" x14ac:dyDescent="0.3">
      <c r="A92" s="21" t="s">
        <v>358</v>
      </c>
      <c r="B92" s="810">
        <f>IF(OR($B$4=Bron!$B$8,$B$4=Bron!$B$9,$B$4=Bron!$B$15),'Bouwkost NB'!$K100,IF($B$4=Bron!$B$10,'Bouwkost UITB'!$K99,IF($B$4=Bron!$B$11,'Bouwkost VERB'!$K99,IF($B$4=Bron!$B$12,'Bouwkost IER'!$K98,IF(OR($B$4=Bron!$B$13,$B$4=Bron!$B$14),'Bouwkost VOLT'!$K99,IF($B$4=Bron!$C$16,'Bouwkost AK+VERB'!$K99,0))))))</f>
        <v>0</v>
      </c>
      <c r="C92" s="810"/>
      <c r="D92" s="810">
        <f>IF(OR($D$4=Bron!$B$8,$D$4=Bron!$B$9,$D$4=Bron!$B$15),'Bouwkost NB'!$K100,IF($D$4=Bron!$B$10,'Bouwkost UITB'!$K99,IF($D$4=Bron!$B$11,'Bouwkost VERB'!$K99,IF($D$4=Bron!$B$12,'Bouwkost IER'!$K98,IF(OR($D$4=Bron!$B$13,$D$4=Bron!$B$14),'Bouwkost VOLT'!$K99,IF($D$4=Bron!$C$16,'Bouwkost AK+VERB'!$K99,0))))))</f>
        <v>0</v>
      </c>
      <c r="E92" s="810"/>
      <c r="F92" s="810">
        <f>IF(OR($F$4=Bron!$B$8,$F$4=Bron!$B$9,$F$4=Bron!$B$15),'Bouwkost NB'!$K100,IF($F$4=Bron!$B$10,'Bouwkost UITB'!$K99,IF($F$4=Bron!$B$11,'Bouwkost VERB'!$K99,IF($F$4=Bron!$B$12,'Bouwkost IER'!$K98,IF(OR($F$4=Bron!$B$13,$F$4=Bron!$B$14),'Bouwkost VOLT'!$K99,IF($F$4=Bron!$C$16,'Bouwkost AK+VERB'!$K99,0))))))</f>
        <v>0</v>
      </c>
      <c r="G92" s="810"/>
      <c r="H92" s="810">
        <f>IF(OR($H$4=Bron!$B$8,$H$4=Bron!$B$9,$H$4=Bron!$B$15),'Bouwkost NB'!$K100,IF($H$4=Bron!$B$10,'Bouwkost UITB'!$K99,IF($H$4=Bron!$B$11,'Bouwkost VERB'!$K99,IF($H$4=Bron!$B$12,'Bouwkost IER'!$K98,IF(OR($H$4=Bron!$B$13,$H$4=Bron!$B$14),'Bouwkost VOLT'!$K99,IF($H$4=Bron!$C$16,'Bouwkost AK+VERB'!$K99,0))))))</f>
        <v>0</v>
      </c>
      <c r="I92" s="810"/>
      <c r="J92" s="810">
        <f>IF(OR($J$4=Bron!$B$8,$J$4=Bron!$B$9,$J$4=Bron!$B$15),'Bouwkost NB'!$V100,IF($J$4=Bron!$B$10,'Bouwkost UITB'!$V99,IF($J$4=Bron!$B$11,'Bouwkost VERB'!$V99,IF($J$4=Bron!$B$12,'Bouwkost IER'!$V98,IF(OR($J$4=Bron!$B$13,$J$4=Bron!$B$14),'Bouwkost VOLT'!$V99,IF($J$4=Bron!$C$16,'Bouwkost AK+VERB'!$V99,0))))))</f>
        <v>0</v>
      </c>
      <c r="K92" s="810"/>
      <c r="L92" s="810">
        <f>IF(OR($L$4=Bron!$B$8,$L$4=Bron!$B$9,$L$4=Bron!$B$15),'Bouwkost NB'!$V100,IF($L$4=Bron!$B$10,'Bouwkost UITB'!$V99,IF($L$4=Bron!$B$11,'Bouwkost VERB'!$V99,IF($L$4=Bron!$B$12,'Bouwkost IER'!$V98,IF(OR($L$4=Bron!$B$13,$L$4=Bron!$B$14),'Bouwkost VOLT'!$V99,IF($L$4=Bron!$C$16,'Bouwkost AK+VERB'!$V99,0))))))</f>
        <v>0</v>
      </c>
      <c r="M92" s="810"/>
      <c r="N92" s="810">
        <f>IF(OR($N$4=Bron!$B$8,$N$4=Bron!$B$9,,$N$4=Bron!$B$15),'Bouwkost NB'!$V100,IF($N$4=Bron!$B$10,'Bouwkost UITB'!$V99,IF($N$4=Bron!$B$11,'Bouwkost VERB'!$V99,IF($N$4=Bron!$B$12,'Bouwkost IER'!$V98,IF(OR($N$4=Bron!$B$13,$N$4=Bron!$B$14),'Bouwkost VOLT'!$V99,IF($N$4=Bron!$C$16,'Bouwkost AK+VERB'!$V99,0))))))</f>
        <v>0</v>
      </c>
      <c r="O92" s="810"/>
      <c r="P92" s="810">
        <f>IF(OR($P$4=Bron!$B$8,$P$4=Bron!$B$9,$P$4=Bron!$B$15),'Bouwkost NB'!$V100,IF($P$4=Bron!$B$10,'Bouwkost UITB'!$V99,IF($P$4=Bron!$B$11,'Bouwkost VERB'!$V99,IF($P$4=Bron!$B$12,'Bouwkost IER'!$V98,IF(OR($P$4=Bron!$B$13,$P$4=Bron!$B$14),'Bouwkost VOLT'!$V99,IF($P$4=Bron!$C$16,'Bouwkost AK+VERB'!$V99,0))))))</f>
        <v>0</v>
      </c>
      <c r="Q92" s="810"/>
      <c r="R92" s="810">
        <f>IF(OR($R$4=Bron!$B$8,$R$4=Bron!$B$9,$R$4=Bron!$B$15),'Bouwkost NB'!$AG100,IF($R$4=Bron!$B$10,'Bouwkost UITB'!$AG99,IF($R$4=Bron!$B$11,'Bouwkost VERB'!$AG99,IF($R$4=Bron!$B$12,'Bouwkost IER'!$AG98,IF(OR($R$4=Bron!$B$13,$R$4=Bron!$B$14),'Bouwkost VOLT'!$AG99,IF($R$4=Bron!$C$16,'Bouwkost AK+VERB'!$AG99,0))))))</f>
        <v>0</v>
      </c>
      <c r="S92" s="810"/>
      <c r="T92" s="810">
        <f>IF(OR($T$4=Bron!$B$8,$T$4=Bron!$B$9,$T$4=Bron!$B$15),'Bouwkost NB'!$AG100,IF($T$4=Bron!$B$10,'Bouwkost UITB'!$AG99,IF($T$4=Bron!$B$11,'Bouwkost VERB'!$AG99,IF($T$4=Bron!$B$12,'Bouwkost IER'!$AG98,IF(OR($T$4=Bron!$B$13,$T$4=Bron!$B$14),'Bouwkost VOLT'!$AG99,IF($T$4=Bron!$C$16,'Bouwkost AK+VERB'!$AG99,0))))))</f>
        <v>0</v>
      </c>
      <c r="U92" s="810"/>
      <c r="V92" s="810">
        <f>IF(OR($V$4=Bron!$B$8,$V$4=Bron!$B$9,$V$4=Bron!$B$15),'Bouwkost NB'!$AG100,IF($V$4=Bron!$B$10,'Bouwkost UITB'!$AG99,IF($V$4=Bron!$B$11,'Bouwkost VERB'!$AG99,IF($V$4=Bron!$B$12,'Bouwkost IER'!$AG98,IF(OR($V$4=Bron!$B$13,$V$4=Bron!$B$14),'Bouwkost VOLT'!$AG99,IF($V$4=Bron!$C$16,'Bouwkost AK+VERB'!$AG99,0))))))</f>
        <v>0</v>
      </c>
      <c r="W92" s="810"/>
      <c r="X92" s="810">
        <f>IF(OR($X$4=Bron!$B$8,$X$4=Bron!$B$9,$X$4=Bron!$B$15),'Bouwkost NB'!$AG100,IF($X$4=Bron!$B$10,'Bouwkost UITB'!$AG99,IF($X$4=Bron!$B$11,'Bouwkost VERB'!$AG99,IF($X$4=Bron!$B$12,'Bouwkost IER'!$AG98,IF(OR($X$4=Bron!$B$13,$X$4=Bron!$B$14),'Bouwkost VOLT'!$AG99,IF($X$4=Bron!$C$16,'Bouwkost AK+VERB'!$AG99,0))))))</f>
        <v>0</v>
      </c>
      <c r="Y92" s="810" t="str">
        <f>IFERROR(Y38/'Overzicht project_gewijzigd'!$E$28,"0")</f>
        <v>0</v>
      </c>
    </row>
    <row r="94" spans="1:25" x14ac:dyDescent="0.3">
      <c r="A94" s="310" t="s">
        <v>359</v>
      </c>
      <c r="B94" s="89">
        <f>IF(OR($B$4=Bron!$B$8,$B$4=Bron!$B$9,$B$4=Bron!$B$15),'Bouwkost NB'!$K102,IF($B$4=Bron!$B$10,'Bouwkost UITB'!$K101,IF($B$4=Bron!$B$11,'Bouwkost VERB'!$K101,IF($B$4=Bron!$B$12,'Bouwkost IER'!$K100,IF(OR($B$4=Bron!$B$13,$B$4=Bron!$B$14),'Bouwkost VOLT'!$K101,IF($B$4=Bron!$C$16,'Bouwkost AK+VERB'!$K101,0))))))</f>
        <v>0</v>
      </c>
      <c r="D94" s="89">
        <f>IF(OR($D$4=Bron!$B$8,$D$4=Bron!$B$9,$D$4=Bron!$B$15),'Bouwkost NB'!$K102,IF($D$4=Bron!$B$10,'Bouwkost UITB'!$K101,IF($D$4=Bron!$B$11,'Bouwkost VERB'!$K101,IF($D$4=Bron!$B$12,'Bouwkost IER'!$K100,IF(OR($D$4=Bron!$B$13,$D$4=Bron!$B$14),'Bouwkost VOLT'!$K101,IF($D$4=Bron!$C$16,'Bouwkost AK+VERB'!$K101,0))))))</f>
        <v>0</v>
      </c>
      <c r="F94" s="89">
        <f>IF(OR($F$4=Bron!$B$8,$F$4=Bron!$B$9,$F$4=Bron!$B$15),'Bouwkost NB'!$K102,IF($F$4=Bron!$B$10,'Bouwkost UITB'!$K101,IF($F$4=Bron!$B$11,'Bouwkost VERB'!$K101,IF($F$4=Bron!$B$12,'Bouwkost IER'!$K100,IF(OR($F$4=Bron!$B$13,$F$4=Bron!$B$14),'Bouwkost VOLT'!$K101,IF($F$4=Bron!$C$16,'Bouwkost AK+VERB'!$K101,0))))))</f>
        <v>0</v>
      </c>
      <c r="H94" s="89">
        <f>IF(OR($H$4=Bron!$B$8,$H$4=Bron!$B$9,$H$4=Bron!$B$15),'Bouwkost NB'!$K102,IF($H$4=Bron!$B$10,'Bouwkost UITB'!$K101,IF($H$4=Bron!$B$11,'Bouwkost VERB'!$K101,IF($H$4=Bron!$B$12,'Bouwkost IER'!$K100,IF(OR($H$4=Bron!$B$13,$H$4=Bron!$B$14),'Bouwkost VOLT'!$K101,IF($H$4=Bron!$C$16,'Bouwkost AK+VERB'!$K101,0))))))</f>
        <v>0</v>
      </c>
      <c r="J94" s="89">
        <f>IF(OR($J$4=Bron!$B$8,$J$4=Bron!$B$9,$J$4=Bron!$B$15),'Bouwkost NB'!$V102,IF($J$4=Bron!$B$10,'Bouwkost UITB'!$V101,IF($J$4=Bron!$B$11,'Bouwkost VERB'!$V101,IF($J$4=Bron!$B$12,'Bouwkost IER'!$V100,IF(OR($J$4=Bron!$B$13,$J$4=Bron!$B$14),'Bouwkost VOLT'!$V101,IF($J$4=Bron!$C$16,'Bouwkost AK+VERB'!$V101,0))))))</f>
        <v>0</v>
      </c>
      <c r="L94" s="89">
        <f>IF(OR($L$4=Bron!$B$8,$L$4=Bron!$B$9,$L$4=Bron!$B$15),'Bouwkost NB'!$V102,IF($L$4=Bron!$B$10,'Bouwkost UITB'!$V101,IF($L$4=Bron!$B$11,'Bouwkost VERB'!$V101,IF($L$4=Bron!$B$12,'Bouwkost IER'!$V100,IF(OR($L$4=Bron!$B$13,$L$4=Bron!$B$14),'Bouwkost VOLT'!$V101,IF($L$4=Bron!$C$16,'Bouwkost AK+VERB'!$V101,0))))))</f>
        <v>0</v>
      </c>
      <c r="N94" s="89">
        <f>IF(OR($N$4=Bron!$B$8,$N$4=Bron!$B$9,,$N$4=Bron!$B$15),'Bouwkost NB'!$V102,IF($N$4=Bron!$B$10,'Bouwkost UITB'!$V101,IF($N$4=Bron!$B$11,'Bouwkost VERB'!$V101,IF($N$4=Bron!$B$12,'Bouwkost IER'!$V100,IF(OR($N$4=Bron!$B$13,$N$4=Bron!$B$14),'Bouwkost VOLT'!$V101,IF($N$4=Bron!$C$16,'Bouwkost AK+VERB'!$V101,0))))))</f>
        <v>0</v>
      </c>
      <c r="P94" s="89">
        <f>IF(OR($P$4=Bron!$B$8,$P$4=Bron!$B$9,$P$4=Bron!$B$15),'Bouwkost NB'!$V102,IF($P$4=Bron!$B$10,'Bouwkost UITB'!$V101,IF($P$4=Bron!$B$11,'Bouwkost VERB'!$V101,IF($P$4=Bron!$B$12,'Bouwkost IER'!$V100,IF(OR($P$4=Bron!$B$13,$P$4=Bron!$B$14),'Bouwkost VOLT'!$V101,IF($P$4=Bron!$C$16,'Bouwkost AK+VERB'!$V101,0))))))</f>
        <v>0</v>
      </c>
      <c r="R94" s="89">
        <f>IF(OR($R$4=Bron!$B$8,$R$4=Bron!$B$9,$R$4=Bron!$B$15),'Bouwkost NB'!$AG102,IF($R$4=Bron!$B$10,'Bouwkost UITB'!$AG101,IF($R$4=Bron!$B$11,'Bouwkost VERB'!$AG101,IF($R$4=Bron!$B$12,'Bouwkost IER'!$AG100,IF(OR($R$4=Bron!$B$13,$R$4=Bron!$B$14),'Bouwkost VOLT'!$AG101,IF($R$4=Bron!$C$16,'Bouwkost AK+VERB'!$AG101,0))))))</f>
        <v>0</v>
      </c>
      <c r="T94" s="89">
        <f>IF(OR($T$4=Bron!$B$8,$T$4=Bron!$B$9,$T$4=Bron!$B$15),'Bouwkost NB'!$AG102,IF($T$4=Bron!$B$10,'Bouwkost UITB'!$AG101,IF($T$4=Bron!$B$11,'Bouwkost VERB'!$AG101,IF($T$4=Bron!$B$12,'Bouwkost IER'!$AG100,IF(OR($T$4=Bron!$B$13,$T$4=Bron!$B$14),'Bouwkost VOLT'!$AG101,IF($T$4=Bron!$C$16,'Bouwkost AK+VERB'!$AG101,0))))))</f>
        <v>0</v>
      </c>
      <c r="V94" s="89">
        <f>IF(OR($V$4=Bron!$B$8,$V$4=Bron!$B$9,$V$4=Bron!$B$15),'Bouwkost NB'!$AG102,IF($V$4=Bron!$B$10,'Bouwkost UITB'!$AG101,IF($V$4=Bron!$B$11,'Bouwkost VERB'!$AG101,IF($V$4=Bron!$B$12,'Bouwkost IER'!$AG100,IF(OR($V$4=Bron!$B$13,$V$4=Bron!$B$14),'Bouwkost VOLT'!$AG101,IF($V$4=Bron!$C$16,'Bouwkost AK+VERB'!$AG101,0))))))</f>
        <v>0</v>
      </c>
      <c r="X94" s="89">
        <f>IF(OR($X$4=Bron!$B$8,$X$4=Bron!$B$9,$X$4=Bron!$B$15),'Bouwkost NB'!$AG102,IF($X$4=Bron!$B$10,'Bouwkost UITB'!$AG101,IF($X$4=Bron!$B$11,'Bouwkost VERB'!$AG101,IF($X$4=Bron!$B$12,'Bouwkost IER'!$AG100,IF(OR($X$4=Bron!$B$13,$X$4=Bron!$B$14),'Bouwkost VOLT'!$AG101,IF($X$4=Bron!$C$16,'Bouwkost AK+VERB'!$AG101,0))))))</f>
        <v>0</v>
      </c>
    </row>
    <row r="95" spans="1:25" x14ac:dyDescent="0.3">
      <c r="A95" s="310" t="s">
        <v>360</v>
      </c>
      <c r="B95" s="810">
        <f>IF(OR($B$4=Bron!$B$8,$B$4=Bron!$B$9,$B$4=Bron!$B$15),'Bouwkost NB'!$K103,IF($B$4=Bron!$B$10,'Bouwkost UITB'!$K102,IF($B$4=Bron!$B$11,'Bouwkost VERB'!$K102,IF($B$4=Bron!$B$12,'Bouwkost IER'!$K101,IF(OR($B$4=Bron!$B$13,$B$4=Bron!$B$14),'Bouwkost VOLT'!$K102,IF($B$4=Bron!$C$16,'Bouwkost AK+VERB'!$K102,0))))))</f>
        <v>0</v>
      </c>
      <c r="C95" s="810"/>
      <c r="D95" s="810">
        <f>IF(OR($D$4=Bron!$B$8,$D$4=Bron!$B$9,$D$4=Bron!$B$15),'Bouwkost NB'!$K103,IF($D$4=Bron!$B$10,'Bouwkost UITB'!$K102,IF($D$4=Bron!$B$11,'Bouwkost VERB'!$K102,IF($D$4=Bron!$B$12,'Bouwkost IER'!$K101,IF(OR($D$4=Bron!$B$13,$D$4=Bron!$B$14),'Bouwkost VOLT'!$K102,IF($D$4=Bron!$C$16,'Bouwkost AK+VERB'!$K102,0))))))</f>
        <v>0</v>
      </c>
      <c r="E95" s="810"/>
      <c r="F95" s="810">
        <f>IF(OR($F$4=Bron!$B$8,$F$4=Bron!$B$9,$F$4=Bron!$B$15),'Bouwkost NB'!$K103,IF($F$4=Bron!$B$10,'Bouwkost UITB'!$K102,IF($F$4=Bron!$B$11,'Bouwkost VERB'!$K102,IF($F$4=Bron!$B$12,'Bouwkost IER'!$K101,IF(OR($F$4=Bron!$B$13,$F$4=Bron!$B$14),'Bouwkost VOLT'!$K102,IF($F$4=Bron!$C$16,'Bouwkost AK+VERB'!$K102,0))))))</f>
        <v>0</v>
      </c>
      <c r="G95" s="810"/>
      <c r="H95" s="810">
        <f>IF(OR($H$4=Bron!$B$8,$H$4=Bron!$B$9,$H$4=Bron!$B$15),'Bouwkost NB'!$K103,IF($H$4=Bron!$B$10,'Bouwkost UITB'!$K102,IF($H$4=Bron!$B$11,'Bouwkost VERB'!$K102,IF($H$4=Bron!$B$12,'Bouwkost IER'!$K101,IF(OR($H$4=Bron!$B$13,$H$4=Bron!$B$14),'Bouwkost VOLT'!$K102,IF($H$4=Bron!$C$16,'Bouwkost AK+VERB'!$K102,0))))))</f>
        <v>0</v>
      </c>
      <c r="I95" s="810"/>
      <c r="J95" s="810">
        <f>IF(OR($J$4=Bron!$B$8,$J$4=Bron!$B$9,$J$4=Bron!$B$15),'Bouwkost NB'!$V103,IF($J$4=Bron!$B$10,'Bouwkost UITB'!$V102,IF($J$4=Bron!$B$11,'Bouwkost VERB'!$V102,IF($J$4=Bron!$B$12,'Bouwkost IER'!$V101,IF(OR($J$4=Bron!$B$13,$J$4=Bron!$B$14),'Bouwkost VOLT'!$V102,IF($J$4=Bron!$C$16,'Bouwkost AK+VERB'!$V102,0))))))</f>
        <v>0</v>
      </c>
      <c r="K95" s="810"/>
      <c r="L95" s="810">
        <f>IF(OR($L$4=Bron!$B$8,$L$4=Bron!$B$9,$L$4=Bron!$B$15),'Bouwkost NB'!$V103,IF($L$4=Bron!$B$10,'Bouwkost UITB'!$V102,IF($L$4=Bron!$B$11,'Bouwkost VERB'!$V102,IF($L$4=Bron!$B$12,'Bouwkost IER'!$V101,IF(OR($L$4=Bron!$B$13,$L$4=Bron!$B$14),'Bouwkost VOLT'!$V102,IF($L$4=Bron!$C$16,'Bouwkost AK+VERB'!$V102,0))))))</f>
        <v>0</v>
      </c>
      <c r="M95" s="810"/>
      <c r="N95" s="810">
        <f>IF(OR($N$4=Bron!$B$8,$N$4=Bron!$B$9,,$N$4=Bron!$B$15),'Bouwkost NB'!$V103,IF($N$4=Bron!$B$10,'Bouwkost UITB'!$V102,IF($N$4=Bron!$B$11,'Bouwkost VERB'!$V102,IF($N$4=Bron!$B$12,'Bouwkost IER'!$V101,IF(OR($N$4=Bron!$B$13,$N$4=Bron!$B$14),'Bouwkost VOLT'!$V102,IF($N$4=Bron!$C$16,'Bouwkost AK+VERB'!$V102,0))))))</f>
        <v>0</v>
      </c>
      <c r="O95" s="810"/>
      <c r="P95" s="810">
        <f>IF(OR($P$4=Bron!$B$8,$P$4=Bron!$B$9,$P$4=Bron!$B$15),'Bouwkost NB'!$V103,IF($P$4=Bron!$B$10,'Bouwkost UITB'!$V102,IF($P$4=Bron!$B$11,'Bouwkost VERB'!$V102,IF($P$4=Bron!$B$12,'Bouwkost IER'!$V101,IF(OR($P$4=Bron!$B$13,$P$4=Bron!$B$14),'Bouwkost VOLT'!$V102,IF($P$4=Bron!$C$16,'Bouwkost AK+VERB'!$V102,0))))))</f>
        <v>0</v>
      </c>
      <c r="Q95" s="810"/>
      <c r="R95" s="810">
        <f>IF(OR($R$4=Bron!$B$8,$R$4=Bron!$B$9,$R$4=Bron!$B$15),'Bouwkost NB'!$AG103,IF($R$4=Bron!$B$10,'Bouwkost UITB'!$AG102,IF($R$4=Bron!$B$11,'Bouwkost VERB'!$AG102,IF($R$4=Bron!$B$12,'Bouwkost IER'!$AG101,IF(OR($R$4=Bron!$B$13,$R$4=Bron!$B$14),'Bouwkost VOLT'!$AG102,IF($R$4=Bron!$C$16,'Bouwkost AK+VERB'!$AG102,0))))))</f>
        <v>0</v>
      </c>
      <c r="S95" s="810"/>
      <c r="T95" s="810">
        <f>IF(OR($T$4=Bron!$B$8,$T$4=Bron!$B$9,$T$4=Bron!$B$15),'Bouwkost NB'!$AG103,IF($T$4=Bron!$B$10,'Bouwkost UITB'!$AG102,IF($T$4=Bron!$B$11,'Bouwkost VERB'!$AG102,IF($T$4=Bron!$B$12,'Bouwkost IER'!$AG101,IF(OR($T$4=Bron!$B$13,$T$4=Bron!$B$14),'Bouwkost VOLT'!$AG102,IF($T$4=Bron!$C$16,'Bouwkost AK+VERB'!$AG102,0))))))</f>
        <v>0</v>
      </c>
      <c r="U95" s="810"/>
      <c r="V95" s="810">
        <f>IF(OR($V$4=Bron!$B$8,$V$4=Bron!$B$9,$V$4=Bron!$B$15),'Bouwkost NB'!$AG103,IF($V$4=Bron!$B$10,'Bouwkost UITB'!$AG102,IF($V$4=Bron!$B$11,'Bouwkost VERB'!$AG102,IF($V$4=Bron!$B$12,'Bouwkost IER'!$AG101,IF(OR($V$4=Bron!$B$13,$V$4=Bron!$B$14),'Bouwkost VOLT'!$AG102,IF($V$4=Bron!$C$16,'Bouwkost AK+VERB'!$AG102,0))))))</f>
        <v>0</v>
      </c>
      <c r="W95" s="810"/>
      <c r="X95" s="810">
        <f>IF(OR($X$4=Bron!$B$8,$X$4=Bron!$B$9,$X$4=Bron!$B$15),'Bouwkost NB'!$AG103,IF($X$4=Bron!$B$10,'Bouwkost UITB'!$AG102,IF($X$4=Bron!$B$11,'Bouwkost VERB'!$AG102,IF($X$4=Bron!$B$12,'Bouwkost IER'!$AG101,IF(OR($X$4=Bron!$B$13,$X$4=Bron!$B$14),'Bouwkost VOLT'!$AG102,IF($X$4=Bron!$C$16,'Bouwkost AK+VERB'!$AG102,0))))))</f>
        <v>0</v>
      </c>
    </row>
    <row r="96" spans="1:25" x14ac:dyDescent="0.3">
      <c r="A96" s="310" t="s">
        <v>361</v>
      </c>
      <c r="B96" s="89">
        <f>IF(OR($B$4=Bron!$B$8,$B$4=Bron!$B$9,$B$4=Bron!$B$15),'Bouwkost NB'!$K104,IF($B$4=Bron!$B$10,'Bouwkost UITB'!$K103,IF($B$4=Bron!$B$11,'Bouwkost VERB'!$K103,IF($B$4=Bron!$B$12,'Bouwkost IER'!$K102,IF(OR($B$4=Bron!$B$13,$B$4=Bron!$B$14),'Bouwkost VOLT'!$K103,IF($B$4=Bron!$C$16,'Bouwkost AK+VERB'!$K103,0))))))</f>
        <v>0</v>
      </c>
      <c r="D96" s="89">
        <f>IF(OR($D$4=Bron!$B$8,$D$4=Bron!$B$9,$D$4=Bron!$B$15),'Bouwkost NB'!$K104,IF($D$4=Bron!$B$10,'Bouwkost UITB'!$K103,IF($D$4=Bron!$B$11,'Bouwkost VERB'!$K103,IF($D$4=Bron!$B$12,'Bouwkost IER'!$K102,IF(OR($D$4=Bron!$B$13,$D$4=Bron!$B$14),'Bouwkost VOLT'!$K103,IF($D$4=Bron!$C$16,'Bouwkost AK+VERB'!$K103,0))))))</f>
        <v>0</v>
      </c>
      <c r="F96" s="89">
        <f>IF(OR($F$4=Bron!$B$8,$F$4=Bron!$B$9,$F$4=Bron!$B$15),'Bouwkost NB'!$K104,IF($F$4=Bron!$B$10,'Bouwkost UITB'!$K103,IF($F$4=Bron!$B$11,'Bouwkost VERB'!$K103,IF($F$4=Bron!$B$12,'Bouwkost IER'!$K102,IF(OR($F$4=Bron!$B$13,$F$4=Bron!$B$14),'Bouwkost VOLT'!$K103,IF($F$4=Bron!$C$16,'Bouwkost AK+VERB'!$K103,0))))))</f>
        <v>0</v>
      </c>
      <c r="H96" s="89">
        <f>IF(OR($H$4=Bron!$B$8,$H$4=Bron!$B$9,$H$4=Bron!$B$15),'Bouwkost NB'!$K104,IF($H$4=Bron!$B$10,'Bouwkost UITB'!$K103,IF($H$4=Bron!$B$11,'Bouwkost VERB'!$K103,IF($H$4=Bron!$B$12,'Bouwkost IER'!$K102,IF(OR($H$4=Bron!$B$13,$H$4=Bron!$B$14),'Bouwkost VOLT'!$K103,IF($H$4=Bron!$C$16,'Bouwkost AK+VERB'!$K103,0))))))</f>
        <v>0</v>
      </c>
      <c r="J96" s="89">
        <f>IF(OR($J$4=Bron!$B$8,$J$4=Bron!$B$9,$J$4=Bron!$B$15),'Bouwkost NB'!$V104,IF($J$4=Bron!$B$10,'Bouwkost UITB'!$V103,IF($J$4=Bron!$B$11,'Bouwkost VERB'!$V103,IF($J$4=Bron!$B$12,'Bouwkost IER'!$V102,IF(OR($J$4=Bron!$B$13,$J$4=Bron!$B$14),'Bouwkost VOLT'!$V103,IF($J$4=Bron!$C$16,'Bouwkost AK+VERB'!$V103,0))))))</f>
        <v>0</v>
      </c>
      <c r="L96" s="89">
        <f>IF(OR($L$4=Bron!$B$8,$L$4=Bron!$B$9,$L$4=Bron!$B$15),'Bouwkost NB'!$V104,IF($L$4=Bron!$B$10,'Bouwkost UITB'!$V103,IF($L$4=Bron!$B$11,'Bouwkost VERB'!$V103,IF($L$4=Bron!$B$12,'Bouwkost IER'!$V102,IF(OR($L$4=Bron!$B$13,$L$4=Bron!$B$14),'Bouwkost VOLT'!$V103,IF($L$4=Bron!$C$16,'Bouwkost AK+VERB'!$V103,0))))))</f>
        <v>0</v>
      </c>
      <c r="N96" s="89">
        <f>IF(OR($N$4=Bron!$B$8,$N$4=Bron!$B$9,,$N$4=Bron!$B$15),'Bouwkost NB'!$V104,IF($N$4=Bron!$B$10,'Bouwkost UITB'!$V103,IF($N$4=Bron!$B$11,'Bouwkost VERB'!$V103,IF($N$4=Bron!$B$12,'Bouwkost IER'!$V102,IF(OR($N$4=Bron!$B$13,$N$4=Bron!$B$14),'Bouwkost VOLT'!$V103,IF($N$4=Bron!$C$16,'Bouwkost AK+VERB'!$V103,0))))))</f>
        <v>0</v>
      </c>
      <c r="P96" s="89">
        <f>IF(OR($P$4=Bron!$B$8,$P$4=Bron!$B$9,$P$4=Bron!$B$15),'Bouwkost NB'!$V104,IF($P$4=Bron!$B$10,'Bouwkost UITB'!$V103,IF($P$4=Bron!$B$11,'Bouwkost VERB'!$V103,IF($P$4=Bron!$B$12,'Bouwkost IER'!$V102,IF(OR($P$4=Bron!$B$13,$P$4=Bron!$B$14),'Bouwkost VOLT'!$V103,IF($P$4=Bron!$C$16,'Bouwkost AK+VERB'!$V103,0))))))</f>
        <v>0</v>
      </c>
      <c r="R96" s="89">
        <f>IF(OR($R$4=Bron!$B$8,$R$4=Bron!$B$9,$R$4=Bron!$B$15),'Bouwkost NB'!$AG104,IF($R$4=Bron!$B$10,'Bouwkost UITB'!$AG103,IF($R$4=Bron!$B$11,'Bouwkost VERB'!$AG103,IF($R$4=Bron!$B$12,'Bouwkost IER'!$AG102,IF(OR($R$4=Bron!$B$13,$R$4=Bron!$B$14),'Bouwkost VOLT'!$AG103,IF($R$4=Bron!$C$16,'Bouwkost AK+VERB'!$AG103,0))))))</f>
        <v>0</v>
      </c>
      <c r="T96" s="89">
        <f>IF(OR($T$4=Bron!$B$8,$T$4=Bron!$B$9,$T$4=Bron!$B$15),'Bouwkost NB'!$AG104,IF($T$4=Bron!$B$10,'Bouwkost UITB'!$AG103,IF($T$4=Bron!$B$11,'Bouwkost VERB'!$AG103,IF($T$4=Bron!$B$12,'Bouwkost IER'!$AG102,IF(OR($T$4=Bron!$B$13,$T$4=Bron!$B$14),'Bouwkost VOLT'!$AG103,IF($T$4=Bron!$C$16,'Bouwkost AK+VERB'!$AG103,0))))))</f>
        <v>0</v>
      </c>
      <c r="V96" s="89">
        <f>IF(OR($V$4=Bron!$B$8,$V$4=Bron!$B$9,$V$4=Bron!$B$15),'Bouwkost NB'!$AG104,IF($V$4=Bron!$B$10,'Bouwkost UITB'!$AG103,IF($V$4=Bron!$B$11,'Bouwkost VERB'!$AG103,IF($V$4=Bron!$B$12,'Bouwkost IER'!$AG102,IF(OR($V$4=Bron!$B$13,$V$4=Bron!$B$14),'Bouwkost VOLT'!$AG103,IF($V$4=Bron!$C$16,'Bouwkost AK+VERB'!$AG103,0))))))</f>
        <v>0</v>
      </c>
      <c r="X96" s="89">
        <f>IF(OR($X$4=Bron!$B$8,$X$4=Bron!$B$9,$X$4=Bron!$B$15),'Bouwkost NB'!$AG104,IF($X$4=Bron!$B$10,'Bouwkost UITB'!$AG103,IF($X$4=Bron!$B$11,'Bouwkost VERB'!$AG103,IF($X$4=Bron!$B$12,'Bouwkost IER'!$AG102,IF(OR($X$4=Bron!$B$13,$X$4=Bron!$B$14),'Bouwkost VOLT'!$AG103,IF($X$4=Bron!$C$16,'Bouwkost AK+VERB'!$AG103,0))))))</f>
        <v>0</v>
      </c>
    </row>
    <row r="97" spans="1:24" x14ac:dyDescent="0.3">
      <c r="A97" s="310" t="s">
        <v>360</v>
      </c>
      <c r="B97" s="89">
        <f>IF(OR($B$4=Bron!$B$8,$B$4=Bron!$B$9,$B$4=Bron!$B$15),'Bouwkost NB'!$K105,IF($B$4=Bron!$B$10,'Bouwkost UITB'!$K104,IF($B$4=Bron!$B$11,'Bouwkost VERB'!$K104,IF($B$4=Bron!$B$12,'Bouwkost IER'!$K103,IF(OR($B$4=Bron!$B$13,$B$4=Bron!$B$14),'Bouwkost VOLT'!$K104,IF($B$4=Bron!$C$16,'Bouwkost AK+VERB'!$K104,0))))))</f>
        <v>0</v>
      </c>
      <c r="D97" s="89">
        <f>IF(OR($D$4=Bron!$B$8,$D$4=Bron!$B$9,$D$4=Bron!$B$15),'Bouwkost NB'!$K105,IF($D$4=Bron!$B$10,'Bouwkost UITB'!$K104,IF($D$4=Bron!$B$11,'Bouwkost VERB'!$K104,IF($D$4=Bron!$B$12,'Bouwkost IER'!$K103,IF(OR($D$4=Bron!$B$13,$D$4=Bron!$B$14),'Bouwkost VOLT'!$K104,IF($D$4=Bron!$C$16,'Bouwkost AK+VERB'!$K104,0))))))</f>
        <v>0</v>
      </c>
      <c r="F97" s="89">
        <f>IF(OR($F$4=Bron!$B$8,$F$4=Bron!$B$9,$F$4=Bron!$B$15),'Bouwkost NB'!$K105,IF($F$4=Bron!$B$10,'Bouwkost UITB'!$K104,IF($F$4=Bron!$B$11,'Bouwkost VERB'!$K104,IF($F$4=Bron!$B$12,'Bouwkost IER'!$K103,IF(OR($F$4=Bron!$B$13,$F$4=Bron!$B$14),'Bouwkost VOLT'!$K104,IF($F$4=Bron!$C$16,'Bouwkost AK+VERB'!$K104,0))))))</f>
        <v>0</v>
      </c>
      <c r="H97" s="89">
        <f>IF(OR($H$4=Bron!$B$8,$H$4=Bron!$B$9,$H$4=Bron!$B$15),'Bouwkost NB'!$K105,IF($H$4=Bron!$B$10,'Bouwkost UITB'!$K104,IF($H$4=Bron!$B$11,'Bouwkost VERB'!$K104,IF($H$4=Bron!$B$12,'Bouwkost IER'!$K103,IF(OR($H$4=Bron!$B$13,$H$4=Bron!$B$14),'Bouwkost VOLT'!$K104,IF($H$4=Bron!$C$16,'Bouwkost AK+VERB'!$K104,0))))))</f>
        <v>0</v>
      </c>
      <c r="J97" s="89">
        <f>IF(OR($J$4=Bron!$B$8,$J$4=Bron!$B$9,$J$4=Bron!$B$15),'Bouwkost NB'!$V105,IF($J$4=Bron!$B$10,'Bouwkost UITB'!$V104,IF($J$4=Bron!$B$11,'Bouwkost VERB'!$V104,IF($J$4=Bron!$B$12,'Bouwkost IER'!$V103,IF(OR($J$4=Bron!$B$13,$J$4=Bron!$B$14),'Bouwkost VOLT'!$V104,IF($J$4=Bron!$C$16,'Bouwkost AK+VERB'!$V104,0))))))</f>
        <v>0</v>
      </c>
      <c r="L97" s="89">
        <f>IF(OR($L$4=Bron!$B$8,$L$4=Bron!$B$9,$L$4=Bron!$B$15),'Bouwkost NB'!$V105,IF($L$4=Bron!$B$10,'Bouwkost UITB'!$V104,IF($L$4=Bron!$B$11,'Bouwkost VERB'!$V104,IF($L$4=Bron!$B$12,'Bouwkost IER'!$V103,IF(OR($L$4=Bron!$B$13,$L$4=Bron!$B$14),'Bouwkost VOLT'!$V104,IF($L$4=Bron!$C$16,'Bouwkost AK+VERB'!$V104,0))))))</f>
        <v>0</v>
      </c>
      <c r="N97" s="89">
        <f>IF(OR($N$4=Bron!$B$8,$N$4=Bron!$B$9,,$N$4=Bron!$B$15),'Bouwkost NB'!$V105,IF($N$4=Bron!$B$10,'Bouwkost UITB'!$V104,IF($N$4=Bron!$B$11,'Bouwkost VERB'!$V104,IF($N$4=Bron!$B$12,'Bouwkost IER'!$V103,IF(OR($N$4=Bron!$B$13,$N$4=Bron!$B$14),'Bouwkost VOLT'!$V104,IF($N$4=Bron!$C$16,'Bouwkost AK+VERB'!$V104,0))))))</f>
        <v>0</v>
      </c>
      <c r="P97" s="89">
        <f>IF(OR($P$4=Bron!$B$8,$P$4=Bron!$B$9,$P$4=Bron!$B$15),'Bouwkost NB'!$V105,IF($P$4=Bron!$B$10,'Bouwkost UITB'!$V104,IF($P$4=Bron!$B$11,'Bouwkost VERB'!$V104,IF($P$4=Bron!$B$12,'Bouwkost IER'!$V103,IF(OR($P$4=Bron!$B$13,$P$4=Bron!$B$14),'Bouwkost VOLT'!$V104,IF($P$4=Bron!$C$16,'Bouwkost AK+VERB'!$V104,0))))))</f>
        <v>0</v>
      </c>
      <c r="R97" s="89">
        <f>IF(OR($R$4=Bron!$B$8,$R$4=Bron!$B$9,$R$4=Bron!$B$15),'Bouwkost NB'!$AG105,IF($R$4=Bron!$B$10,'Bouwkost UITB'!$AG104,IF($R$4=Bron!$B$11,'Bouwkost VERB'!$AG104,IF($R$4=Bron!$B$12,'Bouwkost IER'!$AG103,IF(OR($R$4=Bron!$B$13,$R$4=Bron!$B$14),'Bouwkost VOLT'!$AG104,IF($R$4=Bron!$C$16,'Bouwkost AK+VERB'!$AG104,0))))))</f>
        <v>0</v>
      </c>
      <c r="T97" s="89">
        <f>IF(OR($T$4=Bron!$B$8,$T$4=Bron!$B$9,$T$4=Bron!$B$15),'Bouwkost NB'!$AG105,IF($T$4=Bron!$B$10,'Bouwkost UITB'!$AG104,IF($T$4=Bron!$B$11,'Bouwkost VERB'!$AG104,IF($T$4=Bron!$B$12,'Bouwkost IER'!$AG103,IF(OR($T$4=Bron!$B$13,$T$4=Bron!$B$14),'Bouwkost VOLT'!$AG104,IF($T$4=Bron!$C$16,'Bouwkost AK+VERB'!$AG104,0))))))</f>
        <v>0</v>
      </c>
      <c r="V97" s="89">
        <f>IF(OR($V$4=Bron!$B$8,$V$4=Bron!$B$9,$V$4=Bron!$B$15),'Bouwkost NB'!$AG105,IF($V$4=Bron!$B$10,'Bouwkost UITB'!$AG104,IF($V$4=Bron!$B$11,'Bouwkost VERB'!$AG104,IF($V$4=Bron!$B$12,'Bouwkost IER'!$AG103,IF(OR($V$4=Bron!$B$13,$V$4=Bron!$B$14),'Bouwkost VOLT'!$AG104,IF($V$4=Bron!$C$16,'Bouwkost AK+VERB'!$AG104,0))))))</f>
        <v>0</v>
      </c>
      <c r="X97" s="89">
        <f>IF(OR($X$4=Bron!$B$8,$X$4=Bron!$B$9,$X$4=Bron!$B$15),'Bouwkost NB'!$AG105,IF($X$4=Bron!$B$10,'Bouwkost UITB'!$AG104,IF($X$4=Bron!$B$11,'Bouwkost VERB'!$AG104,IF($X$4=Bron!$B$12,'Bouwkost IER'!$AG103,IF(OR($X$4=Bron!$B$13,$X$4=Bron!$B$14),'Bouwkost VOLT'!$AG104,IF($X$4=Bron!$C$16,'Bouwkost AK+VERB'!$AG104,0))))))</f>
        <v>0</v>
      </c>
    </row>
    <row r="98" spans="1:24" x14ac:dyDescent="0.3">
      <c r="A98" s="310" t="s">
        <v>362</v>
      </c>
      <c r="B98" s="89">
        <f>IF(OR($B$4=Bron!$B$8,$B$4=Bron!$B$9,$B$4=Bron!$B$15),'Bouwkost NB'!$K106,IF($B$4=Bron!$B$10,'Bouwkost UITB'!$K105,IF($B$4=Bron!$B$11,'Bouwkost VERB'!$K105,IF($B$4=Bron!$B$12,'Bouwkost IER'!$K104,IF(OR($B$4=Bron!$B$13,$B$4=Bron!$B$14),'Bouwkost VOLT'!$K105,IF($B$4=Bron!$C$16,'Bouwkost AK+VERB'!$K105,0))))))</f>
        <v>0</v>
      </c>
      <c r="D98" s="89">
        <f>IF(OR($D$4=Bron!$B$8,$D$4=Bron!$B$9,$D$4=Bron!$B$15),'Bouwkost NB'!$K106,IF($D$4=Bron!$B$10,'Bouwkost UITB'!$K105,IF($D$4=Bron!$B$11,'Bouwkost VERB'!$K105,IF($D$4=Bron!$B$12,'Bouwkost IER'!$K104,IF(OR($D$4=Bron!$B$13,$D$4=Bron!$B$14),'Bouwkost VOLT'!$K105,IF($D$4=Bron!$C$16,'Bouwkost AK+VERB'!$K105,0))))))</f>
        <v>0</v>
      </c>
      <c r="F98" s="89">
        <f>IF(OR($F$4=Bron!$B$8,$F$4=Bron!$B$9,$F$4=Bron!$B$15),'Bouwkost NB'!$K106,IF($F$4=Bron!$B$10,'Bouwkost UITB'!$K105,IF($F$4=Bron!$B$11,'Bouwkost VERB'!$K105,IF($F$4=Bron!$B$12,'Bouwkost IER'!$K104,IF(OR($F$4=Bron!$B$13,$F$4=Bron!$B$14),'Bouwkost VOLT'!$K105,IF($F$4=Bron!$C$16,'Bouwkost AK+VERB'!$K105,0))))))</f>
        <v>0</v>
      </c>
      <c r="H98" s="89">
        <f>IF(OR($H$4=Bron!$B$8,$H$4=Bron!$B$9,$H$4=Bron!$B$15),'Bouwkost NB'!$K106,IF($H$4=Bron!$B$10,'Bouwkost UITB'!$K105,IF($H$4=Bron!$B$11,'Bouwkost VERB'!$K105,IF($H$4=Bron!$B$12,'Bouwkost IER'!$K104,IF(OR($H$4=Bron!$B$13,$H$4=Bron!$B$14),'Bouwkost VOLT'!$K105,IF($H$4=Bron!$C$16,'Bouwkost AK+VERB'!$K105,0))))))</f>
        <v>0</v>
      </c>
      <c r="J98" s="89">
        <f>IF(OR($J$4=Bron!$B$8,$J$4=Bron!$B$9,$J$4=Bron!$B$15),'Bouwkost NB'!$V106,IF($J$4=Bron!$B$10,'Bouwkost UITB'!$V105,IF($J$4=Bron!$B$11,'Bouwkost VERB'!$V105,IF($J$4=Bron!$B$12,'Bouwkost IER'!$V104,IF(OR($J$4=Bron!$B$13,$J$4=Bron!$B$14),'Bouwkost VOLT'!$V105,IF($J$4=Bron!$C$16,'Bouwkost AK+VERB'!$V105,0))))))</f>
        <v>0</v>
      </c>
      <c r="L98" s="89">
        <f>IF(OR($L$4=Bron!$B$8,$L$4=Bron!$B$9,$L$4=Bron!$B$15),'Bouwkost NB'!$V106,IF($L$4=Bron!$B$10,'Bouwkost UITB'!$V105,IF($L$4=Bron!$B$11,'Bouwkost VERB'!$V105,IF($L$4=Bron!$B$12,'Bouwkost IER'!$V104,IF(OR($L$4=Bron!$B$13,$L$4=Bron!$B$14),'Bouwkost VOLT'!$V105,IF($L$4=Bron!$C$16,'Bouwkost AK+VERB'!$V105,0))))))</f>
        <v>0</v>
      </c>
      <c r="N98" s="89">
        <f>IF(OR($N$4=Bron!$B$8,$N$4=Bron!$B$9,,$N$4=Bron!$B$15),'Bouwkost NB'!$V106,IF($N$4=Bron!$B$10,'Bouwkost UITB'!$V105,IF($N$4=Bron!$B$11,'Bouwkost VERB'!$V105,IF($N$4=Bron!$B$12,'Bouwkost IER'!$V104,IF(OR($N$4=Bron!$B$13,$N$4=Bron!$B$14),'Bouwkost VOLT'!$V105,IF($N$4=Bron!$C$16,'Bouwkost AK+VERB'!$V105,0))))))</f>
        <v>0</v>
      </c>
      <c r="P98" s="89">
        <f>IF(OR($P$4=Bron!$B$8,$P$4=Bron!$B$9,$P$4=Bron!$B$15),'Bouwkost NB'!$V106,IF($P$4=Bron!$B$10,'Bouwkost UITB'!$V105,IF($P$4=Bron!$B$11,'Bouwkost VERB'!$V105,IF($P$4=Bron!$B$12,'Bouwkost IER'!$V104,IF(OR($P$4=Bron!$B$13,$P$4=Bron!$B$14),'Bouwkost VOLT'!$V105,IF($P$4=Bron!$C$16,'Bouwkost AK+VERB'!$V105,0))))))</f>
        <v>0</v>
      </c>
      <c r="R98" s="89">
        <f>IF(OR($R$4=Bron!$B$8,$R$4=Bron!$B$9,$R$4=Bron!$B$15),'Bouwkost NB'!$AG106,IF($R$4=Bron!$B$10,'Bouwkost UITB'!$AG105,IF($R$4=Bron!$B$11,'Bouwkost VERB'!$AG105,IF($R$4=Bron!$B$12,'Bouwkost IER'!$AG104,IF(OR($R$4=Bron!$B$13,$R$4=Bron!$B$14),'Bouwkost VOLT'!$AG105,IF($R$4=Bron!$C$16,'Bouwkost AK+VERB'!$AG105,0))))))</f>
        <v>0</v>
      </c>
      <c r="T98" s="89">
        <f>IF(OR($T$4=Bron!$B$8,$T$4=Bron!$B$9,$T$4=Bron!$B$15),'Bouwkost NB'!$AG106,IF($T$4=Bron!$B$10,'Bouwkost UITB'!$AG105,IF($T$4=Bron!$B$11,'Bouwkost VERB'!$AG105,IF($T$4=Bron!$B$12,'Bouwkost IER'!$AG104,IF(OR($T$4=Bron!$B$13,$T$4=Bron!$B$14),'Bouwkost VOLT'!$AG105,IF($T$4=Bron!$C$16,'Bouwkost AK+VERB'!$AG105,0))))))</f>
        <v>0</v>
      </c>
      <c r="V98" s="89">
        <f>IF(OR($V$4=Bron!$B$8,$V$4=Bron!$B$9,$V$4=Bron!$B$15),'Bouwkost NB'!$AG106,IF($V$4=Bron!$B$10,'Bouwkost UITB'!$AG105,IF($V$4=Bron!$B$11,'Bouwkost VERB'!$AG105,IF($V$4=Bron!$B$12,'Bouwkost IER'!$AG104,IF(OR($V$4=Bron!$B$13,$V$4=Bron!$B$14),'Bouwkost VOLT'!$AG105,IF($V$4=Bron!$C$16,'Bouwkost AK+VERB'!$AG105,0))))))</f>
        <v>0</v>
      </c>
      <c r="X98" s="89">
        <f>IF(OR($X$4=Bron!$B$8,$X$4=Bron!$B$9,$X$4=Bron!$B$15),'Bouwkost NB'!$AG106,IF($X$4=Bron!$B$10,'Bouwkost UITB'!$AG105,IF($X$4=Bron!$B$11,'Bouwkost VERB'!$AG105,IF($X$4=Bron!$B$12,'Bouwkost IER'!$AG104,IF(OR($X$4=Bron!$B$13,$X$4=Bron!$B$14),'Bouwkost VOLT'!$AG105,IF($X$4=Bron!$C$16,'Bouwkost AK+VERB'!$AG105,0))))))</f>
        <v>0</v>
      </c>
    </row>
    <row r="99" spans="1:24" x14ac:dyDescent="0.3">
      <c r="A99" s="310" t="s">
        <v>360</v>
      </c>
      <c r="B99" s="89">
        <f>IF(OR($B$4=Bron!$B$8,$B$4=Bron!$B$9,$B$4=Bron!$B$15),'Bouwkost NB'!$K107,IF($B$4=Bron!$B$10,'Bouwkost UITB'!$K106,IF($B$4=Bron!$B$11,'Bouwkost VERB'!$K106,IF($B$4=Bron!$B$12,'Bouwkost IER'!$K105,IF(OR($B$4=Bron!$B$13,$B$4=Bron!$B$14),'Bouwkost VOLT'!$K106,IF($B$4=Bron!$C$16,'Bouwkost AK+VERB'!$K106,0))))))</f>
        <v>0</v>
      </c>
      <c r="D99" s="89">
        <f>IF(OR($D$4=Bron!$B$8,$D$4=Bron!$B$9,$D$4=Bron!$B$15),'Bouwkost NB'!$K107,IF($D$4=Bron!$B$10,'Bouwkost UITB'!$K106,IF($D$4=Bron!$B$11,'Bouwkost VERB'!$K106,IF($D$4=Bron!$B$12,'Bouwkost IER'!$K105,IF(OR($D$4=Bron!$B$13,$D$4=Bron!$B$14),'Bouwkost VOLT'!$K106,IF($D$4=Bron!$C$16,'Bouwkost AK+VERB'!$K106,0))))))</f>
        <v>0</v>
      </c>
      <c r="F99" s="89">
        <f>IF(OR($F$4=Bron!$B$8,$F$4=Bron!$B$9,$F$4=Bron!$B$15),'Bouwkost NB'!$K107,IF($F$4=Bron!$B$10,'Bouwkost UITB'!$K106,IF($F$4=Bron!$B$11,'Bouwkost VERB'!$K106,IF($F$4=Bron!$B$12,'Bouwkost IER'!$K105,IF(OR($F$4=Bron!$B$13,$F$4=Bron!$B$14),'Bouwkost VOLT'!$K106,IF($F$4=Bron!$C$16,'Bouwkost AK+VERB'!$K106,0))))))</f>
        <v>0</v>
      </c>
      <c r="H99" s="89">
        <f>IF(OR($H$4=Bron!$B$8,$H$4=Bron!$B$9,$H$4=Bron!$B$15),'Bouwkost NB'!$K107,IF($H$4=Bron!$B$10,'Bouwkost UITB'!$K106,IF($H$4=Bron!$B$11,'Bouwkost VERB'!$K106,IF($H$4=Bron!$B$12,'Bouwkost IER'!$K105,IF(OR($H$4=Bron!$B$13,$H$4=Bron!$B$14),'Bouwkost VOLT'!$K106,IF($H$4=Bron!$C$16,'Bouwkost AK+VERB'!$K106,0))))))</f>
        <v>0</v>
      </c>
      <c r="J99" s="89">
        <f>IF(OR($J$4=Bron!$B$8,$J$4=Bron!$B$9,$J$4=Bron!$B$15),'Bouwkost NB'!$V107,IF($J$4=Bron!$B$10,'Bouwkost UITB'!$V106,IF($J$4=Bron!$B$11,'Bouwkost VERB'!$V106,IF($J$4=Bron!$B$12,'Bouwkost IER'!$V105,IF(OR($J$4=Bron!$B$13,$J$4=Bron!$B$14),'Bouwkost VOLT'!$V106,IF($J$4=Bron!$C$16,'Bouwkost AK+VERB'!$V106,0))))))</f>
        <v>0</v>
      </c>
      <c r="L99" s="89">
        <f>IF(OR($L$4=Bron!$B$8,$L$4=Bron!$B$9,$L$4=Bron!$B$15),'Bouwkost NB'!$V107,IF($L$4=Bron!$B$10,'Bouwkost UITB'!$V106,IF($L$4=Bron!$B$11,'Bouwkost VERB'!$V106,IF($L$4=Bron!$B$12,'Bouwkost IER'!$V105,IF(OR($L$4=Bron!$B$13,$L$4=Bron!$B$14),'Bouwkost VOLT'!$V106,IF($L$4=Bron!$C$16,'Bouwkost AK+VERB'!$V106,0))))))</f>
        <v>0</v>
      </c>
      <c r="N99" s="89">
        <f>IF(OR($N$4=Bron!$B$8,$N$4=Bron!$B$9,,$N$4=Bron!$B$15),'Bouwkost NB'!$V107,IF($N$4=Bron!$B$10,'Bouwkost UITB'!$V106,IF($N$4=Bron!$B$11,'Bouwkost VERB'!$V106,IF($N$4=Bron!$B$12,'Bouwkost IER'!$V105,IF(OR($N$4=Bron!$B$13,$N$4=Bron!$B$14),'Bouwkost VOLT'!$V106,IF($N$4=Bron!$C$16,'Bouwkost AK+VERB'!$V106,0))))))</f>
        <v>0</v>
      </c>
      <c r="P99" s="89">
        <f>IF(OR($P$4=Bron!$B$8,$P$4=Bron!$B$9,$P$4=Bron!$B$15),'Bouwkost NB'!$V107,IF($P$4=Bron!$B$10,'Bouwkost UITB'!$V106,IF($P$4=Bron!$B$11,'Bouwkost VERB'!$V106,IF($P$4=Bron!$B$12,'Bouwkost IER'!$V105,IF(OR($P$4=Bron!$B$13,$P$4=Bron!$B$14),'Bouwkost VOLT'!$V106,IF($P$4=Bron!$C$16,'Bouwkost AK+VERB'!$V106,0))))))</f>
        <v>0</v>
      </c>
      <c r="R99" s="89">
        <f>IF(OR($R$4=Bron!$B$8,$R$4=Bron!$B$9,$R$4=Bron!$B$15),'Bouwkost NB'!$AG107,IF($R$4=Bron!$B$10,'Bouwkost UITB'!$AG106,IF($R$4=Bron!$B$11,'Bouwkost VERB'!$AG106,IF($R$4=Bron!$B$12,'Bouwkost IER'!$AG105,IF(OR($R$4=Bron!$B$13,$R$4=Bron!$B$14),'Bouwkost VOLT'!$AG106,IF($R$4=Bron!$C$16,'Bouwkost AK+VERB'!$AG106,0))))))</f>
        <v>0</v>
      </c>
      <c r="T99" s="89">
        <f>IF(OR($T$4=Bron!$B$8,$T$4=Bron!$B$9,$T$4=Bron!$B$15),'Bouwkost NB'!$AG107,IF($T$4=Bron!$B$10,'Bouwkost UITB'!$AG106,IF($T$4=Bron!$B$11,'Bouwkost VERB'!$AG106,IF($T$4=Bron!$B$12,'Bouwkost IER'!$AG105,IF(OR($T$4=Bron!$B$13,$T$4=Bron!$B$14),'Bouwkost VOLT'!$AG106,IF($T$4=Bron!$C$16,'Bouwkost AK+VERB'!$AG106,0))))))</f>
        <v>0</v>
      </c>
      <c r="V99" s="89">
        <f>IF(OR($V$4=Bron!$B$8,$V$4=Bron!$B$9,$V$4=Bron!$B$15),'Bouwkost NB'!$AG107,IF($V$4=Bron!$B$10,'Bouwkost UITB'!$AG106,IF($V$4=Bron!$B$11,'Bouwkost VERB'!$AG106,IF($V$4=Bron!$B$12,'Bouwkost IER'!$AG105,IF(OR($V$4=Bron!$B$13,$V$4=Bron!$B$14),'Bouwkost VOLT'!$AG106,IF($V$4=Bron!$C$16,'Bouwkost AK+VERB'!$AG106,0))))))</f>
        <v>0</v>
      </c>
      <c r="X99" s="89">
        <f>IF(OR($X$4=Bron!$B$8,$X$4=Bron!$B$9,$X$4=Bron!$B$15),'Bouwkost NB'!$AG107,IF($X$4=Bron!$B$10,'Bouwkost UITB'!$AG106,IF($X$4=Bron!$B$11,'Bouwkost VERB'!$AG106,IF($X$4=Bron!$B$12,'Bouwkost IER'!$AG105,IF(OR($X$4=Bron!$B$13,$X$4=Bron!$B$14),'Bouwkost VOLT'!$AG106,IF($X$4=Bron!$C$16,'Bouwkost AK+VERB'!$AG106,0))))))</f>
        <v>0</v>
      </c>
    </row>
    <row r="100" spans="1:24" x14ac:dyDescent="0.3">
      <c r="A100" s="313"/>
    </row>
    <row r="101" spans="1:24" x14ac:dyDescent="0.3">
      <c r="A101" s="310" t="s">
        <v>483</v>
      </c>
      <c r="B101" s="89">
        <f>IF(OR($B$4=Bron!$B$8,$B$4=Bron!$B$9,$B$4=Bron!$B$15),'Bouwkost NB'!$K109,IF($B$4=Bron!$B$10,'Bouwkost UITB'!$K108,IF($B$4=Bron!$B$11,'Bouwkost VERB'!$K108,IF($B$4=Bron!$B$12,'Bouwkost IER'!$K107,IF(OR($B$4=Bron!$B$13,$B$4=Bron!$B$14),'Bouwkost VOLT'!$K108,IF($B$4=Bron!$C$16,'Bouwkost AK+VERB'!$K108,0))))))</f>
        <v>0</v>
      </c>
      <c r="D101" s="89">
        <f>IF(OR($D$4=Bron!$B$8,$D$4=Bron!$B$9,$D$4=Bron!$B$15),'Bouwkost NB'!$K109,IF($D$4=Bron!$B$10,'Bouwkost UITB'!$K108,IF($D$4=Bron!$B$11,'Bouwkost VERB'!$K108,IF($D$4=Bron!$B$12,'Bouwkost IER'!$K107,IF(OR($D$4=Bron!$B$13,$D$4=Bron!$B$14),'Bouwkost VOLT'!$K108,IF($D$4=Bron!$C$16,'Bouwkost AK+VERB'!$K108,0))))))</f>
        <v>0</v>
      </c>
      <c r="F101" s="89">
        <f>IF(OR($F$4=Bron!$B$8,$F$4=Bron!$B$9,$F$4=Bron!$B$15),'Bouwkost NB'!$K109,IF($F$4=Bron!$B$10,'Bouwkost UITB'!$K108,IF($F$4=Bron!$B$11,'Bouwkost VERB'!$K108,IF($F$4=Bron!$B$12,'Bouwkost IER'!$K107,IF(OR($F$4=Bron!$B$13,$F$4=Bron!$B$14),'Bouwkost VOLT'!$K108,IF($F$4=Bron!$C$16,'Bouwkost AK+VERB'!$K108,0))))))</f>
        <v>0</v>
      </c>
      <c r="H101" s="89">
        <f>IF(OR($H$4=Bron!$B$8,$H$4=Bron!$B$9,$H$4=Bron!$B$15),'Bouwkost NB'!$K109,IF($H$4=Bron!$B$10,'Bouwkost UITB'!$K108,IF($H$4=Bron!$B$11,'Bouwkost VERB'!$K108,IF($H$4=Bron!$B$12,'Bouwkost IER'!$K107,IF(OR($H$4=Bron!$B$13,$H$4=Bron!$B$14),'Bouwkost VOLT'!$K108,IF($H$4=Bron!$C$16,'Bouwkost AK+VERB'!$K108,0))))))</f>
        <v>0</v>
      </c>
      <c r="J101" s="89">
        <f>IF(OR($J$4=Bron!$B$8,$J$4=Bron!$B$9,$J$4=Bron!$B$15),'Bouwkost NB'!$V109,IF($J$4=Bron!$B$10,'Bouwkost UITB'!$V108,IF($J$4=Bron!$B$11,'Bouwkost VERB'!$V108,IF($J$4=Bron!$B$12,'Bouwkost IER'!$V107,IF(OR($J$4=Bron!$B$13,$J$4=Bron!$B$14),'Bouwkost VOLT'!$V108,IF($J$4=Bron!$C$16,'Bouwkost AK+VERB'!$V108,0))))))</f>
        <v>0</v>
      </c>
      <c r="L101" s="89">
        <f>IF(OR($L$4=Bron!$B$8,$L$4=Bron!$B$9,$L$4=Bron!$B$15),'Bouwkost NB'!$V109,IF($L$4=Bron!$B$10,'Bouwkost UITB'!$V108,IF($L$4=Bron!$B$11,'Bouwkost VERB'!$V108,IF($L$4=Bron!$B$12,'Bouwkost IER'!$V107,IF(OR($L$4=Bron!$B$13,$L$4=Bron!$B$14),'Bouwkost VOLT'!$V108,IF($L$4=Bron!$C$16,'Bouwkost AK+VERB'!$V108,0))))))</f>
        <v>0</v>
      </c>
      <c r="N101" s="89">
        <f>IF(OR($N$4=Bron!$B$8,$N$4=Bron!$B$9,,$N$4=Bron!$B$15),'Bouwkost NB'!$V109,IF($N$4=Bron!$B$10,'Bouwkost UITB'!$V108,IF($N$4=Bron!$B$11,'Bouwkost VERB'!$V108,IF($N$4=Bron!$B$12,'Bouwkost IER'!$V107,IF(OR($N$4=Bron!$B$13,$N$4=Bron!$B$14),'Bouwkost VOLT'!$V108,IF($N$4=Bron!$C$16,'Bouwkost AK+VERB'!$V108,0))))))</f>
        <v>0</v>
      </c>
      <c r="P101" s="89">
        <f>IF(OR($P$4=Bron!$B$8,$P$4=Bron!$B$9,$P$4=Bron!$B$15),'Bouwkost NB'!$V109,IF($P$4=Bron!$B$10,'Bouwkost UITB'!$V108,IF($P$4=Bron!$B$11,'Bouwkost VERB'!$V108,IF($P$4=Bron!$B$12,'Bouwkost IER'!$V107,IF(OR($P$4=Bron!$B$13,$P$4=Bron!$B$14),'Bouwkost VOLT'!$V108,IF($P$4=Bron!$C$16,'Bouwkost AK+VERB'!$V108,0))))))</f>
        <v>0</v>
      </c>
      <c r="R101" s="89">
        <f>IF(OR($R$4=Bron!$B$8,$R$4=Bron!$B$9,$R$4=Bron!$B$15),'Bouwkost NB'!$AG109,IF($R$4=Bron!$B$10,'Bouwkost UITB'!$AG108,IF($R$4=Bron!$B$11,'Bouwkost VERB'!$AG108,IF($R$4=Bron!$B$12,'Bouwkost IER'!$AG107,IF(OR($R$4=Bron!$B$13,$R$4=Bron!$B$14),'Bouwkost VOLT'!$AG108,IF($R$4=Bron!$C$16,'Bouwkost AK+VERB'!$AG108,0))))))</f>
        <v>0</v>
      </c>
      <c r="T101" s="89">
        <f>IF(OR($T$4=Bron!$B$8,$T$4=Bron!$B$9,$T$4=Bron!$B$15),'Bouwkost NB'!$AG109,IF($T$4=Bron!$B$10,'Bouwkost UITB'!$AG108,IF($T$4=Bron!$B$11,'Bouwkost VERB'!$AG108,IF($T$4=Bron!$B$12,'Bouwkost IER'!$AG107,IF(OR($T$4=Bron!$B$13,$T$4=Bron!$B$14),'Bouwkost VOLT'!$AG108,IF($T$4=Bron!$C$16,'Bouwkost AK+VERB'!$AG108,0))))))</f>
        <v>0</v>
      </c>
      <c r="V101" s="89">
        <f>IF(OR($V$4=Bron!$B$8,$V$4=Bron!$B$9,$V$4=Bron!$B$15),'Bouwkost NB'!$AG109,IF($V$4=Bron!$B$10,'Bouwkost UITB'!$AG108,IF($V$4=Bron!$B$11,'Bouwkost VERB'!$AG108,IF($V$4=Bron!$B$12,'Bouwkost IER'!$AG107,IF(OR($V$4=Bron!$B$13,$V$4=Bron!$B$14),'Bouwkost VOLT'!$AG108,IF($V$4=Bron!$C$16,'Bouwkost AK+VERB'!$AG108,0))))))</f>
        <v>0</v>
      </c>
      <c r="X101" s="89">
        <f>IF(OR($X$4=Bron!$B$8,$X$4=Bron!$B$9,$X$4=Bron!$B$15),'Bouwkost NB'!$AG109,IF($X$4=Bron!$B$10,'Bouwkost UITB'!$AG108,IF($X$4=Bron!$B$11,'Bouwkost VERB'!$AG108,IF($X$4=Bron!$B$12,'Bouwkost IER'!$AG107,IF(OR($X$4=Bron!$B$13,$X$4=Bron!$B$14),'Bouwkost VOLT'!$AG108,IF($X$4=Bron!$C$16,'Bouwkost AK+VERB'!$AG108,0))))))</f>
        <v>0</v>
      </c>
    </row>
    <row r="102" spans="1:24" x14ac:dyDescent="0.3">
      <c r="A102" s="18"/>
    </row>
    <row r="103" spans="1:24" x14ac:dyDescent="0.3">
      <c r="A103" s="307" t="s">
        <v>484</v>
      </c>
      <c r="B103" s="89">
        <f>IF(OR($D$4=Bron!$B$8,$D$4=Bron!$B$9,$D$4=Bron!$B$15),'Bouwkost NB'!$K111,IF($D$4=Bron!$B$10,'Bouwkost UITB'!$K110,IF($D$4=Bron!$B$11,'Bouwkost VERB'!$K110,IF($D$4=Bron!$B$12,'Bouwkost IER'!$K109,IF(OR($D$4=Bron!$B$13,$D$4=Bron!$B$14),'Bouwkost VOLT'!$K110,IF($D$4=Bron!$C$16,'Bouwkost AK+VERB'!$K110,0))))))</f>
        <v>0</v>
      </c>
      <c r="D103" s="89">
        <f>IF(OR($D$4=Bron!$B$8,$D$4=Bron!$B$9,$D$4=Bron!$B$15),'Bouwkost NB'!$K111,IF($D$4=Bron!$B$10,'Bouwkost UITB'!$K110,IF($D$4=Bron!$B$11,'Bouwkost VERB'!$K110,IF($D$4=Bron!$B$12,'Bouwkost IER'!$K109,IF(OR($D$4=Bron!$B$13,$D$4=Bron!$B$14),'Bouwkost VOLT'!$K110,IF($D$4=Bron!$C$16,'Bouwkost AK+VERB'!$K110,0))))))</f>
        <v>0</v>
      </c>
      <c r="F103" s="89">
        <f>IF(OR($F$4=Bron!$B$8,$F$4=Bron!$B$9,$F$4=Bron!$B$15),'Bouwkost NB'!$K111,IF($F$4=Bron!$B$10,'Bouwkost UITB'!$K110,IF($F$4=Bron!$B$11,'Bouwkost VERB'!$K110,IF($F$4=Bron!$B$12,'Bouwkost IER'!$K109,IF(OR($F$4=Bron!$B$13,$F$4=Bron!$B$14),'Bouwkost VOLT'!$K110,IF($F$4=Bron!$C$16,'Bouwkost AK+VERB'!$K110,0))))))</f>
        <v>0</v>
      </c>
      <c r="H103" s="89">
        <f>IF(OR($H$4=Bron!$B$8,$H$4=Bron!$B$9,$H$4=Bron!$B$15),'Bouwkost NB'!$K111,IF($H$4=Bron!$B$10,'Bouwkost UITB'!$K110,IF($H$4=Bron!$B$11,'Bouwkost VERB'!$K110,IF($H$4=Bron!$B$12,'Bouwkost IER'!$K109,IF(OR($H$4=Bron!$B$13,$H$4=Bron!$B$14),'Bouwkost VOLT'!$K110,IF($H$4=Bron!$C$16,'Bouwkost AK+VERB'!$K110,0))))))</f>
        <v>0</v>
      </c>
      <c r="J103" s="89">
        <f>IF(OR($J$4=Bron!$B$8,$J$4=Bron!$B$9,$J$4=Bron!$B$15),'Bouwkost NB'!$V111,IF($J$4=Bron!$B$10,'Bouwkost UITB'!$V110,IF($J$4=Bron!$B$11,'Bouwkost VERB'!$V110,IF($J$4=Bron!$B$12,'Bouwkost IER'!$V109,IF(OR($J$4=Bron!$B$13,$J$4=Bron!$B$14),'Bouwkost VOLT'!$V110,IF($J$4=Bron!$C$16,'Bouwkost AK+VERB'!$V110,0))))))</f>
        <v>0</v>
      </c>
      <c r="L103" s="89">
        <f>IF(OR($L$4=Bron!$B$8,$L$4=Bron!$B$9,$L$4=Bron!$B$15),'Bouwkost NB'!$V111,IF($L$4=Bron!$B$10,'Bouwkost UITB'!$V110,IF($L$4=Bron!$B$11,'Bouwkost VERB'!$V110,IF($L$4=Bron!$B$12,'Bouwkost IER'!$V109,IF(OR($L$4=Bron!$B$13,$L$4=Bron!$B$14),'Bouwkost VOLT'!$V110,IF($L$4=Bron!$C$16,'Bouwkost AK+VERB'!$V110,0))))))</f>
        <v>0</v>
      </c>
      <c r="N103" s="89">
        <f>IF(OR($N$4=Bron!$B$8,$N$4=Bron!$B$9,,$N$4=Bron!$B$15),'Bouwkost NB'!$V111,IF($N$4=Bron!$B$10,'Bouwkost UITB'!$V110,IF($N$4=Bron!$B$11,'Bouwkost VERB'!$V110,IF($N$4=Bron!$B$12,'Bouwkost IER'!$V109,IF(OR($N$4=Bron!$B$13,$N$4=Bron!$B$14),'Bouwkost VOLT'!$V110,IF($N$4=Bron!$C$16,'Bouwkost AK+VERB'!$V110,0))))))</f>
        <v>0</v>
      </c>
      <c r="P103" s="89">
        <f>IF(OR($P$4=Bron!$B$8,$P$4=Bron!$B$9,$P$4=Bron!$B$15),'Bouwkost NB'!$V111,IF($P$4=Bron!$B$10,'Bouwkost UITB'!$V110,IF($P$4=Bron!$B$11,'Bouwkost VERB'!$V110,IF($P$4=Bron!$B$12,'Bouwkost IER'!$V109,IF(OR($P$4=Bron!$B$13,$P$4=Bron!$B$14),'Bouwkost VOLT'!$V110,IF($P$4=Bron!$C$16,'Bouwkost AK+VERB'!$V110,0))))))</f>
        <v>0</v>
      </c>
      <c r="R103" s="89">
        <f>IF(OR($R$4=Bron!$B$8,$R$4=Bron!$B$9,$R$4=Bron!$B$15),'Bouwkost NB'!$AG111,IF($R$4=Bron!$B$10,'Bouwkost UITB'!$AG110,IF($R$4=Bron!$B$11,'Bouwkost VERB'!$AG110,IF($R$4=Bron!$B$12,'Bouwkost IER'!$AG109,IF(OR($R$4=Bron!$B$13,$R$4=Bron!$B$14),'Bouwkost VOLT'!$AG110,IF($R$4=Bron!$C$16,'Bouwkost AK+VERB'!$AG110,0))))))</f>
        <v>0</v>
      </c>
      <c r="T103" s="89">
        <f>IF(OR($T$4=Bron!$B$8,$T$4=Bron!$B$9,$T$4=Bron!$B$15),'Bouwkost NB'!$AG111,IF($T$4=Bron!$B$10,'Bouwkost UITB'!$AG110,IF($T$4=Bron!$B$11,'Bouwkost VERB'!$AG110,IF($T$4=Bron!$B$12,'Bouwkost IER'!$AG109,IF(OR($T$4=Bron!$B$13,$T$4=Bron!$B$14),'Bouwkost VOLT'!$AG110,IF($T$4=Bron!$C$16,'Bouwkost AK+VERB'!$AG110,0))))))</f>
        <v>0</v>
      </c>
      <c r="V103" s="89">
        <f>IF(OR($V$4=Bron!$B$8,$V$4=Bron!$B$9,$V$4=Bron!$B$15),'Bouwkost NB'!$AG111,IF($V$4=Bron!$B$10,'Bouwkost UITB'!$AG110,IF($V$4=Bron!$B$11,'Bouwkost VERB'!$AG110,IF($V$4=Bron!$B$12,'Bouwkost IER'!$AG109,IF(OR($V$4=Bron!$B$13,$V$4=Bron!$B$14),'Bouwkost VOLT'!$AG110,IF($V$4=Bron!$C$16,'Bouwkost AK+VERB'!$AG110,0))))))</f>
        <v>0</v>
      </c>
      <c r="X103" s="89">
        <f>IF(OR($X$4=Bron!$B$8,$X$4=Bron!$B$9,$X$4=Bron!$B$15),'Bouwkost NB'!$AG111,IF($X$4=Bron!$B$10,'Bouwkost UITB'!$AG110,IF($X$4=Bron!$B$11,'Bouwkost VERB'!$AG110,IF($X$4=Bron!$B$12,'Bouwkost IER'!$AG109,IF(OR($X$4=Bron!$B$13,$X$4=Bron!$B$14),'Bouwkost VOLT'!$AG110,IF($X$4=Bron!$C$16,'Bouwkost AK+VERB'!$AG110,0))))))</f>
        <v>0</v>
      </c>
    </row>
    <row r="104" spans="1:24" x14ac:dyDescent="0.3">
      <c r="A104" s="305" t="s">
        <v>123</v>
      </c>
      <c r="B104" s="89">
        <f>IF(OR($B$4=Bron!$B$8,$B$4=Bron!$B$9,$B$4=Bron!$B$15),'Bouwkost NB'!$K112,IF($B$4=Bron!$B$10,'Bouwkost UITB'!$K111,IF($B$4=Bron!$B$11,'Bouwkost VERB'!$K111,IF($B$4=Bron!$B$12,'Bouwkost IER'!$K110,IF(OR($B$4=Bron!$B$13,$B$4=Bron!$B$14),'Bouwkost VOLT'!$K111,IF($B$4=Bron!$C$16,'Bouwkost AK+VERB'!$K111,0))))))</f>
        <v>0</v>
      </c>
      <c r="D104" s="89">
        <f>IF(OR($D$4=Bron!$B$8,$D$4=Bron!$B$9,$D$4=Bron!$B$15),'Bouwkost NB'!$K112,IF($D$4=Bron!$B$10,'Bouwkost UITB'!$K111,IF($D$4=Bron!$B$11,'Bouwkost VERB'!$K111,IF($D$4=Bron!$B$12,'Bouwkost IER'!$K110,IF(OR($D$4=Bron!$B$13,$D$4=Bron!$B$14),'Bouwkost VOLT'!$K111,IF($D$4=Bron!$C$16,'Bouwkost AK+VERB'!$K111,0))))))</f>
        <v>0</v>
      </c>
      <c r="F104" s="89">
        <f>IF(OR($F$4=Bron!$B$8,$F$4=Bron!$B$9,$F$4=Bron!$B$15),'Bouwkost NB'!$K112,IF($F$4=Bron!$B$10,'Bouwkost UITB'!$K111,IF($F$4=Bron!$B$11,'Bouwkost VERB'!$K111,IF($F$4=Bron!$B$12,'Bouwkost IER'!$K110,IF(OR($F$4=Bron!$B$13,$F$4=Bron!$B$14),'Bouwkost VOLT'!$K111,IF($F$4=Bron!$C$16,'Bouwkost AK+VERB'!$K111,0))))))</f>
        <v>0</v>
      </c>
      <c r="H104" s="89">
        <f>IF(OR($H$4=Bron!$B$8,$H$4=Bron!$B$9,$H$4=Bron!$B$15),'Bouwkost NB'!$K112,IF($H$4=Bron!$B$10,'Bouwkost UITB'!$K111,IF($H$4=Bron!$B$11,'Bouwkost VERB'!$K111,IF($H$4=Bron!$B$12,'Bouwkost IER'!$K110,IF(OR($H$4=Bron!$B$13,$H$4=Bron!$B$14),'Bouwkost VOLT'!$K111,IF($H$4=Bron!$C$16,'Bouwkost AK+VERB'!$K111,0))))))</f>
        <v>0</v>
      </c>
      <c r="J104" s="89">
        <f>IF(OR($J$4=Bron!$B$8,$J$4=Bron!$B$9,$J$4=Bron!$B$15),'Bouwkost NB'!$V112,IF($J$4=Bron!$B$10,'Bouwkost UITB'!$V111,IF($J$4=Bron!$B$11,'Bouwkost VERB'!$V111,IF($J$4=Bron!$B$12,'Bouwkost IER'!$V110,IF(OR($J$4=Bron!$B$13,$J$4=Bron!$B$14),'Bouwkost VOLT'!$V111,IF($J$4=Bron!$C$16,'Bouwkost AK+VERB'!$V111,0))))))</f>
        <v>0</v>
      </c>
      <c r="L104" s="89">
        <f>IF(OR($L$4=Bron!$B$8,$L$4=Bron!$B$9,$L$4=Bron!$B$15),'Bouwkost NB'!$V112,IF($L$4=Bron!$B$10,'Bouwkost UITB'!$V111,IF($L$4=Bron!$B$11,'Bouwkost VERB'!$V111,IF($L$4=Bron!$B$12,'Bouwkost IER'!$V110,IF(OR($L$4=Bron!$B$13,$L$4=Bron!$B$14),'Bouwkost VOLT'!$V111,IF($L$4=Bron!$C$16,'Bouwkost AK+VERB'!$V111,0))))))</f>
        <v>0</v>
      </c>
      <c r="N104" s="89">
        <f>IF(OR($N$4=Bron!$B$8,$N$4=Bron!$B$9,,$N$4=Bron!$B$15),'Bouwkost NB'!$V112,IF($N$4=Bron!$B$10,'Bouwkost UITB'!$V111,IF($N$4=Bron!$B$11,'Bouwkost VERB'!$V111,IF($N$4=Bron!$B$12,'Bouwkost IER'!$V110,IF(OR($N$4=Bron!$B$13,$N$4=Bron!$B$14),'Bouwkost VOLT'!$V111,IF($N$4=Bron!$C$16,'Bouwkost AK+VERB'!$V111,0))))))</f>
        <v>0</v>
      </c>
      <c r="P104" s="89">
        <f>IF(OR($P$4=Bron!$B$8,$P$4=Bron!$B$9,$P$4=Bron!$B$15),'Bouwkost NB'!$V112,IF($P$4=Bron!$B$10,'Bouwkost UITB'!$V111,IF($P$4=Bron!$B$11,'Bouwkost VERB'!$V111,IF($P$4=Bron!$B$12,'Bouwkost IER'!$V110,IF(OR($P$4=Bron!$B$13,$P$4=Bron!$B$14),'Bouwkost VOLT'!$V111,IF($P$4=Bron!$C$16,'Bouwkost AK+VERB'!$V111,0))))))</f>
        <v>0</v>
      </c>
      <c r="R104" s="89">
        <f>IF(OR($R$4=Bron!$B$8,$R$4=Bron!$B$9,$R$4=Bron!$B$15),'Bouwkost NB'!$AG112,IF($R$4=Bron!$B$10,'Bouwkost UITB'!$AG111,IF($R$4=Bron!$B$11,'Bouwkost VERB'!$AG111,IF($R$4=Bron!$B$12,'Bouwkost IER'!$AG110,IF(OR($R$4=Bron!$B$13,$R$4=Bron!$B$14),'Bouwkost VOLT'!$AG111,IF($R$4=Bron!$C$16,'Bouwkost AK+VERB'!$AG111,0))))))</f>
        <v>0</v>
      </c>
      <c r="T104" s="89">
        <f>IF(OR($T$4=Bron!$B$8,$T$4=Bron!$B$9,$T$4=Bron!$B$15),'Bouwkost NB'!$AG112,IF($T$4=Bron!$B$10,'Bouwkost UITB'!$AG111,IF($T$4=Bron!$B$11,'Bouwkost VERB'!$AG111,IF($T$4=Bron!$B$12,'Bouwkost IER'!$AG110,IF(OR($T$4=Bron!$B$13,$T$4=Bron!$B$14),'Bouwkost VOLT'!$AG111,IF($T$4=Bron!$C$16,'Bouwkost AK+VERB'!$AG111,0))))))</f>
        <v>0</v>
      </c>
      <c r="V104" s="89">
        <f>IF(OR($V$4=Bron!$B$8,$V$4=Bron!$B$9,$V$4=Bron!$B$15),'Bouwkost NB'!$AG112,IF($V$4=Bron!$B$10,'Bouwkost UITB'!$AG111,IF($V$4=Bron!$B$11,'Bouwkost VERB'!$AG111,IF($V$4=Bron!$B$12,'Bouwkost IER'!$AG110,IF(OR($V$4=Bron!$B$13,$V$4=Bron!$B$14),'Bouwkost VOLT'!$AG111,IF($V$4=Bron!$C$16,'Bouwkost AK+VERB'!$AG111,0))))))</f>
        <v>0</v>
      </c>
      <c r="X104" s="89">
        <f>IF(OR($X$4=Bron!$B$8,$X$4=Bron!$B$9,$X$4=Bron!$B$15),'Bouwkost NB'!$AG112,IF($X$4=Bron!$B$10,'Bouwkost UITB'!$AG111,IF($X$4=Bron!$B$11,'Bouwkost VERB'!$AG111,IF($X$4=Bron!$B$12,'Bouwkost IER'!$AG110,IF(OR($X$4=Bron!$B$13,$X$4=Bron!$B$14),'Bouwkost VOLT'!$AG111,IF($X$4=Bron!$C$16,'Bouwkost AK+VERB'!$AG111,0))))))</f>
        <v>0</v>
      </c>
    </row>
    <row r="105" spans="1:24" x14ac:dyDescent="0.3">
      <c r="A105" s="305" t="s">
        <v>124</v>
      </c>
      <c r="B105" s="89">
        <f>IF(OR($B$4=Bron!$B$8,$B$4=Bron!$B$9,$B$4=Bron!$B$15),'Bouwkost NB'!$K113,IF($B$4=Bron!$B$10,'Bouwkost UITB'!$K112,IF($B$4=Bron!$B$11,'Bouwkost VERB'!$K112,IF($B$4=Bron!$B$12,'Bouwkost IER'!$K111,IF(OR($B$4=Bron!$B$13,$B$4=Bron!$B$14),'Bouwkost VOLT'!$K112,IF($B$4=Bron!$C$16,'Bouwkost AK+VERB'!$K112,0))))))</f>
        <v>0</v>
      </c>
      <c r="D105" s="89">
        <f>IF(OR($D$4=Bron!$B$8,$D$4=Bron!$B$9,$D$4=Bron!$B$15),'Bouwkost NB'!$K113,IF($D$4=Bron!$B$10,'Bouwkost UITB'!$K112,IF($D$4=Bron!$B$11,'Bouwkost VERB'!$K112,IF($D$4=Bron!$B$12,'Bouwkost IER'!$K111,IF(OR($D$4=Bron!$B$13,$D$4=Bron!$B$14),'Bouwkost VOLT'!$K112,IF($D$4=Bron!$C$16,'Bouwkost AK+VERB'!$K112,0))))))</f>
        <v>0</v>
      </c>
      <c r="F105" s="89">
        <f>IF(OR($F$4=Bron!$B$8,$F$4=Bron!$B$9,$F$4=Bron!$B$15),'Bouwkost NB'!$K113,IF($F$4=Bron!$B$10,'Bouwkost UITB'!$K112,IF($F$4=Bron!$B$11,'Bouwkost VERB'!$K112,IF($F$4=Bron!$B$12,'Bouwkost IER'!$K111,IF(OR($F$4=Bron!$B$13,$F$4=Bron!$B$14),'Bouwkost VOLT'!$K112,IF($F$4=Bron!$C$16,'Bouwkost AK+VERB'!$K112,0))))))</f>
        <v>0</v>
      </c>
      <c r="H105" s="89">
        <f>IF(OR($H$4=Bron!$B$8,$H$4=Bron!$B$9,$H$4=Bron!$B$15),'Bouwkost NB'!$K113,IF($H$4=Bron!$B$10,'Bouwkost UITB'!$K112,IF($H$4=Bron!$B$11,'Bouwkost VERB'!$K112,IF($H$4=Bron!$B$12,'Bouwkost IER'!$K111,IF(OR($H$4=Bron!$B$13,$H$4=Bron!$B$14),'Bouwkost VOLT'!$K112,IF($H$4=Bron!$C$16,'Bouwkost AK+VERB'!$K112,0))))))</f>
        <v>0</v>
      </c>
      <c r="J105" s="89">
        <f>IF(OR($J$4=Bron!$B$8,$J$4=Bron!$B$9,$J$4=Bron!$B$15),'Bouwkost NB'!$V113,IF($J$4=Bron!$B$10,'Bouwkost UITB'!$V112,IF($J$4=Bron!$B$11,'Bouwkost VERB'!$V112,IF($J$4=Bron!$B$12,'Bouwkost IER'!$V111,IF(OR($J$4=Bron!$B$13,$J$4=Bron!$B$14),'Bouwkost VOLT'!$V112,IF($J$4=Bron!$C$16,'Bouwkost AK+VERB'!$V112,0))))))</f>
        <v>0</v>
      </c>
      <c r="L105" s="89">
        <f>IF(OR($L$4=Bron!$B$8,$L$4=Bron!$B$9,$L$4=Bron!$B$15),'Bouwkost NB'!$V113,IF($L$4=Bron!$B$10,'Bouwkost UITB'!$V112,IF($L$4=Bron!$B$11,'Bouwkost VERB'!$V112,IF($L$4=Bron!$B$12,'Bouwkost IER'!$V111,IF(OR($L$4=Bron!$B$13,$L$4=Bron!$B$14),'Bouwkost VOLT'!$V112,IF($L$4=Bron!$C$16,'Bouwkost AK+VERB'!$V112,0))))))</f>
        <v>0</v>
      </c>
      <c r="N105" s="89">
        <f>IF(OR($N$4=Bron!$B$8,$N$4=Bron!$B$9,,$N$4=Bron!$B$15),'Bouwkost NB'!$V113,IF($N$4=Bron!$B$10,'Bouwkost UITB'!$V112,IF($N$4=Bron!$B$11,'Bouwkost VERB'!$V112,IF($N$4=Bron!$B$12,'Bouwkost IER'!$V111,IF(OR($N$4=Bron!$B$13,$N$4=Bron!$B$14),'Bouwkost VOLT'!$V112,IF($N$4=Bron!$C$16,'Bouwkost AK+VERB'!$V112,0))))))</f>
        <v>0</v>
      </c>
      <c r="P105" s="89">
        <f>IF(OR($P$4=Bron!$B$8,$P$4=Bron!$B$9,$P$4=Bron!$B$15),'Bouwkost NB'!$V113,IF($P$4=Bron!$B$10,'Bouwkost UITB'!$V112,IF($P$4=Bron!$B$11,'Bouwkost VERB'!$V112,IF($P$4=Bron!$B$12,'Bouwkost IER'!$V111,IF(OR($P$4=Bron!$B$13,$P$4=Bron!$B$14),'Bouwkost VOLT'!$V112,IF($P$4=Bron!$C$16,'Bouwkost AK+VERB'!$V112,0))))))</f>
        <v>0</v>
      </c>
      <c r="R105" s="89">
        <f>IF(OR($R$4=Bron!$B$8,$R$4=Bron!$B$9,$R$4=Bron!$B$15),'Bouwkost NB'!$AG113,IF($R$4=Bron!$B$10,'Bouwkost UITB'!$AG112,IF($R$4=Bron!$B$11,'Bouwkost VERB'!$AG112,IF($R$4=Bron!$B$12,'Bouwkost IER'!$AG111,IF(OR($R$4=Bron!$B$13,$R$4=Bron!$B$14),'Bouwkost VOLT'!$AG112,IF($R$4=Bron!$C$16,'Bouwkost AK+VERB'!$AG112,0))))))</f>
        <v>0</v>
      </c>
      <c r="T105" s="89">
        <f>IF(OR($T$4=Bron!$B$8,$T$4=Bron!$B$9,$T$4=Bron!$B$15),'Bouwkost NB'!$AG113,IF($T$4=Bron!$B$10,'Bouwkost UITB'!$AG112,IF($T$4=Bron!$B$11,'Bouwkost VERB'!$AG112,IF($T$4=Bron!$B$12,'Bouwkost IER'!$AG111,IF(OR($T$4=Bron!$B$13,$T$4=Bron!$B$14),'Bouwkost VOLT'!$AG112,IF($T$4=Bron!$C$16,'Bouwkost AK+VERB'!$AG112,0))))))</f>
        <v>0</v>
      </c>
      <c r="V105" s="89">
        <f>IF(OR($V$4=Bron!$B$8,$V$4=Bron!$B$9,$V$4=Bron!$B$15),'Bouwkost NB'!$AG113,IF($V$4=Bron!$B$10,'Bouwkost UITB'!$AG112,IF($V$4=Bron!$B$11,'Bouwkost VERB'!$AG112,IF($V$4=Bron!$B$12,'Bouwkost IER'!$AG111,IF(OR($V$4=Bron!$B$13,$V$4=Bron!$B$14),'Bouwkost VOLT'!$AG112,IF($V$4=Bron!$C$16,'Bouwkost AK+VERB'!$AG112,0))))))</f>
        <v>0</v>
      </c>
      <c r="X105" s="89">
        <f>IF(OR($X$4=Bron!$B$8,$X$4=Bron!$B$9,$X$4=Bron!$B$15),'Bouwkost NB'!$AG113,IF($X$4=Bron!$B$10,'Bouwkost UITB'!$AG112,IF($X$4=Bron!$B$11,'Bouwkost VERB'!$AG112,IF($X$4=Bron!$B$12,'Bouwkost IER'!$AG111,IF(OR($X$4=Bron!$B$13,$X$4=Bron!$B$14),'Bouwkost VOLT'!$AG112,IF($X$4=Bron!$C$16,'Bouwkost AK+VERB'!$AG112,0))))))</f>
        <v>0</v>
      </c>
    </row>
    <row r="106" spans="1:24" x14ac:dyDescent="0.3">
      <c r="A106" s="305" t="s">
        <v>125</v>
      </c>
      <c r="B106" s="89">
        <f>IF(OR($B$4=Bron!$B$8,$B$4=Bron!$B$9,$B$4=Bron!$B$15),'Bouwkost NB'!$K114,IF($B$4=Bron!$B$10,'Bouwkost UITB'!$K113,IF($B$4=Bron!$B$11,'Bouwkost VERB'!$K113,IF($B$4=Bron!$B$12,'Bouwkost IER'!$K112,IF(OR($B$4=Bron!$B$13,$B$4=Bron!$B$14),'Bouwkost VOLT'!$K113,IF($B$4=Bron!$C$16,'Bouwkost AK+VERB'!$K113,0))))))</f>
        <v>0</v>
      </c>
      <c r="D106" s="89">
        <f>IF(OR($D$4=Bron!$B$8,$D$4=Bron!$B$9,$D$4=Bron!$B$15),'Bouwkost NB'!$K114,IF($D$4=Bron!$B$10,'Bouwkost UITB'!$K113,IF($D$4=Bron!$B$11,'Bouwkost VERB'!$K113,IF($D$4=Bron!$B$12,'Bouwkost IER'!$K112,IF(OR($D$4=Bron!$B$13,$D$4=Bron!$B$14),'Bouwkost VOLT'!$K113,IF($D$4=Bron!$C$16,'Bouwkost AK+VERB'!$K113,0))))))</f>
        <v>0</v>
      </c>
      <c r="F106" s="89">
        <f>IF(OR($F$4=Bron!$B$8,$F$4=Bron!$B$9,$F$4=Bron!$B$15),'Bouwkost NB'!$K114,IF($F$4=Bron!$B$10,'Bouwkost UITB'!$K113,IF($F$4=Bron!$B$11,'Bouwkost VERB'!$K113,IF($F$4=Bron!$B$12,'Bouwkost IER'!$K112,IF(OR($F$4=Bron!$B$13,$F$4=Bron!$B$14),'Bouwkost VOLT'!$K113,IF($F$4=Bron!$C$16,'Bouwkost AK+VERB'!$K113,0))))))</f>
        <v>0</v>
      </c>
      <c r="H106" s="89">
        <f>IF(OR($H$4=Bron!$B$8,$H$4=Bron!$B$9,$H$4=Bron!$B$15),'Bouwkost NB'!$K114,IF($H$4=Bron!$B$10,'Bouwkost UITB'!$K113,IF($H$4=Bron!$B$11,'Bouwkost VERB'!$K113,IF($H$4=Bron!$B$12,'Bouwkost IER'!$K112,IF(OR($H$4=Bron!$B$13,$H$4=Bron!$B$14),'Bouwkost VOLT'!$K113,IF($H$4=Bron!$C$16,'Bouwkost AK+VERB'!$K113,0))))))</f>
        <v>0</v>
      </c>
      <c r="J106" s="89">
        <f>IF(OR($J$4=Bron!$B$8,$J$4=Bron!$B$9,$J$4=Bron!$B$15),'Bouwkost NB'!$V114,IF($J$4=Bron!$B$10,'Bouwkost UITB'!$V113,IF($J$4=Bron!$B$11,'Bouwkost VERB'!$V113,IF($J$4=Bron!$B$12,'Bouwkost IER'!$V112,IF(OR($J$4=Bron!$B$13,$J$4=Bron!$B$14),'Bouwkost VOLT'!$V113,IF($J$4=Bron!$C$16,'Bouwkost AK+VERB'!$V113,0))))))</f>
        <v>0</v>
      </c>
      <c r="L106" s="89">
        <f>IF(OR($L$4=Bron!$B$8,$L$4=Bron!$B$9,$L$4=Bron!$B$15),'Bouwkost NB'!$V114,IF($L$4=Bron!$B$10,'Bouwkost UITB'!$V113,IF($L$4=Bron!$B$11,'Bouwkost VERB'!$V113,IF($L$4=Bron!$B$12,'Bouwkost IER'!$V112,IF(OR($L$4=Bron!$B$13,$L$4=Bron!$B$14),'Bouwkost VOLT'!$V113,IF($L$4=Bron!$C$16,'Bouwkost AK+VERB'!$V113,0))))))</f>
        <v>0</v>
      </c>
      <c r="N106" s="89">
        <f>IF(OR($N$4=Bron!$B$8,$N$4=Bron!$B$9,,$N$4=Bron!$B$15),'Bouwkost NB'!$V114,IF($N$4=Bron!$B$10,'Bouwkost UITB'!$V113,IF($N$4=Bron!$B$11,'Bouwkost VERB'!$V113,IF($N$4=Bron!$B$12,'Bouwkost IER'!$V112,IF(OR($N$4=Bron!$B$13,$N$4=Bron!$B$14),'Bouwkost VOLT'!$V113,IF($N$4=Bron!$C$16,'Bouwkost AK+VERB'!$V113,0))))))</f>
        <v>0</v>
      </c>
      <c r="P106" s="89">
        <f>IF(OR($P$4=Bron!$B$8,$P$4=Bron!$B$9,$P$4=Bron!$B$15),'Bouwkost NB'!$V114,IF($P$4=Bron!$B$10,'Bouwkost UITB'!$V113,IF($P$4=Bron!$B$11,'Bouwkost VERB'!$V113,IF($P$4=Bron!$B$12,'Bouwkost IER'!$V112,IF(OR($P$4=Bron!$B$13,$P$4=Bron!$B$14),'Bouwkost VOLT'!$V113,IF($P$4=Bron!$C$16,'Bouwkost AK+VERB'!$V113,0))))))</f>
        <v>0</v>
      </c>
      <c r="R106" s="89">
        <f>IF(OR($R$4=Bron!$B$8,$R$4=Bron!$B$9,$R$4=Bron!$B$15),'Bouwkost NB'!$AG114,IF($R$4=Bron!$B$10,'Bouwkost UITB'!$AG113,IF($R$4=Bron!$B$11,'Bouwkost VERB'!$AG113,IF($R$4=Bron!$B$12,'Bouwkost IER'!$AG112,IF(OR($R$4=Bron!$B$13,$R$4=Bron!$B$14),'Bouwkost VOLT'!$AG113,IF($R$4=Bron!$C$16,'Bouwkost AK+VERB'!$AG113,0))))))</f>
        <v>0</v>
      </c>
      <c r="T106" s="89">
        <f>IF(OR($T$4=Bron!$B$8,$T$4=Bron!$B$9,$T$4=Bron!$B$15),'Bouwkost NB'!$AG114,IF($T$4=Bron!$B$10,'Bouwkost UITB'!$AG113,IF($T$4=Bron!$B$11,'Bouwkost VERB'!$AG113,IF($T$4=Bron!$B$12,'Bouwkost IER'!$AG112,IF(OR($T$4=Bron!$B$13,$T$4=Bron!$B$14),'Bouwkost VOLT'!$AG113,IF($T$4=Bron!$C$16,'Bouwkost AK+VERB'!$AG113,0))))))</f>
        <v>0</v>
      </c>
      <c r="V106" s="89">
        <f>IF(OR($V$4=Bron!$B$8,$V$4=Bron!$B$9,$V$4=Bron!$B$15),'Bouwkost NB'!$AG114,IF($V$4=Bron!$B$10,'Bouwkost UITB'!$AG113,IF($V$4=Bron!$B$11,'Bouwkost VERB'!$AG113,IF($V$4=Bron!$B$12,'Bouwkost IER'!$AG112,IF(OR($V$4=Bron!$B$13,$V$4=Bron!$B$14),'Bouwkost VOLT'!$AG113,IF($V$4=Bron!$C$16,'Bouwkost AK+VERB'!$AG113,0))))))</f>
        <v>0</v>
      </c>
      <c r="X106" s="89">
        <f>IF(OR($X$4=Bron!$B$8,$X$4=Bron!$B$9,$X$4=Bron!$B$15),'Bouwkost NB'!$AG114,IF($X$4=Bron!$B$10,'Bouwkost UITB'!$AG113,IF($X$4=Bron!$B$11,'Bouwkost VERB'!$AG113,IF($X$4=Bron!$B$12,'Bouwkost IER'!$AG112,IF(OR($X$4=Bron!$B$13,$X$4=Bron!$B$14),'Bouwkost VOLT'!$AG113,IF($X$4=Bron!$C$16,'Bouwkost AK+VERB'!$AG113,0))))))</f>
        <v>0</v>
      </c>
    </row>
    <row r="107" spans="1:24" x14ac:dyDescent="0.3">
      <c r="A107" s="303" t="s">
        <v>126</v>
      </c>
      <c r="B107" s="89">
        <f>IF(OR($B$4=Bron!$B$8,$B$4=Bron!$B$9,$B$4=Bron!$B$15),'Bouwkost NB'!$K115,IF($B$4=Bron!$B$10,'Bouwkost UITB'!$K114,IF($B$4=Bron!$B$11,'Bouwkost VERB'!$K114,IF($B$4=Bron!$B$12,'Bouwkost IER'!$K113,IF(OR($B$4=Bron!$B$13,$B$4=Bron!$B$14),'Bouwkost VOLT'!$K114,IF($B$4=Bron!$C$16,'Bouwkost AK+VERB'!$K114,0))))))</f>
        <v>0</v>
      </c>
      <c r="D107" s="89">
        <f>IF(OR($D$4=Bron!$B$8,$D$4=Bron!$B$9,$D$4=Bron!$B$15),'Bouwkost NB'!$K115,IF($D$4=Bron!$B$10,'Bouwkost UITB'!$K114,IF($D$4=Bron!$B$11,'Bouwkost VERB'!$K114,IF($D$4=Bron!$B$12,'Bouwkost IER'!$K113,IF(OR($D$4=Bron!$B$13,$D$4=Bron!$B$14),'Bouwkost VOLT'!$K114,IF($D$4=Bron!$C$16,'Bouwkost AK+VERB'!$K114,0))))))</f>
        <v>0</v>
      </c>
      <c r="F107" s="89">
        <f>IF(OR($F$4=Bron!$B$8,$F$4=Bron!$B$9,$F$4=Bron!$B$15),'Bouwkost NB'!$K115,IF($F$4=Bron!$B$10,'Bouwkost UITB'!$K114,IF($F$4=Bron!$B$11,'Bouwkost VERB'!$K114,IF($F$4=Bron!$B$12,'Bouwkost IER'!$K113,IF(OR($F$4=Bron!$B$13,$F$4=Bron!$B$14),'Bouwkost VOLT'!$K114,IF($F$4=Bron!$C$16,'Bouwkost AK+VERB'!$K114,0))))))</f>
        <v>0</v>
      </c>
      <c r="H107" s="89">
        <f>IF(OR($H$4=Bron!$B$8,$H$4=Bron!$B$9,$H$4=Bron!$B$15),'Bouwkost NB'!$K115,IF($H$4=Bron!$B$10,'Bouwkost UITB'!$K114,IF($H$4=Bron!$B$11,'Bouwkost VERB'!$K114,IF($H$4=Bron!$B$12,'Bouwkost IER'!$K113,IF(OR($H$4=Bron!$B$13,$H$4=Bron!$B$14),'Bouwkost VOLT'!$K114,IF($H$4=Bron!$C$16,'Bouwkost AK+VERB'!$K114,0))))))</f>
        <v>0</v>
      </c>
      <c r="J107" s="89">
        <f>IF(OR($J$4=Bron!$B$8,$J$4=Bron!$B$9,$J$4=Bron!$B$15),'Bouwkost NB'!$V115,IF($J$4=Bron!$B$10,'Bouwkost UITB'!$V114,IF($J$4=Bron!$B$11,'Bouwkost VERB'!$V114,IF($J$4=Bron!$B$12,'Bouwkost IER'!$V113,IF(OR($J$4=Bron!$B$13,$J$4=Bron!$B$14),'Bouwkost VOLT'!$V114,IF($J$4=Bron!$C$16,'Bouwkost AK+VERB'!$V114,0))))))</f>
        <v>0</v>
      </c>
      <c r="L107" s="89">
        <f>IF(OR($L$4=Bron!$B$8,$L$4=Bron!$B$9,$L$4=Bron!$B$15),'Bouwkost NB'!$V115,IF($L$4=Bron!$B$10,'Bouwkost UITB'!$V114,IF($L$4=Bron!$B$11,'Bouwkost VERB'!$V114,IF($L$4=Bron!$B$12,'Bouwkost IER'!$V113,IF(OR($L$4=Bron!$B$13,$L$4=Bron!$B$14),'Bouwkost VOLT'!$V114,IF($L$4=Bron!$C$16,'Bouwkost AK+VERB'!$V114,0))))))</f>
        <v>0</v>
      </c>
      <c r="N107" s="89">
        <f>IF(OR($N$4=Bron!$B$8,$N$4=Bron!$B$9,,$N$4=Bron!$B$15),'Bouwkost NB'!$V115,IF($N$4=Bron!$B$10,'Bouwkost UITB'!$V114,IF($N$4=Bron!$B$11,'Bouwkost VERB'!$V114,IF($N$4=Bron!$B$12,'Bouwkost IER'!$V113,IF(OR($N$4=Bron!$B$13,$N$4=Bron!$B$14),'Bouwkost VOLT'!$V114,IF($N$4=Bron!$C$16,'Bouwkost AK+VERB'!$V114,0))))))</f>
        <v>0</v>
      </c>
      <c r="P107" s="89">
        <f>IF(OR($P$4=Bron!$B$8,$P$4=Bron!$B$9,$P$4=Bron!$B$15),'Bouwkost NB'!$V115,IF($P$4=Bron!$B$10,'Bouwkost UITB'!$V114,IF($P$4=Bron!$B$11,'Bouwkost VERB'!$V114,IF($P$4=Bron!$B$12,'Bouwkost IER'!$V113,IF(OR($P$4=Bron!$B$13,$P$4=Bron!$B$14),'Bouwkost VOLT'!$V114,IF($P$4=Bron!$C$16,'Bouwkost AK+VERB'!$V114,0))))))</f>
        <v>0</v>
      </c>
      <c r="R107" s="89">
        <f>IF(OR($R$4=Bron!$B$8,$R$4=Bron!$B$9,$R$4=Bron!$B$15),'Bouwkost NB'!$AG115,IF($R$4=Bron!$B$10,'Bouwkost UITB'!$AG114,IF($R$4=Bron!$B$11,'Bouwkost VERB'!$AG114,IF($R$4=Bron!$B$12,'Bouwkost IER'!$AG113,IF(OR($R$4=Bron!$B$13,$R$4=Bron!$B$14),'Bouwkost VOLT'!$AG114,IF($R$4=Bron!$C$16,'Bouwkost AK+VERB'!$AG114,0))))))</f>
        <v>0</v>
      </c>
      <c r="T107" s="89">
        <f>IF(OR($T$4=Bron!$B$8,$T$4=Bron!$B$9,$T$4=Bron!$B$15),'Bouwkost NB'!$AG115,IF($T$4=Bron!$B$10,'Bouwkost UITB'!$AG114,IF($T$4=Bron!$B$11,'Bouwkost VERB'!$AG114,IF($T$4=Bron!$B$12,'Bouwkost IER'!$AG113,IF(OR($T$4=Bron!$B$13,$T$4=Bron!$B$14),'Bouwkost VOLT'!$AG114,IF($T$4=Bron!$C$16,'Bouwkost AK+VERB'!$AG114,0))))))</f>
        <v>0</v>
      </c>
      <c r="V107" s="89">
        <f>IF(OR($V$4=Bron!$B$8,$V$4=Bron!$B$9,$V$4=Bron!$B$15),'Bouwkost NB'!$AG115,IF($V$4=Bron!$B$10,'Bouwkost UITB'!$AG114,IF($V$4=Bron!$B$11,'Bouwkost VERB'!$AG114,IF($V$4=Bron!$B$12,'Bouwkost IER'!$AG113,IF(OR($V$4=Bron!$B$13,$V$4=Bron!$B$14),'Bouwkost VOLT'!$AG114,IF($V$4=Bron!$C$16,'Bouwkost AK+VERB'!$AG114,0))))))</f>
        <v>0</v>
      </c>
      <c r="X107" s="89">
        <f>IF(OR($X$4=Bron!$B$8,$X$4=Bron!$B$9,$X$4=Bron!$B$15),'Bouwkost NB'!$AG115,IF($X$4=Bron!$B$10,'Bouwkost UITB'!$AG114,IF($X$4=Bron!$B$11,'Bouwkost VERB'!$AG114,IF($X$4=Bron!$B$12,'Bouwkost IER'!$AG113,IF(OR($X$4=Bron!$B$13,$X$4=Bron!$B$14),'Bouwkost VOLT'!$AG114,IF($X$4=Bron!$C$16,'Bouwkost AK+VERB'!$AG114,0))))))</f>
        <v>0</v>
      </c>
    </row>
    <row r="108" spans="1:24" x14ac:dyDescent="0.3">
      <c r="A108" s="305" t="s">
        <v>127</v>
      </c>
      <c r="B108" s="89">
        <f>IF(OR($B$4=Bron!$B$8,$B$4=Bron!$B$9,$B$4=Bron!$B$15),'Bouwkost NB'!$K116,IF($B$4=Bron!$B$10,'Bouwkost UITB'!$K115,IF($B$4=Bron!$B$11,'Bouwkost VERB'!$K115,IF($B$4=Bron!$B$12,'Bouwkost IER'!$K114,IF(OR($B$4=Bron!$B$13,$B$4=Bron!$B$14),'Bouwkost VOLT'!$K115,IF($B$4=Bron!$C$16,'Bouwkost AK+VERB'!$K115,0))))))</f>
        <v>0</v>
      </c>
      <c r="D108" s="89">
        <f>IF(OR($D$4=Bron!$B$8,$D$4=Bron!$B$9,$D$4=Bron!$B$15),'Bouwkost NB'!$K116,IF($D$4=Bron!$B$10,'Bouwkost UITB'!$K115,IF($D$4=Bron!$B$11,'Bouwkost VERB'!$K115,IF($D$4=Bron!$B$12,'Bouwkost IER'!$K114,IF(OR($D$4=Bron!$B$13,$D$4=Bron!$B$14),'Bouwkost VOLT'!$K115,IF($D$4=Bron!$C$16,'Bouwkost AK+VERB'!$K115,0))))))</f>
        <v>0</v>
      </c>
      <c r="F108" s="89">
        <f>IF(OR($F$4=Bron!$B$8,$F$4=Bron!$B$9,$F$4=Bron!$B$15),'Bouwkost NB'!$K116,IF($F$4=Bron!$B$10,'Bouwkost UITB'!$K115,IF($F$4=Bron!$B$11,'Bouwkost VERB'!$K115,IF($F$4=Bron!$B$12,'Bouwkost IER'!$K114,IF(OR($F$4=Bron!$B$13,$F$4=Bron!$B$14),'Bouwkost VOLT'!$K115,IF($F$4=Bron!$C$16,'Bouwkost AK+VERB'!$K115,0))))))</f>
        <v>0</v>
      </c>
      <c r="H108" s="89">
        <f>IF(OR($H$4=Bron!$B$8,$H$4=Bron!$B$9,$H$4=Bron!$B$15),'Bouwkost NB'!$K116,IF($H$4=Bron!$B$10,'Bouwkost UITB'!$K115,IF($H$4=Bron!$B$11,'Bouwkost VERB'!$K115,IF($H$4=Bron!$B$12,'Bouwkost IER'!$K114,IF(OR($H$4=Bron!$B$13,$H$4=Bron!$B$14),'Bouwkost VOLT'!$K115,IF($H$4=Bron!$C$16,'Bouwkost AK+VERB'!$K115,0))))))</f>
        <v>0</v>
      </c>
      <c r="J108" s="89">
        <f>IF(OR($J$4=Bron!$B$8,$J$4=Bron!$B$9,$J$4=Bron!$B$15),'Bouwkost NB'!$V116,IF($J$4=Bron!$B$10,'Bouwkost UITB'!$V115,IF($J$4=Bron!$B$11,'Bouwkost VERB'!$V115,IF($J$4=Bron!$B$12,'Bouwkost IER'!$V114,IF(OR($J$4=Bron!$B$13,$J$4=Bron!$B$14),'Bouwkost VOLT'!$V115,IF($J$4=Bron!$C$16,'Bouwkost AK+VERB'!$V115,0))))))</f>
        <v>0</v>
      </c>
      <c r="L108" s="89">
        <f>IF(OR($L$4=Bron!$B$8,$L$4=Bron!$B$9,$L$4=Bron!$B$15),'Bouwkost NB'!$V116,IF($L$4=Bron!$B$10,'Bouwkost UITB'!$V115,IF($L$4=Bron!$B$11,'Bouwkost VERB'!$V115,IF($L$4=Bron!$B$12,'Bouwkost IER'!$V114,IF(OR($L$4=Bron!$B$13,$L$4=Bron!$B$14),'Bouwkost VOLT'!$V115,IF($L$4=Bron!$C$16,'Bouwkost AK+VERB'!$V115,0))))))</f>
        <v>0</v>
      </c>
      <c r="N108" s="89">
        <f>IF(OR($N$4=Bron!$B$8,$N$4=Bron!$B$9,,$N$4=Bron!$B$15),'Bouwkost NB'!$V116,IF($N$4=Bron!$B$10,'Bouwkost UITB'!$V115,IF($N$4=Bron!$B$11,'Bouwkost VERB'!$V115,IF($N$4=Bron!$B$12,'Bouwkost IER'!$V114,IF(OR($N$4=Bron!$B$13,$N$4=Bron!$B$14),'Bouwkost VOLT'!$V115,IF($N$4=Bron!$C$16,'Bouwkost AK+VERB'!$V115,0))))))</f>
        <v>0</v>
      </c>
      <c r="P108" s="89">
        <f>IF(OR($P$4=Bron!$B$8,$P$4=Bron!$B$9,$P$4=Bron!$B$15),'Bouwkost NB'!$V116,IF($P$4=Bron!$B$10,'Bouwkost UITB'!$V115,IF($P$4=Bron!$B$11,'Bouwkost VERB'!$V115,IF($P$4=Bron!$B$12,'Bouwkost IER'!$V114,IF(OR($P$4=Bron!$B$13,$P$4=Bron!$B$14),'Bouwkost VOLT'!$V115,IF($P$4=Bron!$C$16,'Bouwkost AK+VERB'!$V115,0))))))</f>
        <v>0</v>
      </c>
      <c r="R108" s="89">
        <f>IF(OR($R$4=Bron!$B$8,$R$4=Bron!$B$9,$R$4=Bron!$B$15),'Bouwkost NB'!$AG116,IF($R$4=Bron!$B$10,'Bouwkost UITB'!$AG115,IF($R$4=Bron!$B$11,'Bouwkost VERB'!$AG115,IF($R$4=Bron!$B$12,'Bouwkost IER'!$AG114,IF(OR($R$4=Bron!$B$13,$R$4=Bron!$B$14),'Bouwkost VOLT'!$AG115,IF($R$4=Bron!$C$16,'Bouwkost AK+VERB'!$AG115,0))))))</f>
        <v>0</v>
      </c>
      <c r="T108" s="89">
        <f>IF(OR($T$4=Bron!$B$8,$T$4=Bron!$B$9,$T$4=Bron!$B$15),'Bouwkost NB'!$AG116,IF($T$4=Bron!$B$10,'Bouwkost UITB'!$AG115,IF($T$4=Bron!$B$11,'Bouwkost VERB'!$AG115,IF($T$4=Bron!$B$12,'Bouwkost IER'!$AG114,IF(OR($T$4=Bron!$B$13,$T$4=Bron!$B$14),'Bouwkost VOLT'!$AG115,IF($T$4=Bron!$C$16,'Bouwkost AK+VERB'!$AG115,0))))))</f>
        <v>0</v>
      </c>
      <c r="V108" s="89">
        <f>IF(OR($V$4=Bron!$B$8,$V$4=Bron!$B$9,$V$4=Bron!$B$15),'Bouwkost NB'!$AG116,IF($V$4=Bron!$B$10,'Bouwkost UITB'!$AG115,IF($V$4=Bron!$B$11,'Bouwkost VERB'!$AG115,IF($V$4=Bron!$B$12,'Bouwkost IER'!$AG114,IF(OR($V$4=Bron!$B$13,$V$4=Bron!$B$14),'Bouwkost VOLT'!$AG115,IF($V$4=Bron!$C$16,'Bouwkost AK+VERB'!$AG115,0))))))</f>
        <v>0</v>
      </c>
      <c r="X108" s="89">
        <f>IF(OR($X$4=Bron!$B$8,$X$4=Bron!$B$9,$X$4=Bron!$B$15),'Bouwkost NB'!$AG116,IF($X$4=Bron!$B$10,'Bouwkost UITB'!$AG115,IF($X$4=Bron!$B$11,'Bouwkost VERB'!$AG115,IF($X$4=Bron!$B$12,'Bouwkost IER'!$AG114,IF(OR($X$4=Bron!$B$13,$X$4=Bron!$B$14),'Bouwkost VOLT'!$AG115,IF($X$4=Bron!$C$16,'Bouwkost AK+VERB'!$AG115,0))))))</f>
        <v>0</v>
      </c>
    </row>
    <row r="109" spans="1:24" x14ac:dyDescent="0.3">
      <c r="A109" s="303" t="s">
        <v>110</v>
      </c>
      <c r="B109" s="89">
        <f>IF(OR($B$4=Bron!$B$8,$B$4=Bron!$B$9,$B$4=Bron!$B$15),'Bouwkost NB'!$K117,IF($B$4=Bron!$B$10,'Bouwkost UITB'!$K116,IF($B$4=Bron!$B$11,'Bouwkost VERB'!$K116,IF($B$4=Bron!$B$12,'Bouwkost IER'!$K115,IF(OR($B$4=Bron!$B$13,$B$4=Bron!$B$14),'Bouwkost VOLT'!$K116,IF($B$4=Bron!$C$16,'Bouwkost AK+VERB'!$K116,0))))))</f>
        <v>0</v>
      </c>
      <c r="D109" s="89">
        <f>IF(OR($D$4=Bron!$B$8,$D$4=Bron!$B$9,$D$4=Bron!$B$15),'Bouwkost NB'!$K117,IF($D$4=Bron!$B$10,'Bouwkost UITB'!$K116,IF($D$4=Bron!$B$11,'Bouwkost VERB'!$K116,IF($D$4=Bron!$B$12,'Bouwkost IER'!$K115,IF(OR($D$4=Bron!$B$13,$D$4=Bron!$B$14),'Bouwkost VOLT'!$K116,IF($D$4=Bron!$C$16,'Bouwkost AK+VERB'!$K116,0))))))</f>
        <v>0</v>
      </c>
      <c r="F109" s="89">
        <f>IF(OR($F$4=Bron!$B$8,$F$4=Bron!$B$9,$F$4=Bron!$B$15),'Bouwkost NB'!$K117,IF($F$4=Bron!$B$10,'Bouwkost UITB'!$K116,IF($F$4=Bron!$B$11,'Bouwkost VERB'!$K116,IF($F$4=Bron!$B$12,'Bouwkost IER'!$K115,IF(OR($F$4=Bron!$B$13,$F$4=Bron!$B$14),'Bouwkost VOLT'!$K116,IF($F$4=Bron!$C$16,'Bouwkost AK+VERB'!$K116,0))))))</f>
        <v>0</v>
      </c>
      <c r="H109" s="89">
        <f>IF(OR($H$4=Bron!$B$8,$H$4=Bron!$B$9,$H$4=Bron!$B$15),'Bouwkost NB'!$K117,IF($H$4=Bron!$B$10,'Bouwkost UITB'!$K116,IF($H$4=Bron!$B$11,'Bouwkost VERB'!$K116,IF($H$4=Bron!$B$12,'Bouwkost IER'!$K115,IF(OR($H$4=Bron!$B$13,$H$4=Bron!$B$14),'Bouwkost VOLT'!$K116,IF($H$4=Bron!$C$16,'Bouwkost AK+VERB'!$K116,0))))))</f>
        <v>0</v>
      </c>
      <c r="J109" s="89">
        <f>IF(OR($J$4=Bron!$B$8,$J$4=Bron!$B$9,$J$4=Bron!$B$15),'Bouwkost NB'!$V117,IF($J$4=Bron!$B$10,'Bouwkost UITB'!$V116,IF($J$4=Bron!$B$11,'Bouwkost VERB'!$V116,IF($J$4=Bron!$B$12,'Bouwkost IER'!$V115,IF(OR($J$4=Bron!$B$13,$J$4=Bron!$B$14),'Bouwkost VOLT'!$V116,IF($J$4=Bron!$C$16,'Bouwkost AK+VERB'!$V116,0))))))</f>
        <v>0</v>
      </c>
      <c r="L109" s="89">
        <f>IF(OR($L$4=Bron!$B$8,$L$4=Bron!$B$9,$L$4=Bron!$B$15),'Bouwkost NB'!$V117,IF($L$4=Bron!$B$10,'Bouwkost UITB'!$V116,IF($L$4=Bron!$B$11,'Bouwkost VERB'!$V116,IF($L$4=Bron!$B$12,'Bouwkost IER'!$V115,IF(OR($L$4=Bron!$B$13,$L$4=Bron!$B$14),'Bouwkost VOLT'!$V116,IF($L$4=Bron!$C$16,'Bouwkost AK+VERB'!$V116,0))))))</f>
        <v>0</v>
      </c>
      <c r="N109" s="89">
        <f>IF(OR($N$4=Bron!$B$8,$N$4=Bron!$B$9,,$N$4=Bron!$B$15),'Bouwkost NB'!$V117,IF($N$4=Bron!$B$10,'Bouwkost UITB'!$V116,IF($N$4=Bron!$B$11,'Bouwkost VERB'!$V116,IF($N$4=Bron!$B$12,'Bouwkost IER'!$V115,IF(OR($N$4=Bron!$B$13,$N$4=Bron!$B$14),'Bouwkost VOLT'!$V116,IF($N$4=Bron!$C$16,'Bouwkost AK+VERB'!$V116,0))))))</f>
        <v>0</v>
      </c>
      <c r="P109" s="89">
        <f>IF(OR($P$4=Bron!$B$8,$P$4=Bron!$B$9,$P$4=Bron!$B$15),'Bouwkost NB'!$V117,IF($P$4=Bron!$B$10,'Bouwkost UITB'!$V116,IF($P$4=Bron!$B$11,'Bouwkost VERB'!$V116,IF($P$4=Bron!$B$12,'Bouwkost IER'!$V115,IF(OR($P$4=Bron!$B$13,$P$4=Bron!$B$14),'Bouwkost VOLT'!$V116,IF($P$4=Bron!$C$16,'Bouwkost AK+VERB'!$V116,0))))))</f>
        <v>0</v>
      </c>
      <c r="R109" s="89">
        <f>IF(OR($R$4=Bron!$B$8,$R$4=Bron!$B$9,$R$4=Bron!$B$15),'Bouwkost NB'!$AG117,IF($R$4=Bron!$B$10,'Bouwkost UITB'!$AG116,IF($R$4=Bron!$B$11,'Bouwkost VERB'!$AG116,IF($R$4=Bron!$B$12,'Bouwkost IER'!$AG115,IF(OR($R$4=Bron!$B$13,$R$4=Bron!$B$14),'Bouwkost VOLT'!$AG116,IF($R$4=Bron!$C$16,'Bouwkost AK+VERB'!$AG116,0))))))</f>
        <v>0</v>
      </c>
      <c r="T109" s="89">
        <f>IF(OR($T$4=Bron!$B$8,$T$4=Bron!$B$9,$T$4=Bron!$B$15),'Bouwkost NB'!$AG117,IF($T$4=Bron!$B$10,'Bouwkost UITB'!$AG116,IF($T$4=Bron!$B$11,'Bouwkost VERB'!$AG116,IF($T$4=Bron!$B$12,'Bouwkost IER'!$AG115,IF(OR($T$4=Bron!$B$13,$T$4=Bron!$B$14),'Bouwkost VOLT'!$AG116,IF($T$4=Bron!$C$16,'Bouwkost AK+VERB'!$AG116,0))))))</f>
        <v>0</v>
      </c>
      <c r="V109" s="89">
        <f>IF(OR($V$4=Bron!$B$8,$V$4=Bron!$B$9,$V$4=Bron!$B$15),'Bouwkost NB'!$AG117,IF($V$4=Bron!$B$10,'Bouwkost UITB'!$AG116,IF($V$4=Bron!$B$11,'Bouwkost VERB'!$AG116,IF($V$4=Bron!$B$12,'Bouwkost IER'!$AG115,IF(OR($V$4=Bron!$B$13,$V$4=Bron!$B$14),'Bouwkost VOLT'!$AG116,IF($V$4=Bron!$C$16,'Bouwkost AK+VERB'!$AG116,0))))))</f>
        <v>0</v>
      </c>
      <c r="X109" s="89">
        <f>IF(OR($X$4=Bron!$B$8,$X$4=Bron!$B$9,$X$4=Bron!$B$15),'Bouwkost NB'!$AG117,IF($X$4=Bron!$B$10,'Bouwkost UITB'!$AG116,IF($X$4=Bron!$B$11,'Bouwkost VERB'!$AG116,IF($X$4=Bron!$B$12,'Bouwkost IER'!$AG115,IF(OR($X$4=Bron!$B$13,$X$4=Bron!$B$14),'Bouwkost VOLT'!$AG116,IF($X$4=Bron!$C$16,'Bouwkost AK+VERB'!$AG116,0))))))</f>
        <v>0</v>
      </c>
    </row>
    <row r="110" spans="1:24" x14ac:dyDescent="0.3">
      <c r="A110" s="48" t="s">
        <v>444</v>
      </c>
      <c r="B110" s="89">
        <f>IF(OR($B$4=Bron!$B$8,$B$4=Bron!$B$9,$B$4=Bron!$B$15),'Bouwkost NB'!$K118,IF($B$4=Bron!$B$10,'Bouwkost UITB'!$K117,IF($B$4=Bron!$B$11,'Bouwkost VERB'!$K117,IF($B$4=Bron!$B$12,'Bouwkost IER'!$K116,IF(OR($B$4=Bron!$B$13,$B$4=Bron!$B$14),'Bouwkost VOLT'!$K117,IF($B$4=Bron!$C$16,'Bouwkost AK+VERB'!$K117,0))))))</f>
        <v>0</v>
      </c>
      <c r="D110" s="89">
        <f>IF(OR($D$4=Bron!$B$8,$D$4=Bron!$B$9,$D$4=Bron!$B$15),'Bouwkost NB'!$K118,IF($D$4=Bron!$B$10,'Bouwkost UITB'!$K117,IF($D$4=Bron!$B$11,'Bouwkost VERB'!$K117,IF($D$4=Bron!$B$12,'Bouwkost IER'!$K116,IF(OR($D$4=Bron!$B$13,$D$4=Bron!$B$14),'Bouwkost VOLT'!$K117,IF($D$4=Bron!$C$16,'Bouwkost AK+VERB'!$K117,0))))))</f>
        <v>0</v>
      </c>
      <c r="F110" s="89">
        <f>IF(OR($F$4=Bron!$B$8,$F$4=Bron!$B$9,$F$4=Bron!$B$15),'Bouwkost NB'!$K118,IF($F$4=Bron!$B$10,'Bouwkost UITB'!$K117,IF($F$4=Bron!$B$11,'Bouwkost VERB'!$K117,IF($F$4=Bron!$B$12,'Bouwkost IER'!$K116,IF(OR($F$4=Bron!$B$13,$F$4=Bron!$B$14),'Bouwkost VOLT'!$K117,IF($F$4=Bron!$C$16,'Bouwkost AK+VERB'!$K117,0))))))</f>
        <v>0</v>
      </c>
      <c r="H110" s="89">
        <f>IF(OR($H$4=Bron!$B$8,$H$4=Bron!$B$9,$H$4=Bron!$B$15),'Bouwkost NB'!$K118,IF($H$4=Bron!$B$10,'Bouwkost UITB'!$K117,IF($H$4=Bron!$B$11,'Bouwkost VERB'!$K117,IF($H$4=Bron!$B$12,'Bouwkost IER'!$K116,IF(OR($H$4=Bron!$B$13,$H$4=Bron!$B$14),'Bouwkost VOLT'!$K117,IF($H$4=Bron!$C$16,'Bouwkost AK+VERB'!$K117,0))))))</f>
        <v>0</v>
      </c>
      <c r="J110" s="89">
        <f>IF(OR($J$4=Bron!$B$8,$J$4=Bron!$B$9,$J$4=Bron!$B$15),'Bouwkost NB'!$V118,IF($J$4=Bron!$B$10,'Bouwkost UITB'!$V117,IF($J$4=Bron!$B$11,'Bouwkost VERB'!$V117,IF($J$4=Bron!$B$12,'Bouwkost IER'!$V116,IF(OR($J$4=Bron!$B$13,$J$4=Bron!$B$14),'Bouwkost VOLT'!$V117,IF($J$4=Bron!$C$16,'Bouwkost AK+VERB'!$V117,0))))))</f>
        <v>0</v>
      </c>
      <c r="L110" s="89">
        <f>IF(OR($L$4=Bron!$B$8,$L$4=Bron!$B$9,$L$4=Bron!$B$15),'Bouwkost NB'!$V118,IF($L$4=Bron!$B$10,'Bouwkost UITB'!$V117,IF($L$4=Bron!$B$11,'Bouwkost VERB'!$V117,IF($L$4=Bron!$B$12,'Bouwkost IER'!$V116,IF(OR($L$4=Bron!$B$13,$L$4=Bron!$B$14),'Bouwkost VOLT'!$V117,IF($L$4=Bron!$C$16,'Bouwkost AK+VERB'!$V117,0))))))</f>
        <v>0</v>
      </c>
      <c r="N110" s="89">
        <f>IF(OR($N$4=Bron!$B$8,$N$4=Bron!$B$9,,$N$4=Bron!$B$15),'Bouwkost NB'!$V118,IF($N$4=Bron!$B$10,'Bouwkost UITB'!$V117,IF($N$4=Bron!$B$11,'Bouwkost VERB'!$V117,IF($N$4=Bron!$B$12,'Bouwkost IER'!$V116,IF(OR($N$4=Bron!$B$13,$N$4=Bron!$B$14),'Bouwkost VOLT'!$V117,IF($N$4=Bron!$C$16,'Bouwkost AK+VERB'!$V117,0))))))</f>
        <v>0</v>
      </c>
      <c r="P110" s="89">
        <f>IF(OR($P$4=Bron!$B$8,$P$4=Bron!$B$9,$P$4=Bron!$B$15),'Bouwkost NB'!$V118,IF($P$4=Bron!$B$10,'Bouwkost UITB'!$V117,IF($P$4=Bron!$B$11,'Bouwkost VERB'!$V117,IF($P$4=Bron!$B$12,'Bouwkost IER'!$V116,IF(OR($P$4=Bron!$B$13,$P$4=Bron!$B$14),'Bouwkost VOLT'!$V117,IF($P$4=Bron!$C$16,'Bouwkost AK+VERB'!$V117,0))))))</f>
        <v>0</v>
      </c>
      <c r="R110" s="89">
        <f>IF(OR($R$4=Bron!$B$8,$R$4=Bron!$B$9,$R$4=Bron!$B$15),'Bouwkost NB'!$AG118,IF($R$4=Bron!$B$10,'Bouwkost UITB'!$AG117,IF($R$4=Bron!$B$11,'Bouwkost VERB'!$AG117,IF($R$4=Bron!$B$12,'Bouwkost IER'!$AG116,IF(OR($R$4=Bron!$B$13,$R$4=Bron!$B$14),'Bouwkost VOLT'!$AG117,IF($R$4=Bron!$C$16,'Bouwkost AK+VERB'!$AG117,0))))))</f>
        <v>0</v>
      </c>
      <c r="T110" s="89">
        <f>IF(OR($T$4=Bron!$B$8,$T$4=Bron!$B$9,$T$4=Bron!$B$15),'Bouwkost NB'!$AG118,IF($T$4=Bron!$B$10,'Bouwkost UITB'!$AG117,IF($T$4=Bron!$B$11,'Bouwkost VERB'!$AG117,IF($T$4=Bron!$B$12,'Bouwkost IER'!$AG116,IF(OR($T$4=Bron!$B$13,$T$4=Bron!$B$14),'Bouwkost VOLT'!$AG117,IF($T$4=Bron!$C$16,'Bouwkost AK+VERB'!$AG117,0))))))</f>
        <v>0</v>
      </c>
      <c r="V110" s="89">
        <f>IF(OR($V$4=Bron!$B$8,$V$4=Bron!$B$9,$V$4=Bron!$B$15),'Bouwkost NB'!$AG118,IF($V$4=Bron!$B$10,'Bouwkost UITB'!$AG117,IF($V$4=Bron!$B$11,'Bouwkost VERB'!$AG117,IF($V$4=Bron!$B$12,'Bouwkost IER'!$AG116,IF(OR($V$4=Bron!$B$13,$V$4=Bron!$B$14),'Bouwkost VOLT'!$AG117,IF($V$4=Bron!$C$16,'Bouwkost AK+VERB'!$AG117,0))))))</f>
        <v>0</v>
      </c>
      <c r="X110" s="89">
        <f>IF(OR($X$4=Bron!$B$8,$X$4=Bron!$B$9,$X$4=Bron!$B$15),'Bouwkost NB'!$AG118,IF($X$4=Bron!$B$10,'Bouwkost UITB'!$AG117,IF($X$4=Bron!$B$11,'Bouwkost VERB'!$AG117,IF($X$4=Bron!$B$12,'Bouwkost IER'!$AG116,IF(OR($X$4=Bron!$B$13,$X$4=Bron!$B$14),'Bouwkost VOLT'!$AG117,IF($X$4=Bron!$C$16,'Bouwkost AK+VERB'!$AG117,0))))))</f>
        <v>0</v>
      </c>
    </row>
    <row r="111" spans="1:24" x14ac:dyDescent="0.3">
      <c r="A111" s="48" t="s">
        <v>447</v>
      </c>
      <c r="B111" s="89">
        <f>IF(OR($B$4=Bron!$B$8,$B$4=Bron!$B$9,$B$4=Bron!$B$15),'Bouwkost NB'!$K119,IF($B$4=Bron!$B$10,'Bouwkost UITB'!$K118,IF($B$4=Bron!$B$11,'Bouwkost VERB'!$K118,IF($B$4=Bron!$B$12,'Bouwkost IER'!$K117,IF(OR($B$4=Bron!$B$13,$B$4=Bron!$B$14),'Bouwkost VOLT'!$K118,IF($B$4=Bron!$C$16,'Bouwkost AK+VERB'!$K118,0))))))</f>
        <v>0</v>
      </c>
      <c r="D111" s="89">
        <f>IF(OR($D$4=Bron!$B$8,$D$4=Bron!$B$9,$D$4=Bron!$B$15),'Bouwkost NB'!$K119,IF($D$4=Bron!$B$10,'Bouwkost UITB'!$K118,IF($D$4=Bron!$B$11,'Bouwkost VERB'!$K118,IF($D$4=Bron!$B$12,'Bouwkost IER'!$K117,IF(OR($D$4=Bron!$B$13,$D$4=Bron!$B$14),'Bouwkost VOLT'!$K118,IF($D$4=Bron!$C$16,'Bouwkost AK+VERB'!$K118,0))))))</f>
        <v>0</v>
      </c>
      <c r="F111" s="89">
        <f>IF(OR($F$4=Bron!$B$8,$F$4=Bron!$B$9,$F$4=Bron!$B$15),'Bouwkost NB'!$K119,IF($F$4=Bron!$B$10,'Bouwkost UITB'!$K118,IF($F$4=Bron!$B$11,'Bouwkost VERB'!$K118,IF($F$4=Bron!$B$12,'Bouwkost IER'!$K117,IF(OR($F$4=Bron!$B$13,$F$4=Bron!$B$14),'Bouwkost VOLT'!$K118,IF($F$4=Bron!$C$16,'Bouwkost AK+VERB'!$K118,0))))))</f>
        <v>0</v>
      </c>
      <c r="H111" s="89">
        <f>IF(OR($H$4=Bron!$B$8,$H$4=Bron!$B$9,$H$4=Bron!$B$15),'Bouwkost NB'!$K119,IF($H$4=Bron!$B$10,'Bouwkost UITB'!$K118,IF($H$4=Bron!$B$11,'Bouwkost VERB'!$K118,IF($H$4=Bron!$B$12,'Bouwkost IER'!$K117,IF(OR($H$4=Bron!$B$13,$H$4=Bron!$B$14),'Bouwkost VOLT'!$K118,IF($H$4=Bron!$C$16,'Bouwkost AK+VERB'!$K118,0))))))</f>
        <v>0</v>
      </c>
      <c r="J111" s="89">
        <f>IF(OR($J$4=Bron!$B$8,$J$4=Bron!$B$9,$J$4=Bron!$B$15),'Bouwkost NB'!$V119,IF($J$4=Bron!$B$10,'Bouwkost UITB'!$V118,IF($J$4=Bron!$B$11,'Bouwkost VERB'!$V118,IF($J$4=Bron!$B$12,'Bouwkost IER'!$V117,IF(OR($J$4=Bron!$B$13,$J$4=Bron!$B$14),'Bouwkost VOLT'!$V118,IF($J$4=Bron!$C$16,'Bouwkost AK+VERB'!$V118,0))))))</f>
        <v>0</v>
      </c>
      <c r="L111" s="89">
        <f>IF(OR($L$4=Bron!$B$8,$L$4=Bron!$B$9,$L$4=Bron!$B$15),'Bouwkost NB'!$V119,IF($L$4=Bron!$B$10,'Bouwkost UITB'!$V118,IF($L$4=Bron!$B$11,'Bouwkost VERB'!$V118,IF($L$4=Bron!$B$12,'Bouwkost IER'!$V117,IF(OR($L$4=Bron!$B$13,$L$4=Bron!$B$14),'Bouwkost VOLT'!$V118,IF($L$4=Bron!$C$16,'Bouwkost AK+VERB'!$V118,0))))))</f>
        <v>0</v>
      </c>
      <c r="N111" s="89">
        <f>IF(OR($N$4=Bron!$B$8,$N$4=Bron!$B$9,,$N$4=Bron!$B$15),'Bouwkost NB'!$V119,IF($N$4=Bron!$B$10,'Bouwkost UITB'!$V118,IF($N$4=Bron!$B$11,'Bouwkost VERB'!$V118,IF($N$4=Bron!$B$12,'Bouwkost IER'!$V117,IF(OR($N$4=Bron!$B$13,$N$4=Bron!$B$14),'Bouwkost VOLT'!$V118,IF($N$4=Bron!$C$16,'Bouwkost AK+VERB'!$V118,0))))))</f>
        <v>0</v>
      </c>
      <c r="P111" s="89">
        <f>IF(OR($P$4=Bron!$B$8,$P$4=Bron!$B$9,$P$4=Bron!$B$15),'Bouwkost NB'!$V119,IF($P$4=Bron!$B$10,'Bouwkost UITB'!$V118,IF($P$4=Bron!$B$11,'Bouwkost VERB'!$V118,IF($P$4=Bron!$B$12,'Bouwkost IER'!$V117,IF(OR($P$4=Bron!$B$13,$P$4=Bron!$B$14),'Bouwkost VOLT'!$V118,IF($P$4=Bron!$C$16,'Bouwkost AK+VERB'!$V118,0))))))</f>
        <v>0</v>
      </c>
      <c r="R111" s="89">
        <f>IF(OR($R$4=Bron!$B$8,$R$4=Bron!$B$9,$R$4=Bron!$B$15),'Bouwkost NB'!$AG119,IF($R$4=Bron!$B$10,'Bouwkost UITB'!$AG118,IF($R$4=Bron!$B$11,'Bouwkost VERB'!$AG118,IF($R$4=Bron!$B$12,'Bouwkost IER'!$AG117,IF(OR($R$4=Bron!$B$13,$R$4=Bron!$B$14),'Bouwkost VOLT'!$AG118,IF($R$4=Bron!$C$16,'Bouwkost AK+VERB'!$AG118,0))))))</f>
        <v>0</v>
      </c>
      <c r="T111" s="89">
        <f>IF(OR($T$4=Bron!$B$8,$T$4=Bron!$B$9,$T$4=Bron!$B$15),'Bouwkost NB'!$AG119,IF($T$4=Bron!$B$10,'Bouwkost UITB'!$AG118,IF($T$4=Bron!$B$11,'Bouwkost VERB'!$AG118,IF($T$4=Bron!$B$12,'Bouwkost IER'!$AG117,IF(OR($T$4=Bron!$B$13,$T$4=Bron!$B$14),'Bouwkost VOLT'!$AG118,IF($T$4=Bron!$C$16,'Bouwkost AK+VERB'!$AG118,0))))))</f>
        <v>0</v>
      </c>
      <c r="V111" s="89">
        <f>IF(OR($V$4=Bron!$B$8,$V$4=Bron!$B$9,$V$4=Bron!$B$15),'Bouwkost NB'!$AG119,IF($V$4=Bron!$B$10,'Bouwkost UITB'!$AG118,IF($V$4=Bron!$B$11,'Bouwkost VERB'!$AG118,IF($V$4=Bron!$B$12,'Bouwkost IER'!$AG117,IF(OR($V$4=Bron!$B$13,$V$4=Bron!$B$14),'Bouwkost VOLT'!$AG118,IF($V$4=Bron!$C$16,'Bouwkost AK+VERB'!$AG118,0))))))</f>
        <v>0</v>
      </c>
      <c r="X111" s="89">
        <f>IF(OR($X$4=Bron!$B$8,$X$4=Bron!$B$9,$X$4=Bron!$B$15),'Bouwkost NB'!$AG119,IF($X$4=Bron!$B$10,'Bouwkost UITB'!$AG118,IF($X$4=Bron!$B$11,'Bouwkost VERB'!$AG118,IF($X$4=Bron!$B$12,'Bouwkost IER'!$AG117,IF(OR($X$4=Bron!$B$13,$X$4=Bron!$B$14),'Bouwkost VOLT'!$AG118,IF($X$4=Bron!$C$16,'Bouwkost AK+VERB'!$AG118,0))))))</f>
        <v>0</v>
      </c>
    </row>
    <row r="113" spans="1:3" x14ac:dyDescent="0.3">
      <c r="A113" s="299" t="s">
        <v>489</v>
      </c>
    </row>
    <row r="114" spans="1:3" x14ac:dyDescent="0.3">
      <c r="A114" s="249" t="s">
        <v>490</v>
      </c>
    </row>
    <row r="115" spans="1:3" x14ac:dyDescent="0.3">
      <c r="A115" s="249" t="s">
        <v>491</v>
      </c>
    </row>
    <row r="119" spans="1:3" x14ac:dyDescent="0.3">
      <c r="B119" s="810">
        <f ca="1">'Bouwkost NB'!G82+'Bouwkost UITB'!E81+'Bouwkost VERB'!D81+'Bouwkost IER'!D80+'Bouwkost VOLT'!D81+'Bouwkost AK+VERB'!D81</f>
        <v>0</v>
      </c>
      <c r="C119" s="810"/>
    </row>
    <row r="120" spans="1:3" x14ac:dyDescent="0.3">
      <c r="B120" s="810">
        <f>'Bouwkost NB'!I82+'Bouwkost UITB'!G81+'Bouwkost VERB'!F81+'Bouwkost IER'!F80+'Bouwkost VOLT'!F81+'Bouwkost AK+VERB'!F81</f>
        <v>0</v>
      </c>
      <c r="C120" s="810"/>
    </row>
  </sheetData>
  <protectedRanges>
    <protectedRange sqref="B74 D74 F74 H74 J74 R74 L74 N74 P74 T74 V74 X74" name="raming"/>
  </protectedRanges>
  <mergeCells count="3">
    <mergeCell ref="B3:H3"/>
    <mergeCell ref="J3:P3"/>
    <mergeCell ref="R3:X3"/>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0FD21-5265-4126-A42D-EE2F4E62DDBF}">
  <sheetPr codeName="Blad20"/>
  <dimension ref="B1:F320"/>
  <sheetViews>
    <sheetView showGridLines="0" workbookViewId="0">
      <selection activeCell="B12" sqref="B12"/>
    </sheetView>
  </sheetViews>
  <sheetFormatPr defaultRowHeight="14.4" x14ac:dyDescent="0.3"/>
  <cols>
    <col min="1" max="1" width="6" customWidth="1"/>
    <col min="2" max="2" width="65.6640625" bestFit="1" customWidth="1"/>
    <col min="3" max="3" width="22.44140625" hidden="1" customWidth="1"/>
    <col min="4" max="5" width="8.88671875" hidden="1" customWidth="1"/>
    <col min="6" max="6" width="19.5546875" hidden="1" customWidth="1"/>
  </cols>
  <sheetData>
    <row r="1" spans="2:6" ht="27" thickBot="1" x14ac:dyDescent="0.35">
      <c r="B1" s="203" t="s">
        <v>508</v>
      </c>
      <c r="F1" t="s">
        <v>31</v>
      </c>
    </row>
    <row r="2" spans="2:6" x14ac:dyDescent="0.3">
      <c r="B2" s="202" t="s">
        <v>509</v>
      </c>
      <c r="F2" t="s">
        <v>510</v>
      </c>
    </row>
    <row r="3" spans="2:6" x14ac:dyDescent="0.3">
      <c r="B3" s="201" t="s">
        <v>511</v>
      </c>
      <c r="F3" t="s">
        <v>512</v>
      </c>
    </row>
    <row r="4" spans="2:6" x14ac:dyDescent="0.3">
      <c r="B4" s="201" t="s">
        <v>513</v>
      </c>
      <c r="F4" t="s">
        <v>514</v>
      </c>
    </row>
    <row r="5" spans="2:6" x14ac:dyDescent="0.3">
      <c r="B5" s="201" t="s">
        <v>515</v>
      </c>
      <c r="F5" t="s">
        <v>516</v>
      </c>
    </row>
    <row r="6" spans="2:6" x14ac:dyDescent="0.3">
      <c r="B6" s="201" t="s">
        <v>517</v>
      </c>
      <c r="F6" t="s">
        <v>518</v>
      </c>
    </row>
    <row r="7" spans="2:6" x14ac:dyDescent="0.3">
      <c r="B7" s="201" t="s">
        <v>519</v>
      </c>
      <c r="F7" t="s">
        <v>520</v>
      </c>
    </row>
    <row r="8" spans="2:6" x14ac:dyDescent="0.3">
      <c r="B8" s="201" t="s">
        <v>521</v>
      </c>
      <c r="F8" t="s">
        <v>522</v>
      </c>
    </row>
    <row r="9" spans="2:6" x14ac:dyDescent="0.3">
      <c r="B9" s="201" t="s">
        <v>523</v>
      </c>
      <c r="F9" t="s">
        <v>509</v>
      </c>
    </row>
    <row r="10" spans="2:6" x14ac:dyDescent="0.3">
      <c r="B10" s="201" t="s">
        <v>524</v>
      </c>
      <c r="F10" t="s">
        <v>525</v>
      </c>
    </row>
    <row r="11" spans="2:6" x14ac:dyDescent="0.3">
      <c r="B11" s="201" t="s">
        <v>526</v>
      </c>
      <c r="F11" t="s">
        <v>527</v>
      </c>
    </row>
    <row r="12" spans="2:6" x14ac:dyDescent="0.3">
      <c r="B12" s="201" t="s">
        <v>528</v>
      </c>
      <c r="F12" t="s">
        <v>529</v>
      </c>
    </row>
    <row r="13" spans="2:6" x14ac:dyDescent="0.3">
      <c r="B13" s="201" t="s">
        <v>530</v>
      </c>
      <c r="F13" t="s">
        <v>531</v>
      </c>
    </row>
    <row r="14" spans="2:6" x14ac:dyDescent="0.3">
      <c r="B14" s="201" t="s">
        <v>532</v>
      </c>
      <c r="F14" t="s">
        <v>533</v>
      </c>
    </row>
    <row r="15" spans="2:6" x14ac:dyDescent="0.3">
      <c r="B15" s="201" t="s">
        <v>534</v>
      </c>
      <c r="C15" s="89"/>
      <c r="F15" t="s">
        <v>535</v>
      </c>
    </row>
    <row r="16" spans="2:6" x14ac:dyDescent="0.3">
      <c r="B16" s="201" t="s">
        <v>536</v>
      </c>
      <c r="C16" s="89"/>
      <c r="F16" t="s">
        <v>537</v>
      </c>
    </row>
    <row r="17" spans="2:6" x14ac:dyDescent="0.3">
      <c r="B17" s="201" t="s">
        <v>538</v>
      </c>
      <c r="C17" s="89"/>
      <c r="F17" t="s">
        <v>539</v>
      </c>
    </row>
    <row r="18" spans="2:6" x14ac:dyDescent="0.3">
      <c r="B18" s="201" t="s">
        <v>540</v>
      </c>
      <c r="C18" s="89"/>
      <c r="F18" t="s">
        <v>541</v>
      </c>
    </row>
    <row r="19" spans="2:6" x14ac:dyDescent="0.3">
      <c r="B19" s="201" t="s">
        <v>542</v>
      </c>
      <c r="C19" s="89"/>
      <c r="F19" t="s">
        <v>543</v>
      </c>
    </row>
    <row r="20" spans="2:6" ht="27" thickBot="1" x14ac:dyDescent="0.35">
      <c r="B20" s="203" t="s">
        <v>544</v>
      </c>
      <c r="F20" t="s">
        <v>545</v>
      </c>
    </row>
    <row r="21" spans="2:6" x14ac:dyDescent="0.3">
      <c r="B21" s="202" t="s">
        <v>510</v>
      </c>
      <c r="F21" t="s">
        <v>546</v>
      </c>
    </row>
    <row r="22" spans="2:6" x14ac:dyDescent="0.3">
      <c r="B22" s="201" t="s">
        <v>525</v>
      </c>
      <c r="F22" t="s">
        <v>547</v>
      </c>
    </row>
    <row r="23" spans="2:6" x14ac:dyDescent="0.3">
      <c r="B23" s="201" t="s">
        <v>548</v>
      </c>
      <c r="F23" t="s">
        <v>549</v>
      </c>
    </row>
    <row r="24" spans="2:6" x14ac:dyDescent="0.3">
      <c r="B24" s="201" t="s">
        <v>550</v>
      </c>
      <c r="F24" t="s">
        <v>551</v>
      </c>
    </row>
    <row r="25" spans="2:6" x14ac:dyDescent="0.3">
      <c r="B25" s="201" t="s">
        <v>552</v>
      </c>
      <c r="F25" t="s">
        <v>553</v>
      </c>
    </row>
    <row r="26" spans="2:6" x14ac:dyDescent="0.3">
      <c r="B26" s="201" t="s">
        <v>554</v>
      </c>
      <c r="F26" t="s">
        <v>555</v>
      </c>
    </row>
    <row r="27" spans="2:6" x14ac:dyDescent="0.3">
      <c r="B27" s="201" t="s">
        <v>556</v>
      </c>
      <c r="F27" t="s">
        <v>557</v>
      </c>
    </row>
    <row r="28" spans="2:6" x14ac:dyDescent="0.3">
      <c r="B28" s="201" t="s">
        <v>558</v>
      </c>
      <c r="F28" t="s">
        <v>559</v>
      </c>
    </row>
    <row r="29" spans="2:6" x14ac:dyDescent="0.3">
      <c r="B29" s="201" t="s">
        <v>560</v>
      </c>
      <c r="F29" t="s">
        <v>561</v>
      </c>
    </row>
    <row r="30" spans="2:6" x14ac:dyDescent="0.3">
      <c r="B30" s="201" t="s">
        <v>562</v>
      </c>
      <c r="F30" t="s">
        <v>563</v>
      </c>
    </row>
    <row r="31" spans="2:6" x14ac:dyDescent="0.3">
      <c r="B31" s="201" t="s">
        <v>564</v>
      </c>
      <c r="F31" t="s">
        <v>565</v>
      </c>
    </row>
    <row r="32" spans="2:6" x14ac:dyDescent="0.3">
      <c r="B32" s="201" t="s">
        <v>566</v>
      </c>
      <c r="F32" t="s">
        <v>567</v>
      </c>
    </row>
    <row r="33" spans="2:6" x14ac:dyDescent="0.3">
      <c r="B33" s="201" t="s">
        <v>568</v>
      </c>
      <c r="F33" t="s">
        <v>569</v>
      </c>
    </row>
    <row r="34" spans="2:6" x14ac:dyDescent="0.3">
      <c r="F34" t="s">
        <v>570</v>
      </c>
    </row>
    <row r="35" spans="2:6" x14ac:dyDescent="0.3">
      <c r="F35" t="s">
        <v>571</v>
      </c>
    </row>
    <row r="36" spans="2:6" x14ac:dyDescent="0.3">
      <c r="F36" t="s">
        <v>572</v>
      </c>
    </row>
    <row r="37" spans="2:6" x14ac:dyDescent="0.3">
      <c r="F37" t="s">
        <v>573</v>
      </c>
    </row>
    <row r="38" spans="2:6" x14ac:dyDescent="0.3">
      <c r="F38" t="s">
        <v>574</v>
      </c>
    </row>
    <row r="39" spans="2:6" x14ac:dyDescent="0.3">
      <c r="F39" t="s">
        <v>575</v>
      </c>
    </row>
    <row r="40" spans="2:6" x14ac:dyDescent="0.3">
      <c r="F40" t="s">
        <v>576</v>
      </c>
    </row>
    <row r="41" spans="2:6" x14ac:dyDescent="0.3">
      <c r="F41" t="s">
        <v>577</v>
      </c>
    </row>
    <row r="42" spans="2:6" x14ac:dyDescent="0.3">
      <c r="F42" t="s">
        <v>578</v>
      </c>
    </row>
    <row r="43" spans="2:6" x14ac:dyDescent="0.3">
      <c r="F43" t="s">
        <v>579</v>
      </c>
    </row>
    <row r="44" spans="2:6" x14ac:dyDescent="0.3">
      <c r="F44" t="s">
        <v>580</v>
      </c>
    </row>
    <row r="45" spans="2:6" x14ac:dyDescent="0.3">
      <c r="F45" t="s">
        <v>581</v>
      </c>
    </row>
    <row r="46" spans="2:6" x14ac:dyDescent="0.3">
      <c r="F46" t="s">
        <v>582</v>
      </c>
    </row>
    <row r="47" spans="2:6" x14ac:dyDescent="0.3">
      <c r="F47" t="s">
        <v>583</v>
      </c>
    </row>
    <row r="48" spans="2:6" x14ac:dyDescent="0.3">
      <c r="F48" t="s">
        <v>548</v>
      </c>
    </row>
    <row r="49" spans="6:6" x14ac:dyDescent="0.3">
      <c r="F49" t="s">
        <v>511</v>
      </c>
    </row>
    <row r="50" spans="6:6" x14ac:dyDescent="0.3">
      <c r="F50" t="s">
        <v>584</v>
      </c>
    </row>
    <row r="51" spans="6:6" x14ac:dyDescent="0.3">
      <c r="F51" t="s">
        <v>585</v>
      </c>
    </row>
    <row r="52" spans="6:6" x14ac:dyDescent="0.3">
      <c r="F52" t="s">
        <v>586</v>
      </c>
    </row>
    <row r="53" spans="6:6" x14ac:dyDescent="0.3">
      <c r="F53" t="s">
        <v>587</v>
      </c>
    </row>
    <row r="54" spans="6:6" x14ac:dyDescent="0.3">
      <c r="F54" t="s">
        <v>588</v>
      </c>
    </row>
    <row r="55" spans="6:6" x14ac:dyDescent="0.3">
      <c r="F55" t="s">
        <v>589</v>
      </c>
    </row>
    <row r="56" spans="6:6" x14ac:dyDescent="0.3">
      <c r="F56" t="s">
        <v>590</v>
      </c>
    </row>
    <row r="57" spans="6:6" x14ac:dyDescent="0.3">
      <c r="F57" t="s">
        <v>591</v>
      </c>
    </row>
    <row r="58" spans="6:6" x14ac:dyDescent="0.3">
      <c r="F58" t="s">
        <v>592</v>
      </c>
    </row>
    <row r="59" spans="6:6" x14ac:dyDescent="0.3">
      <c r="F59" t="s">
        <v>593</v>
      </c>
    </row>
    <row r="60" spans="6:6" x14ac:dyDescent="0.3">
      <c r="F60" t="s">
        <v>594</v>
      </c>
    </row>
    <row r="61" spans="6:6" x14ac:dyDescent="0.3">
      <c r="F61" t="s">
        <v>595</v>
      </c>
    </row>
    <row r="62" spans="6:6" x14ac:dyDescent="0.3">
      <c r="F62" t="s">
        <v>596</v>
      </c>
    </row>
    <row r="63" spans="6:6" x14ac:dyDescent="0.3">
      <c r="F63" t="s">
        <v>597</v>
      </c>
    </row>
    <row r="64" spans="6:6" x14ac:dyDescent="0.3">
      <c r="F64" t="s">
        <v>598</v>
      </c>
    </row>
    <row r="65" spans="6:6" x14ac:dyDescent="0.3">
      <c r="F65" t="s">
        <v>599</v>
      </c>
    </row>
    <row r="66" spans="6:6" x14ac:dyDescent="0.3">
      <c r="F66" t="s">
        <v>600</v>
      </c>
    </row>
    <row r="67" spans="6:6" x14ac:dyDescent="0.3">
      <c r="F67" t="s">
        <v>601</v>
      </c>
    </row>
    <row r="68" spans="6:6" x14ac:dyDescent="0.3">
      <c r="F68" t="s">
        <v>602</v>
      </c>
    </row>
    <row r="69" spans="6:6" x14ac:dyDescent="0.3">
      <c r="F69" t="s">
        <v>603</v>
      </c>
    </row>
    <row r="70" spans="6:6" x14ac:dyDescent="0.3">
      <c r="F70" t="s">
        <v>604</v>
      </c>
    </row>
    <row r="71" spans="6:6" x14ac:dyDescent="0.3">
      <c r="F71" t="s">
        <v>513</v>
      </c>
    </row>
    <row r="72" spans="6:6" x14ac:dyDescent="0.3">
      <c r="F72" t="s">
        <v>605</v>
      </c>
    </row>
    <row r="73" spans="6:6" x14ac:dyDescent="0.3">
      <c r="F73" t="s">
        <v>606</v>
      </c>
    </row>
    <row r="74" spans="6:6" x14ac:dyDescent="0.3">
      <c r="F74" t="s">
        <v>515</v>
      </c>
    </row>
    <row r="75" spans="6:6" x14ac:dyDescent="0.3">
      <c r="F75" t="s">
        <v>607</v>
      </c>
    </row>
    <row r="76" spans="6:6" x14ac:dyDescent="0.3">
      <c r="F76" t="s">
        <v>608</v>
      </c>
    </row>
    <row r="77" spans="6:6" x14ac:dyDescent="0.3">
      <c r="F77" t="s">
        <v>609</v>
      </c>
    </row>
    <row r="78" spans="6:6" x14ac:dyDescent="0.3">
      <c r="F78" t="s">
        <v>517</v>
      </c>
    </row>
    <row r="79" spans="6:6" x14ac:dyDescent="0.3">
      <c r="F79" t="s">
        <v>610</v>
      </c>
    </row>
    <row r="80" spans="6:6" x14ac:dyDescent="0.3">
      <c r="F80" t="s">
        <v>611</v>
      </c>
    </row>
    <row r="81" spans="6:6" x14ac:dyDescent="0.3">
      <c r="F81" t="s">
        <v>612</v>
      </c>
    </row>
    <row r="82" spans="6:6" x14ac:dyDescent="0.3">
      <c r="F82" t="s">
        <v>550</v>
      </c>
    </row>
    <row r="83" spans="6:6" x14ac:dyDescent="0.3">
      <c r="F83" t="s">
        <v>552</v>
      </c>
    </row>
    <row r="84" spans="6:6" x14ac:dyDescent="0.3">
      <c r="F84" t="s">
        <v>613</v>
      </c>
    </row>
    <row r="85" spans="6:6" x14ac:dyDescent="0.3">
      <c r="F85" t="s">
        <v>614</v>
      </c>
    </row>
    <row r="86" spans="6:6" x14ac:dyDescent="0.3">
      <c r="F86" t="s">
        <v>615</v>
      </c>
    </row>
    <row r="87" spans="6:6" x14ac:dyDescent="0.3">
      <c r="F87" t="s">
        <v>616</v>
      </c>
    </row>
    <row r="88" spans="6:6" x14ac:dyDescent="0.3">
      <c r="F88" t="s">
        <v>617</v>
      </c>
    </row>
    <row r="89" spans="6:6" x14ac:dyDescent="0.3">
      <c r="F89" t="s">
        <v>618</v>
      </c>
    </row>
    <row r="90" spans="6:6" x14ac:dyDescent="0.3">
      <c r="F90" t="s">
        <v>619</v>
      </c>
    </row>
    <row r="91" spans="6:6" x14ac:dyDescent="0.3">
      <c r="F91" t="s">
        <v>620</v>
      </c>
    </row>
    <row r="92" spans="6:6" x14ac:dyDescent="0.3">
      <c r="F92" t="s">
        <v>621</v>
      </c>
    </row>
    <row r="93" spans="6:6" x14ac:dyDescent="0.3">
      <c r="F93" t="s">
        <v>622</v>
      </c>
    </row>
    <row r="94" spans="6:6" x14ac:dyDescent="0.3">
      <c r="F94" t="s">
        <v>623</v>
      </c>
    </row>
    <row r="95" spans="6:6" x14ac:dyDescent="0.3">
      <c r="F95" t="s">
        <v>624</v>
      </c>
    </row>
    <row r="96" spans="6:6" x14ac:dyDescent="0.3">
      <c r="F96" t="s">
        <v>625</v>
      </c>
    </row>
    <row r="97" spans="6:6" x14ac:dyDescent="0.3">
      <c r="F97" t="s">
        <v>626</v>
      </c>
    </row>
    <row r="98" spans="6:6" x14ac:dyDescent="0.3">
      <c r="F98" t="s">
        <v>627</v>
      </c>
    </row>
    <row r="99" spans="6:6" x14ac:dyDescent="0.3">
      <c r="F99" t="s">
        <v>554</v>
      </c>
    </row>
    <row r="100" spans="6:6" x14ac:dyDescent="0.3">
      <c r="F100" t="s">
        <v>628</v>
      </c>
    </row>
    <row r="101" spans="6:6" x14ac:dyDescent="0.3">
      <c r="F101" t="s">
        <v>629</v>
      </c>
    </row>
    <row r="102" spans="6:6" x14ac:dyDescent="0.3">
      <c r="F102" t="s">
        <v>630</v>
      </c>
    </row>
    <row r="103" spans="6:6" x14ac:dyDescent="0.3">
      <c r="F103" t="s">
        <v>631</v>
      </c>
    </row>
    <row r="104" spans="6:6" x14ac:dyDescent="0.3">
      <c r="F104" t="s">
        <v>632</v>
      </c>
    </row>
    <row r="105" spans="6:6" x14ac:dyDescent="0.3">
      <c r="F105" t="s">
        <v>633</v>
      </c>
    </row>
    <row r="106" spans="6:6" x14ac:dyDescent="0.3">
      <c r="F106" t="s">
        <v>634</v>
      </c>
    </row>
    <row r="107" spans="6:6" x14ac:dyDescent="0.3">
      <c r="F107" t="s">
        <v>635</v>
      </c>
    </row>
    <row r="108" spans="6:6" x14ac:dyDescent="0.3">
      <c r="F108" t="s">
        <v>636</v>
      </c>
    </row>
    <row r="109" spans="6:6" x14ac:dyDescent="0.3">
      <c r="F109" t="s">
        <v>637</v>
      </c>
    </row>
    <row r="110" spans="6:6" x14ac:dyDescent="0.3">
      <c r="F110" t="s">
        <v>638</v>
      </c>
    </row>
    <row r="111" spans="6:6" x14ac:dyDescent="0.3">
      <c r="F111" t="s">
        <v>639</v>
      </c>
    </row>
    <row r="112" spans="6:6" x14ac:dyDescent="0.3">
      <c r="F112" t="s">
        <v>640</v>
      </c>
    </row>
    <row r="113" spans="6:6" x14ac:dyDescent="0.3">
      <c r="F113" t="s">
        <v>641</v>
      </c>
    </row>
    <row r="114" spans="6:6" x14ac:dyDescent="0.3">
      <c r="F114" t="s">
        <v>642</v>
      </c>
    </row>
    <row r="115" spans="6:6" x14ac:dyDescent="0.3">
      <c r="F115" t="s">
        <v>643</v>
      </c>
    </row>
    <row r="116" spans="6:6" x14ac:dyDescent="0.3">
      <c r="F116" t="s">
        <v>644</v>
      </c>
    </row>
    <row r="117" spans="6:6" x14ac:dyDescent="0.3">
      <c r="F117" t="s">
        <v>645</v>
      </c>
    </row>
    <row r="118" spans="6:6" x14ac:dyDescent="0.3">
      <c r="F118" t="s">
        <v>646</v>
      </c>
    </row>
    <row r="119" spans="6:6" x14ac:dyDescent="0.3">
      <c r="F119" t="s">
        <v>647</v>
      </c>
    </row>
    <row r="120" spans="6:6" x14ac:dyDescent="0.3">
      <c r="F120" t="s">
        <v>648</v>
      </c>
    </row>
    <row r="121" spans="6:6" x14ac:dyDescent="0.3">
      <c r="F121" t="s">
        <v>649</v>
      </c>
    </row>
    <row r="122" spans="6:6" x14ac:dyDescent="0.3">
      <c r="F122" t="s">
        <v>650</v>
      </c>
    </row>
    <row r="123" spans="6:6" x14ac:dyDescent="0.3">
      <c r="F123" t="s">
        <v>651</v>
      </c>
    </row>
    <row r="124" spans="6:6" x14ac:dyDescent="0.3">
      <c r="F124" t="s">
        <v>652</v>
      </c>
    </row>
    <row r="125" spans="6:6" x14ac:dyDescent="0.3">
      <c r="F125" t="s">
        <v>653</v>
      </c>
    </row>
    <row r="126" spans="6:6" x14ac:dyDescent="0.3">
      <c r="F126" t="s">
        <v>654</v>
      </c>
    </row>
    <row r="127" spans="6:6" x14ac:dyDescent="0.3">
      <c r="F127" t="s">
        <v>655</v>
      </c>
    </row>
    <row r="128" spans="6:6" x14ac:dyDescent="0.3">
      <c r="F128" t="s">
        <v>656</v>
      </c>
    </row>
    <row r="129" spans="6:6" x14ac:dyDescent="0.3">
      <c r="F129" t="s">
        <v>657</v>
      </c>
    </row>
    <row r="130" spans="6:6" x14ac:dyDescent="0.3">
      <c r="F130" t="s">
        <v>658</v>
      </c>
    </row>
    <row r="131" spans="6:6" x14ac:dyDescent="0.3">
      <c r="F131" t="s">
        <v>519</v>
      </c>
    </row>
    <row r="132" spans="6:6" x14ac:dyDescent="0.3">
      <c r="F132" t="s">
        <v>659</v>
      </c>
    </row>
    <row r="133" spans="6:6" x14ac:dyDescent="0.3">
      <c r="F133" t="s">
        <v>660</v>
      </c>
    </row>
    <row r="134" spans="6:6" x14ac:dyDescent="0.3">
      <c r="F134" t="s">
        <v>661</v>
      </c>
    </row>
    <row r="135" spans="6:6" x14ac:dyDescent="0.3">
      <c r="F135" t="s">
        <v>662</v>
      </c>
    </row>
    <row r="136" spans="6:6" x14ac:dyDescent="0.3">
      <c r="F136" t="s">
        <v>663</v>
      </c>
    </row>
    <row r="137" spans="6:6" x14ac:dyDescent="0.3">
      <c r="F137" t="s">
        <v>664</v>
      </c>
    </row>
    <row r="138" spans="6:6" x14ac:dyDescent="0.3">
      <c r="F138" t="s">
        <v>665</v>
      </c>
    </row>
    <row r="139" spans="6:6" x14ac:dyDescent="0.3">
      <c r="F139" t="s">
        <v>666</v>
      </c>
    </row>
    <row r="140" spans="6:6" x14ac:dyDescent="0.3">
      <c r="F140" t="s">
        <v>667</v>
      </c>
    </row>
    <row r="141" spans="6:6" x14ac:dyDescent="0.3">
      <c r="F141" t="s">
        <v>668</v>
      </c>
    </row>
    <row r="142" spans="6:6" x14ac:dyDescent="0.3">
      <c r="F142" t="s">
        <v>669</v>
      </c>
    </row>
    <row r="143" spans="6:6" x14ac:dyDescent="0.3">
      <c r="F143" t="s">
        <v>521</v>
      </c>
    </row>
    <row r="144" spans="6:6" x14ac:dyDescent="0.3">
      <c r="F144" t="s">
        <v>670</v>
      </c>
    </row>
    <row r="145" spans="6:6" x14ac:dyDescent="0.3">
      <c r="F145" t="s">
        <v>671</v>
      </c>
    </row>
    <row r="146" spans="6:6" x14ac:dyDescent="0.3">
      <c r="F146" t="s">
        <v>672</v>
      </c>
    </row>
    <row r="147" spans="6:6" x14ac:dyDescent="0.3">
      <c r="F147" t="s">
        <v>673</v>
      </c>
    </row>
    <row r="148" spans="6:6" x14ac:dyDescent="0.3">
      <c r="F148" t="s">
        <v>674</v>
      </c>
    </row>
    <row r="149" spans="6:6" x14ac:dyDescent="0.3">
      <c r="F149" t="s">
        <v>675</v>
      </c>
    </row>
    <row r="150" spans="6:6" x14ac:dyDescent="0.3">
      <c r="F150" t="s">
        <v>556</v>
      </c>
    </row>
    <row r="151" spans="6:6" x14ac:dyDescent="0.3">
      <c r="F151" t="s">
        <v>676</v>
      </c>
    </row>
    <row r="152" spans="6:6" x14ac:dyDescent="0.3">
      <c r="F152" t="s">
        <v>677</v>
      </c>
    </row>
    <row r="153" spans="6:6" x14ac:dyDescent="0.3">
      <c r="F153" t="s">
        <v>678</v>
      </c>
    </row>
    <row r="154" spans="6:6" x14ac:dyDescent="0.3">
      <c r="F154" t="s">
        <v>679</v>
      </c>
    </row>
    <row r="155" spans="6:6" x14ac:dyDescent="0.3">
      <c r="F155" t="s">
        <v>680</v>
      </c>
    </row>
    <row r="156" spans="6:6" x14ac:dyDescent="0.3">
      <c r="F156" t="s">
        <v>681</v>
      </c>
    </row>
    <row r="157" spans="6:6" x14ac:dyDescent="0.3">
      <c r="F157" t="s">
        <v>682</v>
      </c>
    </row>
    <row r="158" spans="6:6" x14ac:dyDescent="0.3">
      <c r="F158" t="s">
        <v>683</v>
      </c>
    </row>
    <row r="159" spans="6:6" x14ac:dyDescent="0.3">
      <c r="F159" t="s">
        <v>684</v>
      </c>
    </row>
    <row r="160" spans="6:6" x14ac:dyDescent="0.3">
      <c r="F160" t="s">
        <v>685</v>
      </c>
    </row>
    <row r="161" spans="6:6" x14ac:dyDescent="0.3">
      <c r="F161" t="s">
        <v>686</v>
      </c>
    </row>
    <row r="162" spans="6:6" x14ac:dyDescent="0.3">
      <c r="F162" t="s">
        <v>687</v>
      </c>
    </row>
    <row r="163" spans="6:6" x14ac:dyDescent="0.3">
      <c r="F163" t="s">
        <v>688</v>
      </c>
    </row>
    <row r="164" spans="6:6" x14ac:dyDescent="0.3">
      <c r="F164" t="s">
        <v>689</v>
      </c>
    </row>
    <row r="165" spans="6:6" x14ac:dyDescent="0.3">
      <c r="F165" t="s">
        <v>690</v>
      </c>
    </row>
    <row r="166" spans="6:6" x14ac:dyDescent="0.3">
      <c r="F166" t="s">
        <v>558</v>
      </c>
    </row>
    <row r="167" spans="6:6" x14ac:dyDescent="0.3">
      <c r="F167" t="s">
        <v>691</v>
      </c>
    </row>
    <row r="168" spans="6:6" x14ac:dyDescent="0.3">
      <c r="F168" t="s">
        <v>692</v>
      </c>
    </row>
    <row r="169" spans="6:6" x14ac:dyDescent="0.3">
      <c r="F169" t="s">
        <v>693</v>
      </c>
    </row>
    <row r="170" spans="6:6" x14ac:dyDescent="0.3">
      <c r="F170" t="s">
        <v>694</v>
      </c>
    </row>
    <row r="171" spans="6:6" x14ac:dyDescent="0.3">
      <c r="F171" t="s">
        <v>695</v>
      </c>
    </row>
    <row r="172" spans="6:6" x14ac:dyDescent="0.3">
      <c r="F172" t="s">
        <v>696</v>
      </c>
    </row>
    <row r="173" spans="6:6" x14ac:dyDescent="0.3">
      <c r="F173" t="s">
        <v>697</v>
      </c>
    </row>
    <row r="174" spans="6:6" x14ac:dyDescent="0.3">
      <c r="F174" t="s">
        <v>698</v>
      </c>
    </row>
    <row r="175" spans="6:6" x14ac:dyDescent="0.3">
      <c r="F175" t="s">
        <v>699</v>
      </c>
    </row>
    <row r="176" spans="6:6" x14ac:dyDescent="0.3">
      <c r="F176" t="s">
        <v>700</v>
      </c>
    </row>
    <row r="177" spans="6:6" x14ac:dyDescent="0.3">
      <c r="F177" t="s">
        <v>701</v>
      </c>
    </row>
    <row r="178" spans="6:6" x14ac:dyDescent="0.3">
      <c r="F178" t="s">
        <v>702</v>
      </c>
    </row>
    <row r="179" spans="6:6" x14ac:dyDescent="0.3">
      <c r="F179" t="s">
        <v>703</v>
      </c>
    </row>
    <row r="180" spans="6:6" x14ac:dyDescent="0.3">
      <c r="F180" t="s">
        <v>704</v>
      </c>
    </row>
    <row r="181" spans="6:6" x14ac:dyDescent="0.3">
      <c r="F181" t="s">
        <v>705</v>
      </c>
    </row>
    <row r="182" spans="6:6" x14ac:dyDescent="0.3">
      <c r="F182" t="s">
        <v>706</v>
      </c>
    </row>
    <row r="183" spans="6:6" x14ac:dyDescent="0.3">
      <c r="F183" t="s">
        <v>707</v>
      </c>
    </row>
    <row r="184" spans="6:6" x14ac:dyDescent="0.3">
      <c r="F184" t="s">
        <v>708</v>
      </c>
    </row>
    <row r="185" spans="6:6" x14ac:dyDescent="0.3">
      <c r="F185" t="s">
        <v>709</v>
      </c>
    </row>
    <row r="186" spans="6:6" x14ac:dyDescent="0.3">
      <c r="F186" t="s">
        <v>710</v>
      </c>
    </row>
    <row r="187" spans="6:6" x14ac:dyDescent="0.3">
      <c r="F187" t="s">
        <v>711</v>
      </c>
    </row>
    <row r="188" spans="6:6" x14ac:dyDescent="0.3">
      <c r="F188" t="s">
        <v>712</v>
      </c>
    </row>
    <row r="189" spans="6:6" x14ac:dyDescent="0.3">
      <c r="F189" t="s">
        <v>560</v>
      </c>
    </row>
    <row r="190" spans="6:6" x14ac:dyDescent="0.3">
      <c r="F190" t="s">
        <v>713</v>
      </c>
    </row>
    <row r="191" spans="6:6" x14ac:dyDescent="0.3">
      <c r="F191" t="s">
        <v>714</v>
      </c>
    </row>
    <row r="192" spans="6:6" x14ac:dyDescent="0.3">
      <c r="F192" t="s">
        <v>715</v>
      </c>
    </row>
    <row r="193" spans="6:6" x14ac:dyDescent="0.3">
      <c r="F193" t="s">
        <v>716</v>
      </c>
    </row>
    <row r="194" spans="6:6" x14ac:dyDescent="0.3">
      <c r="F194" t="s">
        <v>717</v>
      </c>
    </row>
    <row r="195" spans="6:6" x14ac:dyDescent="0.3">
      <c r="F195" t="s">
        <v>718</v>
      </c>
    </row>
    <row r="196" spans="6:6" x14ac:dyDescent="0.3">
      <c r="F196" t="s">
        <v>719</v>
      </c>
    </row>
    <row r="197" spans="6:6" x14ac:dyDescent="0.3">
      <c r="F197" t="s">
        <v>720</v>
      </c>
    </row>
    <row r="198" spans="6:6" x14ac:dyDescent="0.3">
      <c r="F198" t="s">
        <v>721</v>
      </c>
    </row>
    <row r="199" spans="6:6" x14ac:dyDescent="0.3">
      <c r="F199" t="s">
        <v>722</v>
      </c>
    </row>
    <row r="200" spans="6:6" x14ac:dyDescent="0.3">
      <c r="F200" t="s">
        <v>723</v>
      </c>
    </row>
    <row r="201" spans="6:6" x14ac:dyDescent="0.3">
      <c r="F201" t="s">
        <v>724</v>
      </c>
    </row>
    <row r="202" spans="6:6" x14ac:dyDescent="0.3">
      <c r="F202" t="s">
        <v>725</v>
      </c>
    </row>
    <row r="203" spans="6:6" x14ac:dyDescent="0.3">
      <c r="F203" t="s">
        <v>726</v>
      </c>
    </row>
    <row r="204" spans="6:6" x14ac:dyDescent="0.3">
      <c r="F204" t="s">
        <v>727</v>
      </c>
    </row>
    <row r="205" spans="6:6" x14ac:dyDescent="0.3">
      <c r="F205" t="s">
        <v>728</v>
      </c>
    </row>
    <row r="206" spans="6:6" x14ac:dyDescent="0.3">
      <c r="F206" t="s">
        <v>729</v>
      </c>
    </row>
    <row r="207" spans="6:6" x14ac:dyDescent="0.3">
      <c r="F207" t="s">
        <v>730</v>
      </c>
    </row>
    <row r="208" spans="6:6" x14ac:dyDescent="0.3">
      <c r="F208" t="s">
        <v>731</v>
      </c>
    </row>
    <row r="209" spans="6:6" x14ac:dyDescent="0.3">
      <c r="F209" t="s">
        <v>732</v>
      </c>
    </row>
    <row r="210" spans="6:6" x14ac:dyDescent="0.3">
      <c r="F210" t="s">
        <v>733</v>
      </c>
    </row>
    <row r="211" spans="6:6" x14ac:dyDescent="0.3">
      <c r="F211" t="s">
        <v>562</v>
      </c>
    </row>
    <row r="212" spans="6:6" x14ac:dyDescent="0.3">
      <c r="F212" t="s">
        <v>734</v>
      </c>
    </row>
    <row r="213" spans="6:6" x14ac:dyDescent="0.3">
      <c r="F213" t="s">
        <v>735</v>
      </c>
    </row>
    <row r="214" spans="6:6" x14ac:dyDescent="0.3">
      <c r="F214" t="s">
        <v>736</v>
      </c>
    </row>
    <row r="215" spans="6:6" x14ac:dyDescent="0.3">
      <c r="F215" t="s">
        <v>737</v>
      </c>
    </row>
    <row r="216" spans="6:6" x14ac:dyDescent="0.3">
      <c r="F216" t="s">
        <v>738</v>
      </c>
    </row>
    <row r="217" spans="6:6" x14ac:dyDescent="0.3">
      <c r="F217" t="s">
        <v>739</v>
      </c>
    </row>
    <row r="218" spans="6:6" x14ac:dyDescent="0.3">
      <c r="F218" t="s">
        <v>524</v>
      </c>
    </row>
    <row r="219" spans="6:6" x14ac:dyDescent="0.3">
      <c r="F219" t="s">
        <v>740</v>
      </c>
    </row>
    <row r="220" spans="6:6" x14ac:dyDescent="0.3">
      <c r="F220" t="s">
        <v>741</v>
      </c>
    </row>
    <row r="221" spans="6:6" x14ac:dyDescent="0.3">
      <c r="F221" t="s">
        <v>742</v>
      </c>
    </row>
    <row r="222" spans="6:6" x14ac:dyDescent="0.3">
      <c r="F222" t="s">
        <v>743</v>
      </c>
    </row>
    <row r="223" spans="6:6" x14ac:dyDescent="0.3">
      <c r="F223" t="s">
        <v>744</v>
      </c>
    </row>
    <row r="224" spans="6:6" x14ac:dyDescent="0.3">
      <c r="F224" t="s">
        <v>745</v>
      </c>
    </row>
    <row r="225" spans="6:6" x14ac:dyDescent="0.3">
      <c r="F225" t="s">
        <v>746</v>
      </c>
    </row>
    <row r="226" spans="6:6" x14ac:dyDescent="0.3">
      <c r="F226" t="s">
        <v>747</v>
      </c>
    </row>
    <row r="227" spans="6:6" x14ac:dyDescent="0.3">
      <c r="F227" t="s">
        <v>748</v>
      </c>
    </row>
    <row r="228" spans="6:6" x14ac:dyDescent="0.3">
      <c r="F228" t="s">
        <v>749</v>
      </c>
    </row>
    <row r="229" spans="6:6" x14ac:dyDescent="0.3">
      <c r="F229" t="s">
        <v>750</v>
      </c>
    </row>
    <row r="230" spans="6:6" x14ac:dyDescent="0.3">
      <c r="F230" t="s">
        <v>751</v>
      </c>
    </row>
    <row r="231" spans="6:6" x14ac:dyDescent="0.3">
      <c r="F231" t="s">
        <v>752</v>
      </c>
    </row>
    <row r="232" spans="6:6" x14ac:dyDescent="0.3">
      <c r="F232" t="s">
        <v>753</v>
      </c>
    </row>
    <row r="233" spans="6:6" x14ac:dyDescent="0.3">
      <c r="F233" t="s">
        <v>754</v>
      </c>
    </row>
    <row r="234" spans="6:6" x14ac:dyDescent="0.3">
      <c r="F234" t="s">
        <v>755</v>
      </c>
    </row>
    <row r="235" spans="6:6" x14ac:dyDescent="0.3">
      <c r="F235" t="s">
        <v>564</v>
      </c>
    </row>
    <row r="236" spans="6:6" x14ac:dyDescent="0.3">
      <c r="F236" t="s">
        <v>756</v>
      </c>
    </row>
    <row r="237" spans="6:6" x14ac:dyDescent="0.3">
      <c r="F237" t="s">
        <v>757</v>
      </c>
    </row>
    <row r="238" spans="6:6" x14ac:dyDescent="0.3">
      <c r="F238" t="s">
        <v>758</v>
      </c>
    </row>
    <row r="239" spans="6:6" x14ac:dyDescent="0.3">
      <c r="F239" t="s">
        <v>759</v>
      </c>
    </row>
    <row r="240" spans="6:6" x14ac:dyDescent="0.3">
      <c r="F240" t="s">
        <v>760</v>
      </c>
    </row>
    <row r="241" spans="6:6" x14ac:dyDescent="0.3">
      <c r="F241" t="s">
        <v>523</v>
      </c>
    </row>
    <row r="242" spans="6:6" x14ac:dyDescent="0.3">
      <c r="F242" t="s">
        <v>761</v>
      </c>
    </row>
    <row r="243" spans="6:6" x14ac:dyDescent="0.3">
      <c r="F243" t="s">
        <v>762</v>
      </c>
    </row>
    <row r="244" spans="6:6" x14ac:dyDescent="0.3">
      <c r="F244" t="s">
        <v>763</v>
      </c>
    </row>
    <row r="245" spans="6:6" x14ac:dyDescent="0.3">
      <c r="F245" t="s">
        <v>764</v>
      </c>
    </row>
    <row r="246" spans="6:6" x14ac:dyDescent="0.3">
      <c r="F246" t="s">
        <v>526</v>
      </c>
    </row>
    <row r="247" spans="6:6" x14ac:dyDescent="0.3">
      <c r="F247" t="s">
        <v>765</v>
      </c>
    </row>
    <row r="248" spans="6:6" x14ac:dyDescent="0.3">
      <c r="F248" t="s">
        <v>528</v>
      </c>
    </row>
    <row r="249" spans="6:6" x14ac:dyDescent="0.3">
      <c r="F249" t="s">
        <v>766</v>
      </c>
    </row>
    <row r="250" spans="6:6" x14ac:dyDescent="0.3">
      <c r="F250" t="s">
        <v>530</v>
      </c>
    </row>
    <row r="251" spans="6:6" x14ac:dyDescent="0.3">
      <c r="F251" t="s">
        <v>532</v>
      </c>
    </row>
    <row r="252" spans="6:6" x14ac:dyDescent="0.3">
      <c r="F252" t="s">
        <v>767</v>
      </c>
    </row>
    <row r="253" spans="6:6" x14ac:dyDescent="0.3">
      <c r="F253" t="s">
        <v>534</v>
      </c>
    </row>
    <row r="254" spans="6:6" x14ac:dyDescent="0.3">
      <c r="F254" t="s">
        <v>768</v>
      </c>
    </row>
    <row r="255" spans="6:6" x14ac:dyDescent="0.3">
      <c r="F255" t="s">
        <v>769</v>
      </c>
    </row>
    <row r="256" spans="6:6" x14ac:dyDescent="0.3">
      <c r="F256" t="s">
        <v>770</v>
      </c>
    </row>
    <row r="257" spans="6:6" x14ac:dyDescent="0.3">
      <c r="F257" t="s">
        <v>566</v>
      </c>
    </row>
    <row r="258" spans="6:6" x14ac:dyDescent="0.3">
      <c r="F258" t="s">
        <v>771</v>
      </c>
    </row>
    <row r="259" spans="6:6" x14ac:dyDescent="0.3">
      <c r="F259" t="s">
        <v>536</v>
      </c>
    </row>
    <row r="260" spans="6:6" x14ac:dyDescent="0.3">
      <c r="F260" t="s">
        <v>772</v>
      </c>
    </row>
    <row r="261" spans="6:6" x14ac:dyDescent="0.3">
      <c r="F261" t="s">
        <v>773</v>
      </c>
    </row>
    <row r="262" spans="6:6" x14ac:dyDescent="0.3">
      <c r="F262" t="s">
        <v>774</v>
      </c>
    </row>
    <row r="263" spans="6:6" x14ac:dyDescent="0.3">
      <c r="F263" t="s">
        <v>775</v>
      </c>
    </row>
    <row r="264" spans="6:6" x14ac:dyDescent="0.3">
      <c r="F264" t="s">
        <v>776</v>
      </c>
    </row>
    <row r="265" spans="6:6" x14ac:dyDescent="0.3">
      <c r="F265" t="s">
        <v>777</v>
      </c>
    </row>
    <row r="266" spans="6:6" x14ac:dyDescent="0.3">
      <c r="F266" t="s">
        <v>778</v>
      </c>
    </row>
    <row r="267" spans="6:6" x14ac:dyDescent="0.3">
      <c r="F267" t="s">
        <v>779</v>
      </c>
    </row>
    <row r="268" spans="6:6" x14ac:dyDescent="0.3">
      <c r="F268" t="s">
        <v>780</v>
      </c>
    </row>
    <row r="269" spans="6:6" x14ac:dyDescent="0.3">
      <c r="F269" t="s">
        <v>781</v>
      </c>
    </row>
    <row r="270" spans="6:6" x14ac:dyDescent="0.3">
      <c r="F270" t="s">
        <v>782</v>
      </c>
    </row>
    <row r="271" spans="6:6" x14ac:dyDescent="0.3">
      <c r="F271" t="s">
        <v>783</v>
      </c>
    </row>
    <row r="272" spans="6:6" x14ac:dyDescent="0.3">
      <c r="F272" t="s">
        <v>784</v>
      </c>
    </row>
    <row r="273" spans="6:6" x14ac:dyDescent="0.3">
      <c r="F273" t="s">
        <v>785</v>
      </c>
    </row>
    <row r="274" spans="6:6" x14ac:dyDescent="0.3">
      <c r="F274" t="s">
        <v>786</v>
      </c>
    </row>
    <row r="275" spans="6:6" x14ac:dyDescent="0.3">
      <c r="F275" t="s">
        <v>787</v>
      </c>
    </row>
    <row r="276" spans="6:6" x14ac:dyDescent="0.3">
      <c r="F276" t="s">
        <v>568</v>
      </c>
    </row>
    <row r="277" spans="6:6" x14ac:dyDescent="0.3">
      <c r="F277" t="s">
        <v>538</v>
      </c>
    </row>
    <row r="278" spans="6:6" x14ac:dyDescent="0.3">
      <c r="F278" t="s">
        <v>788</v>
      </c>
    </row>
    <row r="279" spans="6:6" x14ac:dyDescent="0.3">
      <c r="F279" t="s">
        <v>789</v>
      </c>
    </row>
    <row r="280" spans="6:6" x14ac:dyDescent="0.3">
      <c r="F280" t="s">
        <v>790</v>
      </c>
    </row>
    <row r="281" spans="6:6" x14ac:dyDescent="0.3">
      <c r="F281" t="s">
        <v>791</v>
      </c>
    </row>
    <row r="282" spans="6:6" x14ac:dyDescent="0.3">
      <c r="F282" t="s">
        <v>792</v>
      </c>
    </row>
    <row r="283" spans="6:6" x14ac:dyDescent="0.3">
      <c r="F283" t="s">
        <v>540</v>
      </c>
    </row>
    <row r="284" spans="6:6" x14ac:dyDescent="0.3">
      <c r="F284" t="s">
        <v>793</v>
      </c>
    </row>
    <row r="285" spans="6:6" x14ac:dyDescent="0.3">
      <c r="F285" t="s">
        <v>794</v>
      </c>
    </row>
    <row r="286" spans="6:6" x14ac:dyDescent="0.3">
      <c r="F286" t="s">
        <v>795</v>
      </c>
    </row>
    <row r="287" spans="6:6" x14ac:dyDescent="0.3">
      <c r="F287" t="s">
        <v>796</v>
      </c>
    </row>
    <row r="288" spans="6:6" x14ac:dyDescent="0.3">
      <c r="F288" t="s">
        <v>542</v>
      </c>
    </row>
    <row r="289" spans="6:6" x14ac:dyDescent="0.3">
      <c r="F289" t="s">
        <v>797</v>
      </c>
    </row>
    <row r="290" spans="6:6" x14ac:dyDescent="0.3">
      <c r="F290" t="s">
        <v>798</v>
      </c>
    </row>
    <row r="291" spans="6:6" x14ac:dyDescent="0.3">
      <c r="F291" t="s">
        <v>799</v>
      </c>
    </row>
    <row r="292" spans="6:6" x14ac:dyDescent="0.3">
      <c r="F292" t="s">
        <v>800</v>
      </c>
    </row>
    <row r="293" spans="6:6" x14ac:dyDescent="0.3">
      <c r="F293" t="s">
        <v>801</v>
      </c>
    </row>
    <row r="294" spans="6:6" x14ac:dyDescent="0.3">
      <c r="F294" t="s">
        <v>802</v>
      </c>
    </row>
    <row r="295" spans="6:6" x14ac:dyDescent="0.3">
      <c r="F295" t="s">
        <v>803</v>
      </c>
    </row>
    <row r="296" spans="6:6" x14ac:dyDescent="0.3">
      <c r="F296" t="s">
        <v>804</v>
      </c>
    </row>
    <row r="297" spans="6:6" x14ac:dyDescent="0.3">
      <c r="F297" t="s">
        <v>805</v>
      </c>
    </row>
    <row r="298" spans="6:6" x14ac:dyDescent="0.3">
      <c r="F298" t="s">
        <v>806</v>
      </c>
    </row>
    <row r="299" spans="6:6" x14ac:dyDescent="0.3">
      <c r="F299" t="s">
        <v>807</v>
      </c>
    </row>
    <row r="300" spans="6:6" x14ac:dyDescent="0.3">
      <c r="F300" t="s">
        <v>808</v>
      </c>
    </row>
    <row r="301" spans="6:6" x14ac:dyDescent="0.3">
      <c r="F301" t="s">
        <v>809</v>
      </c>
    </row>
    <row r="302" spans="6:6" x14ac:dyDescent="0.3">
      <c r="F302" t="s">
        <v>810</v>
      </c>
    </row>
    <row r="303" spans="6:6" x14ac:dyDescent="0.3">
      <c r="F303" t="s">
        <v>811</v>
      </c>
    </row>
    <row r="304" spans="6:6" x14ac:dyDescent="0.3">
      <c r="F304" t="s">
        <v>812</v>
      </c>
    </row>
    <row r="305" spans="6:6" x14ac:dyDescent="0.3">
      <c r="F305" t="s">
        <v>813</v>
      </c>
    </row>
    <row r="306" spans="6:6" x14ac:dyDescent="0.3">
      <c r="F306" t="s">
        <v>814</v>
      </c>
    </row>
    <row r="307" spans="6:6" x14ac:dyDescent="0.3">
      <c r="F307" t="s">
        <v>815</v>
      </c>
    </row>
    <row r="308" spans="6:6" x14ac:dyDescent="0.3">
      <c r="F308" t="s">
        <v>816</v>
      </c>
    </row>
    <row r="309" spans="6:6" x14ac:dyDescent="0.3">
      <c r="F309" t="s">
        <v>817</v>
      </c>
    </row>
    <row r="310" spans="6:6" x14ac:dyDescent="0.3">
      <c r="F310" t="s">
        <v>818</v>
      </c>
    </row>
    <row r="311" spans="6:6" x14ac:dyDescent="0.3">
      <c r="F311" t="s">
        <v>819</v>
      </c>
    </row>
    <row r="312" spans="6:6" x14ac:dyDescent="0.3">
      <c r="F312" t="s">
        <v>820</v>
      </c>
    </row>
    <row r="313" spans="6:6" x14ac:dyDescent="0.3">
      <c r="F313" t="s">
        <v>821</v>
      </c>
    </row>
    <row r="314" spans="6:6" x14ac:dyDescent="0.3">
      <c r="F314" t="s">
        <v>822</v>
      </c>
    </row>
    <row r="315" spans="6:6" x14ac:dyDescent="0.3">
      <c r="F315" t="s">
        <v>823</v>
      </c>
    </row>
    <row r="316" spans="6:6" x14ac:dyDescent="0.3">
      <c r="F316" t="s">
        <v>824</v>
      </c>
    </row>
    <row r="317" spans="6:6" x14ac:dyDescent="0.3">
      <c r="F317" t="s">
        <v>825</v>
      </c>
    </row>
    <row r="318" spans="6:6" x14ac:dyDescent="0.3">
      <c r="F318" t="s">
        <v>826</v>
      </c>
    </row>
    <row r="319" spans="6:6" x14ac:dyDescent="0.3">
      <c r="F319" t="s">
        <v>827</v>
      </c>
    </row>
    <row r="320" spans="6:6" x14ac:dyDescent="0.3">
      <c r="F320" t="s">
        <v>828</v>
      </c>
    </row>
  </sheetData>
  <sortState xmlns:xlrd2="http://schemas.microsoft.com/office/spreadsheetml/2017/richdata2" ref="B2:C19">
    <sortCondition ref="C2"/>
  </sortState>
  <pageMargins left="0.7" right="0.7" top="0.75" bottom="0.75" header="0.3" footer="0.3"/>
  <tableParts count="1">
    <tablePart r:id="rId1"/>
  </tablePart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EDDA2-0BAB-42FE-BA8F-B2AFF8BAA52F}">
  <sheetPr codeName="Blad1"/>
  <dimension ref="A1:AF286"/>
  <sheetViews>
    <sheetView topLeftCell="B32" zoomScale="85" zoomScaleNormal="85" workbookViewId="0">
      <pane xSplit="1" topLeftCell="C1" activePane="topRight" state="frozen"/>
      <selection activeCell="A6" sqref="A6:XFD6"/>
      <selection pane="topRight" activeCell="B47" sqref="B47"/>
    </sheetView>
  </sheetViews>
  <sheetFormatPr defaultRowHeight="14.4" x14ac:dyDescent="0.3"/>
  <cols>
    <col min="1" max="1" width="4" style="168" hidden="1" customWidth="1"/>
    <col min="2" max="2" width="67.109375" style="156" customWidth="1"/>
    <col min="3" max="3" width="5" style="157" bestFit="1" customWidth="1"/>
    <col min="4" max="4" width="21.33203125" style="18" customWidth="1"/>
    <col min="5" max="5" width="16.88671875" bestFit="1" customWidth="1"/>
    <col min="6" max="6" width="21.6640625" customWidth="1"/>
    <col min="7" max="7" width="16.44140625" bestFit="1" customWidth="1"/>
    <col min="8" max="8" width="15" customWidth="1"/>
    <col min="9" max="9" width="37.109375" bestFit="1" customWidth="1"/>
    <col min="10" max="10" width="71" style="168" bestFit="1" customWidth="1"/>
    <col min="11" max="32" width="8.88671875" style="168"/>
  </cols>
  <sheetData>
    <row r="1" spans="1:32" s="168" customFormat="1" x14ac:dyDescent="0.3">
      <c r="B1" s="166"/>
      <c r="C1" s="169"/>
      <c r="D1" s="167"/>
    </row>
    <row r="2" spans="1:32" s="106" customFormat="1" x14ac:dyDescent="0.3">
      <c r="A2" s="170"/>
      <c r="B2" s="359" t="s">
        <v>23</v>
      </c>
      <c r="C2" s="359" t="s">
        <v>476</v>
      </c>
      <c r="D2" s="359" t="s">
        <v>829</v>
      </c>
      <c r="E2" s="359" t="s">
        <v>338</v>
      </c>
      <c r="F2" s="359" t="s">
        <v>70</v>
      </c>
      <c r="G2" s="359" t="s">
        <v>72</v>
      </c>
      <c r="H2" s="359" t="s">
        <v>830</v>
      </c>
      <c r="I2" s="359" t="s">
        <v>831</v>
      </c>
      <c r="J2" s="360" t="s">
        <v>832</v>
      </c>
      <c r="K2" s="170"/>
      <c r="L2" s="170"/>
      <c r="M2" s="170"/>
      <c r="N2" s="170"/>
      <c r="O2" s="170"/>
      <c r="P2" s="170"/>
      <c r="Q2" s="170"/>
      <c r="R2" s="170"/>
      <c r="S2" s="170"/>
      <c r="T2" s="170"/>
      <c r="U2" s="170"/>
      <c r="V2" s="170"/>
      <c r="W2" s="170"/>
      <c r="X2" s="170"/>
      <c r="Y2" s="170"/>
      <c r="Z2" s="170"/>
      <c r="AA2" s="170"/>
      <c r="AB2" s="170"/>
      <c r="AC2" s="170"/>
      <c r="AD2" s="170"/>
      <c r="AE2" s="170"/>
      <c r="AF2" s="170"/>
    </row>
    <row r="3" spans="1:32" s="106" customFormat="1" x14ac:dyDescent="0.3">
      <c r="A3" s="170"/>
      <c r="B3" s="463" t="s">
        <v>25</v>
      </c>
      <c r="C3" s="464">
        <v>0</v>
      </c>
      <c r="D3" s="464" t="s">
        <v>292</v>
      </c>
      <c r="E3" s="527">
        <v>0</v>
      </c>
      <c r="F3" s="527">
        <v>0</v>
      </c>
      <c r="G3" s="527">
        <v>0</v>
      </c>
      <c r="H3" s="527">
        <v>0</v>
      </c>
      <c r="I3" s="360"/>
      <c r="J3" s="360"/>
      <c r="K3" s="170"/>
      <c r="L3" s="170"/>
      <c r="M3" s="170"/>
      <c r="N3" s="170"/>
      <c r="O3" s="170"/>
      <c r="P3" s="170"/>
      <c r="Q3" s="170"/>
      <c r="R3" s="170"/>
      <c r="S3" s="170"/>
      <c r="T3" s="170"/>
      <c r="U3" s="170"/>
      <c r="V3" s="170"/>
      <c r="W3" s="170"/>
      <c r="X3" s="170"/>
      <c r="Y3" s="170"/>
      <c r="Z3" s="170"/>
      <c r="AA3" s="170"/>
      <c r="AB3" s="170"/>
      <c r="AC3" s="170"/>
      <c r="AD3" s="170"/>
      <c r="AE3" s="170"/>
      <c r="AF3" s="170"/>
    </row>
    <row r="4" spans="1:32" x14ac:dyDescent="0.3">
      <c r="B4" s="173" t="s">
        <v>833</v>
      </c>
      <c r="C4" s="173"/>
      <c r="D4" s="173"/>
      <c r="E4" s="918"/>
      <c r="F4" s="918"/>
      <c r="G4" s="918"/>
      <c r="H4" s="918"/>
      <c r="I4" s="174"/>
      <c r="J4" s="174"/>
    </row>
    <row r="5" spans="1:32" x14ac:dyDescent="0.3">
      <c r="B5" s="160" t="s">
        <v>834</v>
      </c>
      <c r="C5" s="161">
        <v>300</v>
      </c>
      <c r="D5" s="161" t="s">
        <v>835</v>
      </c>
      <c r="E5" s="342">
        <v>550</v>
      </c>
      <c r="F5" s="342">
        <v>550</v>
      </c>
      <c r="G5" s="342">
        <v>500</v>
      </c>
      <c r="H5" s="342">
        <v>50</v>
      </c>
      <c r="I5" s="89"/>
      <c r="J5" s="205" t="s">
        <v>836</v>
      </c>
    </row>
    <row r="6" spans="1:32" x14ac:dyDescent="0.3">
      <c r="B6" s="160" t="s">
        <v>837</v>
      </c>
      <c r="C6" s="161">
        <v>300</v>
      </c>
      <c r="D6" s="161" t="s">
        <v>835</v>
      </c>
      <c r="E6" s="342">
        <v>550</v>
      </c>
      <c r="F6" s="342">
        <v>550</v>
      </c>
      <c r="G6" s="342">
        <v>500</v>
      </c>
      <c r="H6" s="342">
        <v>50</v>
      </c>
      <c r="I6" s="89"/>
      <c r="J6" s="205" t="s">
        <v>836</v>
      </c>
    </row>
    <row r="7" spans="1:32" x14ac:dyDescent="0.3">
      <c r="B7" s="160" t="s">
        <v>838</v>
      </c>
      <c r="C7" s="161">
        <v>65</v>
      </c>
      <c r="D7" s="161" t="s">
        <v>839</v>
      </c>
      <c r="E7" s="342">
        <v>550</v>
      </c>
      <c r="F7" s="342">
        <v>550</v>
      </c>
      <c r="G7" s="342">
        <v>500</v>
      </c>
      <c r="H7" s="342">
        <v>50</v>
      </c>
      <c r="I7" s="89"/>
      <c r="J7" s="205" t="s">
        <v>836</v>
      </c>
    </row>
    <row r="8" spans="1:32" x14ac:dyDescent="0.3">
      <c r="B8" s="160" t="s">
        <v>840</v>
      </c>
      <c r="C8" s="161">
        <v>65</v>
      </c>
      <c r="D8" s="161" t="s">
        <v>839</v>
      </c>
      <c r="E8" s="342">
        <v>550</v>
      </c>
      <c r="F8" s="342">
        <v>550</v>
      </c>
      <c r="G8" s="342">
        <v>500</v>
      </c>
      <c r="H8" s="342">
        <v>50</v>
      </c>
      <c r="I8" s="89" t="s">
        <v>841</v>
      </c>
      <c r="J8" s="205" t="s">
        <v>836</v>
      </c>
    </row>
    <row r="9" spans="1:32" x14ac:dyDescent="0.3">
      <c r="B9" s="160" t="s">
        <v>842</v>
      </c>
      <c r="C9" s="161">
        <v>600</v>
      </c>
      <c r="D9" s="161" t="s">
        <v>835</v>
      </c>
      <c r="E9" s="342">
        <v>550</v>
      </c>
      <c r="F9" s="342">
        <v>550</v>
      </c>
      <c r="G9" s="342">
        <v>500</v>
      </c>
      <c r="H9" s="342">
        <v>50</v>
      </c>
      <c r="I9" s="89"/>
      <c r="J9" s="205" t="s">
        <v>836</v>
      </c>
    </row>
    <row r="10" spans="1:32" ht="7.2" customHeight="1" x14ac:dyDescent="0.3">
      <c r="B10" s="162"/>
      <c r="C10" s="21"/>
      <c r="D10" s="21"/>
      <c r="E10" s="342"/>
      <c r="F10" s="342"/>
      <c r="G10" s="342"/>
      <c r="H10" s="342"/>
      <c r="I10" s="89"/>
      <c r="J10" s="204"/>
    </row>
    <row r="11" spans="1:32" x14ac:dyDescent="0.3">
      <c r="B11" s="173" t="s">
        <v>843</v>
      </c>
      <c r="C11" s="173"/>
      <c r="D11" s="173"/>
      <c r="E11" s="918"/>
      <c r="F11" s="918"/>
      <c r="G11" s="918"/>
      <c r="H11" s="918"/>
      <c r="I11" s="174"/>
      <c r="J11" s="174"/>
    </row>
    <row r="12" spans="1:32" ht="27.6" x14ac:dyDescent="0.3">
      <c r="B12" s="160" t="s">
        <v>844</v>
      </c>
      <c r="C12" s="158"/>
      <c r="D12" s="159" t="s">
        <v>845</v>
      </c>
      <c r="E12" s="342">
        <v>550</v>
      </c>
      <c r="F12" s="342">
        <v>550</v>
      </c>
      <c r="G12" s="342">
        <v>500</v>
      </c>
      <c r="H12" s="342">
        <v>50</v>
      </c>
      <c r="I12" s="89"/>
      <c r="J12" s="205" t="s">
        <v>846</v>
      </c>
    </row>
    <row r="13" spans="1:32" x14ac:dyDescent="0.3">
      <c r="B13" s="165" t="s">
        <v>847</v>
      </c>
      <c r="C13" s="161">
        <v>65</v>
      </c>
      <c r="D13" s="161" t="s">
        <v>848</v>
      </c>
      <c r="E13" s="342">
        <v>550</v>
      </c>
      <c r="F13" s="342">
        <v>550</v>
      </c>
      <c r="G13" s="342">
        <v>500</v>
      </c>
      <c r="H13" s="342">
        <v>50</v>
      </c>
      <c r="I13" s="89"/>
      <c r="J13" s="205" t="s">
        <v>846</v>
      </c>
    </row>
    <row r="14" spans="1:32" x14ac:dyDescent="0.3">
      <c r="B14" s="165" t="s">
        <v>849</v>
      </c>
      <c r="C14" s="161">
        <v>45</v>
      </c>
      <c r="D14" s="161" t="s">
        <v>848</v>
      </c>
      <c r="E14" s="342">
        <v>550</v>
      </c>
      <c r="F14" s="342">
        <v>550</v>
      </c>
      <c r="G14" s="342">
        <v>500</v>
      </c>
      <c r="H14" s="342">
        <v>50</v>
      </c>
      <c r="I14" s="89"/>
      <c r="J14" s="205" t="s">
        <v>846</v>
      </c>
    </row>
    <row r="15" spans="1:32" ht="27.6" x14ac:dyDescent="0.3">
      <c r="B15" s="165" t="s">
        <v>850</v>
      </c>
      <c r="C15" s="161">
        <v>20</v>
      </c>
      <c r="D15" s="161" t="s">
        <v>215</v>
      </c>
      <c r="E15" s="342">
        <v>550</v>
      </c>
      <c r="F15" s="342">
        <v>550</v>
      </c>
      <c r="G15" s="342">
        <v>500</v>
      </c>
      <c r="H15" s="342">
        <v>50</v>
      </c>
      <c r="I15" s="89"/>
      <c r="J15" s="205" t="s">
        <v>846</v>
      </c>
    </row>
    <row r="16" spans="1:32" x14ac:dyDescent="0.3">
      <c r="B16" s="160" t="s">
        <v>851</v>
      </c>
      <c r="C16" s="161">
        <v>65</v>
      </c>
      <c r="D16" s="161" t="s">
        <v>848</v>
      </c>
      <c r="E16" s="342">
        <v>720</v>
      </c>
      <c r="F16" s="342">
        <v>720</v>
      </c>
      <c r="G16" s="342">
        <v>670</v>
      </c>
      <c r="H16" s="342">
        <v>50</v>
      </c>
      <c r="I16" s="89"/>
      <c r="J16" s="205" t="s">
        <v>846</v>
      </c>
    </row>
    <row r="17" spans="2:10" x14ac:dyDescent="0.3">
      <c r="B17" s="160" t="s">
        <v>852</v>
      </c>
      <c r="C17" s="161">
        <v>65</v>
      </c>
      <c r="D17" s="161" t="s">
        <v>848</v>
      </c>
      <c r="E17" s="342">
        <v>720</v>
      </c>
      <c r="F17" s="342">
        <v>720</v>
      </c>
      <c r="G17" s="342">
        <v>670</v>
      </c>
      <c r="H17" s="342">
        <v>50</v>
      </c>
      <c r="I17" s="89"/>
      <c r="J17" s="205" t="s">
        <v>846</v>
      </c>
    </row>
    <row r="18" spans="2:10" x14ac:dyDescent="0.3">
      <c r="B18" s="160" t="s">
        <v>853</v>
      </c>
      <c r="C18" s="161"/>
      <c r="D18" s="161" t="s">
        <v>854</v>
      </c>
      <c r="E18" s="342">
        <v>550</v>
      </c>
      <c r="F18" s="342">
        <v>550</v>
      </c>
      <c r="G18" s="342">
        <v>500</v>
      </c>
      <c r="H18" s="342">
        <v>50</v>
      </c>
      <c r="I18" s="89"/>
      <c r="J18" s="205" t="s">
        <v>846</v>
      </c>
    </row>
    <row r="19" spans="2:10" x14ac:dyDescent="0.3">
      <c r="B19" s="165" t="s">
        <v>855</v>
      </c>
      <c r="C19" s="161">
        <v>65</v>
      </c>
      <c r="D19" s="161" t="s">
        <v>856</v>
      </c>
      <c r="E19" s="342">
        <v>550</v>
      </c>
      <c r="F19" s="342">
        <v>550</v>
      </c>
      <c r="G19" s="342">
        <v>500</v>
      </c>
      <c r="H19" s="342">
        <v>50</v>
      </c>
      <c r="I19" s="89"/>
      <c r="J19" s="205" t="s">
        <v>846</v>
      </c>
    </row>
    <row r="20" spans="2:10" x14ac:dyDescent="0.3">
      <c r="B20" s="165" t="s">
        <v>857</v>
      </c>
      <c r="C20" s="161">
        <v>20</v>
      </c>
      <c r="D20" s="161" t="s">
        <v>215</v>
      </c>
      <c r="E20" s="342">
        <v>550</v>
      </c>
      <c r="F20" s="342">
        <v>550</v>
      </c>
      <c r="G20" s="342">
        <v>500</v>
      </c>
      <c r="H20" s="342">
        <v>50</v>
      </c>
      <c r="I20" s="89"/>
      <c r="J20" s="205" t="s">
        <v>846</v>
      </c>
    </row>
    <row r="21" spans="2:10" ht="27.6" x14ac:dyDescent="0.3">
      <c r="B21" s="160" t="s">
        <v>858</v>
      </c>
      <c r="C21" s="161"/>
      <c r="D21" s="159" t="s">
        <v>845</v>
      </c>
      <c r="E21" s="342">
        <v>550</v>
      </c>
      <c r="F21" s="342">
        <v>550</v>
      </c>
      <c r="G21" s="342">
        <v>500</v>
      </c>
      <c r="H21" s="342">
        <v>50</v>
      </c>
      <c r="I21" s="89"/>
      <c r="J21" s="205" t="s">
        <v>846</v>
      </c>
    </row>
    <row r="22" spans="2:10" ht="15" customHeight="1" x14ac:dyDescent="0.3">
      <c r="B22" s="165" t="s">
        <v>859</v>
      </c>
      <c r="C22" s="161">
        <v>65</v>
      </c>
      <c r="D22" s="161" t="s">
        <v>848</v>
      </c>
      <c r="E22" s="342">
        <v>550</v>
      </c>
      <c r="F22" s="342">
        <v>550</v>
      </c>
      <c r="G22" s="342">
        <v>500</v>
      </c>
      <c r="H22" s="342">
        <v>50</v>
      </c>
      <c r="I22" s="89"/>
      <c r="J22" s="205" t="s">
        <v>846</v>
      </c>
    </row>
    <row r="23" spans="2:10" ht="15" customHeight="1" x14ac:dyDescent="0.3">
      <c r="B23" s="165" t="s">
        <v>860</v>
      </c>
      <c r="C23" s="161">
        <v>20</v>
      </c>
      <c r="D23" s="161" t="s">
        <v>215</v>
      </c>
      <c r="E23" s="342">
        <v>550</v>
      </c>
      <c r="F23" s="342">
        <v>550</v>
      </c>
      <c r="G23" s="342">
        <v>500</v>
      </c>
      <c r="H23" s="342">
        <v>50</v>
      </c>
      <c r="I23" s="89"/>
      <c r="J23" s="205" t="s">
        <v>846</v>
      </c>
    </row>
    <row r="24" spans="2:10" x14ac:dyDescent="0.3">
      <c r="B24" s="160" t="s">
        <v>861</v>
      </c>
      <c r="C24" s="161">
        <v>20</v>
      </c>
      <c r="D24" s="161" t="s">
        <v>215</v>
      </c>
      <c r="E24" s="342">
        <v>550</v>
      </c>
      <c r="F24" s="342">
        <v>550</v>
      </c>
      <c r="G24" s="342">
        <v>500</v>
      </c>
      <c r="H24" s="342">
        <v>50</v>
      </c>
      <c r="I24" s="89"/>
      <c r="J24" s="205" t="s">
        <v>846</v>
      </c>
    </row>
    <row r="25" spans="2:10" ht="27.6" x14ac:dyDescent="0.3">
      <c r="B25" s="160" t="s">
        <v>862</v>
      </c>
      <c r="C25" s="161">
        <v>20</v>
      </c>
      <c r="D25" s="161" t="s">
        <v>215</v>
      </c>
      <c r="E25" s="342">
        <v>550</v>
      </c>
      <c r="F25" s="342">
        <v>550</v>
      </c>
      <c r="G25" s="342">
        <v>500</v>
      </c>
      <c r="H25" s="342">
        <v>50</v>
      </c>
      <c r="I25" s="89"/>
      <c r="J25" s="205" t="s">
        <v>846</v>
      </c>
    </row>
    <row r="26" spans="2:10" x14ac:dyDescent="0.3">
      <c r="B26" s="160" t="s">
        <v>863</v>
      </c>
      <c r="C26" s="161">
        <v>20</v>
      </c>
      <c r="D26" s="161" t="s">
        <v>215</v>
      </c>
      <c r="E26" s="342">
        <v>550</v>
      </c>
      <c r="F26" s="342">
        <v>550</v>
      </c>
      <c r="G26" s="342">
        <v>500</v>
      </c>
      <c r="H26" s="342">
        <v>50</v>
      </c>
      <c r="I26" s="89"/>
      <c r="J26" s="205" t="s">
        <v>846</v>
      </c>
    </row>
    <row r="27" spans="2:10" x14ac:dyDescent="0.3">
      <c r="B27" s="160" t="s">
        <v>864</v>
      </c>
      <c r="C27" s="531">
        <v>65</v>
      </c>
      <c r="D27" s="531" t="s">
        <v>215</v>
      </c>
      <c r="E27" s="342">
        <v>550</v>
      </c>
      <c r="F27" s="342">
        <v>550</v>
      </c>
      <c r="G27" s="342">
        <v>500</v>
      </c>
      <c r="H27" s="342">
        <v>50</v>
      </c>
      <c r="I27" s="204"/>
      <c r="J27" s="205"/>
    </row>
    <row r="28" spans="2:10" x14ac:dyDescent="0.3">
      <c r="B28" s="160" t="s">
        <v>1405</v>
      </c>
      <c r="C28" s="161"/>
      <c r="D28" s="161" t="s">
        <v>877</v>
      </c>
      <c r="E28" s="342">
        <v>550</v>
      </c>
      <c r="F28" s="342">
        <v>550</v>
      </c>
      <c r="G28" s="342">
        <v>500</v>
      </c>
      <c r="H28" s="342">
        <v>50</v>
      </c>
      <c r="I28" s="89"/>
      <c r="J28" s="205" t="s">
        <v>878</v>
      </c>
    </row>
    <row r="29" spans="2:10" x14ac:dyDescent="0.3">
      <c r="B29" s="163" t="s">
        <v>879</v>
      </c>
      <c r="C29" s="161">
        <v>50</v>
      </c>
      <c r="D29" s="161" t="s">
        <v>877</v>
      </c>
      <c r="E29" s="342">
        <v>550</v>
      </c>
      <c r="F29" s="342">
        <v>550</v>
      </c>
      <c r="G29" s="342">
        <v>500</v>
      </c>
      <c r="H29" s="342">
        <v>50</v>
      </c>
      <c r="I29" s="89"/>
      <c r="J29" s="205" t="s">
        <v>878</v>
      </c>
    </row>
    <row r="30" spans="2:10" x14ac:dyDescent="0.3">
      <c r="B30" s="163" t="s">
        <v>880</v>
      </c>
      <c r="C30" s="161">
        <v>30</v>
      </c>
      <c r="D30" s="161" t="s">
        <v>881</v>
      </c>
      <c r="E30" s="342">
        <v>550</v>
      </c>
      <c r="F30" s="342">
        <v>550</v>
      </c>
      <c r="G30" s="342">
        <v>500</v>
      </c>
      <c r="H30" s="342">
        <v>50</v>
      </c>
      <c r="I30" s="89"/>
      <c r="J30" s="205" t="s">
        <v>878</v>
      </c>
    </row>
    <row r="31" spans="2:10" ht="20.399999999999999" customHeight="1" x14ac:dyDescent="0.3">
      <c r="B31" s="163" t="s">
        <v>882</v>
      </c>
      <c r="C31" s="161">
        <v>20</v>
      </c>
      <c r="D31" s="161" t="s">
        <v>215</v>
      </c>
      <c r="E31" s="342">
        <v>550</v>
      </c>
      <c r="F31" s="342">
        <v>550</v>
      </c>
      <c r="G31" s="342">
        <v>500</v>
      </c>
      <c r="H31" s="342">
        <v>50</v>
      </c>
      <c r="I31" s="89"/>
      <c r="J31" s="205" t="s">
        <v>878</v>
      </c>
    </row>
    <row r="32" spans="2:10" ht="27.6" x14ac:dyDescent="0.3">
      <c r="B32" s="163" t="s">
        <v>883</v>
      </c>
      <c r="C32" s="161">
        <v>30</v>
      </c>
      <c r="D32" s="161" t="s">
        <v>215</v>
      </c>
      <c r="E32" s="342">
        <v>550</v>
      </c>
      <c r="F32" s="342">
        <v>550</v>
      </c>
      <c r="G32" s="342">
        <v>500</v>
      </c>
      <c r="H32" s="342">
        <v>50</v>
      </c>
      <c r="I32" s="89"/>
      <c r="J32" s="205" t="s">
        <v>878</v>
      </c>
    </row>
    <row r="33" spans="2:10" ht="27.6" x14ac:dyDescent="0.3">
      <c r="B33" s="163" t="s">
        <v>884</v>
      </c>
      <c r="C33" s="161">
        <v>15</v>
      </c>
      <c r="D33" s="161" t="s">
        <v>215</v>
      </c>
      <c r="E33" s="342">
        <v>550</v>
      </c>
      <c r="F33" s="342">
        <v>550</v>
      </c>
      <c r="G33" s="342">
        <v>500</v>
      </c>
      <c r="H33" s="342">
        <v>50</v>
      </c>
      <c r="I33" s="89"/>
      <c r="J33" s="205" t="s">
        <v>878</v>
      </c>
    </row>
    <row r="34" spans="2:10" x14ac:dyDescent="0.3">
      <c r="B34" s="160" t="s">
        <v>1402</v>
      </c>
      <c r="C34" s="161">
        <v>50</v>
      </c>
      <c r="D34" s="161" t="s">
        <v>215</v>
      </c>
      <c r="E34" s="342">
        <v>550</v>
      </c>
      <c r="F34" s="342">
        <v>550</v>
      </c>
      <c r="G34" s="342">
        <v>500</v>
      </c>
      <c r="H34" s="342">
        <v>50</v>
      </c>
      <c r="I34" s="89"/>
      <c r="J34" s="205" t="s">
        <v>878</v>
      </c>
    </row>
    <row r="35" spans="2:10" ht="7.2" customHeight="1" x14ac:dyDescent="0.3">
      <c r="B35" s="159"/>
      <c r="C35" s="159"/>
      <c r="D35" s="159"/>
      <c r="E35" s="342"/>
      <c r="F35" s="342"/>
      <c r="G35" s="342"/>
      <c r="H35" s="342"/>
      <c r="I35" s="89"/>
      <c r="J35" s="204"/>
    </row>
    <row r="36" spans="2:10" ht="15" customHeight="1" x14ac:dyDescent="0.3">
      <c r="B36" s="173" t="s">
        <v>865</v>
      </c>
      <c r="C36" s="173"/>
      <c r="D36" s="173"/>
      <c r="E36" s="918"/>
      <c r="F36" s="918"/>
      <c r="G36" s="918"/>
      <c r="H36" s="918"/>
      <c r="I36" s="174"/>
      <c r="J36" s="174"/>
    </row>
    <row r="37" spans="2:10" ht="27.6" x14ac:dyDescent="0.3">
      <c r="B37" s="160" t="s">
        <v>866</v>
      </c>
      <c r="C37" s="531"/>
      <c r="D37" s="531" t="s">
        <v>867</v>
      </c>
      <c r="E37" s="525">
        <v>550</v>
      </c>
      <c r="F37" s="342">
        <v>550</v>
      </c>
      <c r="G37" s="342">
        <v>500</v>
      </c>
      <c r="H37" s="342">
        <v>50</v>
      </c>
      <c r="I37" s="204"/>
      <c r="J37" s="205" t="s">
        <v>868</v>
      </c>
    </row>
    <row r="38" spans="2:10" x14ac:dyDescent="0.3">
      <c r="B38" s="165" t="s">
        <v>251</v>
      </c>
      <c r="C38" s="161">
        <v>65</v>
      </c>
      <c r="D38" s="161" t="s">
        <v>869</v>
      </c>
      <c r="E38" s="342">
        <v>550</v>
      </c>
      <c r="F38" s="342">
        <v>550</v>
      </c>
      <c r="G38" s="342">
        <v>500</v>
      </c>
      <c r="H38" s="342">
        <v>50</v>
      </c>
      <c r="I38" s="89"/>
      <c r="J38" s="205" t="s">
        <v>868</v>
      </c>
    </row>
    <row r="39" spans="2:10" x14ac:dyDescent="0.3">
      <c r="B39" s="165" t="s">
        <v>870</v>
      </c>
      <c r="C39" s="161">
        <v>45</v>
      </c>
      <c r="D39" s="161" t="s">
        <v>270</v>
      </c>
      <c r="E39" s="342">
        <v>550</v>
      </c>
      <c r="F39" s="342">
        <v>550</v>
      </c>
      <c r="G39" s="342">
        <v>500</v>
      </c>
      <c r="H39" s="342">
        <v>50</v>
      </c>
      <c r="I39" s="89"/>
      <c r="J39" s="205" t="s">
        <v>868</v>
      </c>
    </row>
    <row r="40" spans="2:10" ht="15" customHeight="1" x14ac:dyDescent="0.3">
      <c r="B40" s="165" t="s">
        <v>871</v>
      </c>
      <c r="C40" s="161">
        <v>75</v>
      </c>
      <c r="D40" s="161" t="s">
        <v>215</v>
      </c>
      <c r="E40" s="342">
        <v>550</v>
      </c>
      <c r="F40" s="342">
        <v>500</v>
      </c>
      <c r="G40" s="342">
        <v>500</v>
      </c>
      <c r="H40" s="342">
        <v>50</v>
      </c>
      <c r="I40" s="89"/>
      <c r="J40" s="205" t="s">
        <v>868</v>
      </c>
    </row>
    <row r="41" spans="2:10" x14ac:dyDescent="0.3">
      <c r="B41" s="165" t="s">
        <v>254</v>
      </c>
      <c r="C41" s="161">
        <v>65</v>
      </c>
      <c r="D41" s="161" t="s">
        <v>869</v>
      </c>
      <c r="E41" s="342">
        <v>550</v>
      </c>
      <c r="F41" s="342">
        <v>550</v>
      </c>
      <c r="G41" s="342">
        <v>500</v>
      </c>
      <c r="H41" s="342">
        <v>50</v>
      </c>
      <c r="I41" s="89"/>
      <c r="J41" s="205" t="s">
        <v>868</v>
      </c>
    </row>
    <row r="42" spans="2:10" ht="15" customHeight="1" x14ac:dyDescent="0.3">
      <c r="B42" s="160" t="s">
        <v>872</v>
      </c>
      <c r="C42" s="161">
        <v>65</v>
      </c>
      <c r="D42" s="161" t="s">
        <v>270</v>
      </c>
      <c r="E42" s="342">
        <v>600</v>
      </c>
      <c r="F42" s="342">
        <v>600</v>
      </c>
      <c r="G42" s="342">
        <v>550</v>
      </c>
      <c r="H42" s="342">
        <v>50</v>
      </c>
      <c r="I42" s="89"/>
      <c r="J42" s="205" t="s">
        <v>868</v>
      </c>
    </row>
    <row r="43" spans="2:10" x14ac:dyDescent="0.3">
      <c r="B43" s="160" t="s">
        <v>873</v>
      </c>
      <c r="C43" s="161">
        <v>65</v>
      </c>
      <c r="D43" s="172" t="s">
        <v>270</v>
      </c>
      <c r="E43" s="342">
        <v>720</v>
      </c>
      <c r="F43" s="342">
        <v>720</v>
      </c>
      <c r="G43" s="342">
        <v>670</v>
      </c>
      <c r="H43" s="342">
        <v>50</v>
      </c>
      <c r="I43" s="89"/>
      <c r="J43" s="205" t="s">
        <v>868</v>
      </c>
    </row>
    <row r="44" spans="2:10" ht="13.95" customHeight="1" x14ac:dyDescent="0.3">
      <c r="B44" s="160" t="s">
        <v>874</v>
      </c>
      <c r="C44" s="159"/>
      <c r="D44" s="159" t="s">
        <v>875</v>
      </c>
      <c r="E44" s="342"/>
      <c r="F44" s="342"/>
      <c r="G44" s="342"/>
      <c r="H44" s="342"/>
      <c r="I44" s="89"/>
      <c r="J44" s="204"/>
    </row>
    <row r="45" spans="2:10" x14ac:dyDescent="0.3">
      <c r="B45" s="173" t="s">
        <v>876</v>
      </c>
      <c r="C45" s="173"/>
      <c r="D45" s="173"/>
      <c r="E45" s="918">
        <v>550</v>
      </c>
      <c r="F45" s="918">
        <v>550</v>
      </c>
      <c r="G45" s="918">
        <v>500</v>
      </c>
      <c r="H45" s="918">
        <v>50</v>
      </c>
      <c r="I45" s="174"/>
      <c r="J45" s="174"/>
    </row>
    <row r="46" spans="2:10" x14ac:dyDescent="0.3">
      <c r="B46" s="160" t="s">
        <v>1467</v>
      </c>
      <c r="C46" s="161">
        <v>20</v>
      </c>
      <c r="D46" s="161" t="s">
        <v>270</v>
      </c>
      <c r="E46" s="342">
        <v>550</v>
      </c>
      <c r="F46" s="342">
        <v>550</v>
      </c>
      <c r="G46" s="342">
        <v>500</v>
      </c>
      <c r="H46" s="342">
        <v>50</v>
      </c>
      <c r="I46" s="89"/>
      <c r="J46" s="205" t="s">
        <v>878</v>
      </c>
    </row>
    <row r="47" spans="2:10" ht="7.2" customHeight="1" x14ac:dyDescent="0.3">
      <c r="B47" s="159"/>
      <c r="C47" s="159"/>
      <c r="D47" s="159"/>
      <c r="E47" s="342"/>
      <c r="F47" s="342"/>
      <c r="G47" s="342"/>
      <c r="H47" s="342"/>
      <c r="I47" s="89"/>
      <c r="J47" s="204"/>
    </row>
    <row r="48" spans="2:10" x14ac:dyDescent="0.3">
      <c r="B48" s="173" t="s">
        <v>885</v>
      </c>
      <c r="C48" s="173"/>
      <c r="D48" s="173"/>
      <c r="E48" s="918">
        <v>550</v>
      </c>
      <c r="F48" s="918">
        <v>550</v>
      </c>
      <c r="G48" s="918">
        <v>500</v>
      </c>
      <c r="H48" s="918">
        <v>50</v>
      </c>
      <c r="I48" s="174"/>
      <c r="J48" s="174"/>
    </row>
    <row r="49" spans="1:10" ht="27.6" x14ac:dyDescent="0.3">
      <c r="B49" s="160" t="s">
        <v>886</v>
      </c>
      <c r="C49" s="161">
        <v>50</v>
      </c>
      <c r="D49" s="161" t="s">
        <v>215</v>
      </c>
      <c r="E49" s="342">
        <v>550</v>
      </c>
      <c r="F49" s="342">
        <v>550</v>
      </c>
      <c r="G49" s="342">
        <v>500</v>
      </c>
      <c r="H49" s="342">
        <v>50</v>
      </c>
      <c r="I49" s="89"/>
      <c r="J49" s="205" t="s">
        <v>887</v>
      </c>
    </row>
    <row r="50" spans="1:10" ht="27.6" x14ac:dyDescent="0.3">
      <c r="B50" s="160" t="s">
        <v>888</v>
      </c>
      <c r="C50" s="161">
        <v>180</v>
      </c>
      <c r="D50" s="161" t="s">
        <v>476</v>
      </c>
      <c r="E50" s="342">
        <v>550</v>
      </c>
      <c r="F50" s="342">
        <v>550</v>
      </c>
      <c r="G50" s="342">
        <v>500</v>
      </c>
      <c r="H50" s="342">
        <v>50</v>
      </c>
      <c r="I50" s="89"/>
      <c r="J50" s="205" t="s">
        <v>887</v>
      </c>
    </row>
    <row r="51" spans="1:10" ht="27.6" x14ac:dyDescent="0.3">
      <c r="B51" s="160" t="s">
        <v>889</v>
      </c>
      <c r="C51" s="161">
        <v>250</v>
      </c>
      <c r="D51" s="161" t="s">
        <v>476</v>
      </c>
      <c r="E51" s="342">
        <v>550</v>
      </c>
      <c r="F51" s="342">
        <v>550</v>
      </c>
      <c r="G51" s="342">
        <v>500</v>
      </c>
      <c r="H51" s="342">
        <v>50</v>
      </c>
      <c r="I51" s="89"/>
      <c r="J51" s="205" t="s">
        <v>887</v>
      </c>
    </row>
    <row r="52" spans="1:10" x14ac:dyDescent="0.3">
      <c r="B52" s="160" t="s">
        <v>890</v>
      </c>
      <c r="C52" s="161"/>
      <c r="D52" s="161"/>
      <c r="E52" s="342"/>
      <c r="F52" s="342"/>
      <c r="G52" s="342"/>
      <c r="H52" s="342"/>
      <c r="I52" s="89"/>
      <c r="J52" s="205" t="s">
        <v>887</v>
      </c>
    </row>
    <row r="53" spans="1:10" ht="41.4" x14ac:dyDescent="0.3">
      <c r="B53" s="179" t="s">
        <v>891</v>
      </c>
      <c r="C53" s="161">
        <v>400</v>
      </c>
      <c r="D53" s="161" t="s">
        <v>892</v>
      </c>
      <c r="E53" s="342">
        <v>550</v>
      </c>
      <c r="F53" s="342">
        <v>550</v>
      </c>
      <c r="G53" s="342">
        <v>500</v>
      </c>
      <c r="H53" s="342">
        <v>50</v>
      </c>
      <c r="I53" s="89"/>
      <c r="J53" s="205" t="s">
        <v>887</v>
      </c>
    </row>
    <row r="54" spans="1:10" ht="41.4" customHeight="1" x14ac:dyDescent="0.3">
      <c r="B54" s="293" t="s">
        <v>893</v>
      </c>
      <c r="C54" s="161">
        <v>500</v>
      </c>
      <c r="D54" s="161" t="s">
        <v>892</v>
      </c>
      <c r="E54" s="342">
        <v>550</v>
      </c>
      <c r="F54" s="342">
        <v>550</v>
      </c>
      <c r="G54" s="342">
        <v>500</v>
      </c>
      <c r="H54" s="342">
        <v>50</v>
      </c>
      <c r="I54" s="181"/>
      <c r="J54" s="205" t="s">
        <v>887</v>
      </c>
    </row>
    <row r="55" spans="1:10" ht="41.4" x14ac:dyDescent="0.3">
      <c r="A55" s="171"/>
      <c r="B55" s="179" t="s">
        <v>894</v>
      </c>
      <c r="C55" s="164">
        <v>650</v>
      </c>
      <c r="D55" s="161" t="s">
        <v>892</v>
      </c>
      <c r="E55" s="342">
        <v>550</v>
      </c>
      <c r="F55" s="342">
        <v>550</v>
      </c>
      <c r="G55" s="342">
        <v>500</v>
      </c>
      <c r="H55" s="342">
        <v>50</v>
      </c>
      <c r="I55" s="89"/>
      <c r="J55" s="205" t="s">
        <v>887</v>
      </c>
    </row>
    <row r="56" spans="1:10" ht="27.6" x14ac:dyDescent="0.3">
      <c r="B56" s="179" t="s">
        <v>895</v>
      </c>
      <c r="C56" s="161">
        <v>750</v>
      </c>
      <c r="D56" s="161" t="s">
        <v>892</v>
      </c>
      <c r="E56" s="342">
        <v>550</v>
      </c>
      <c r="F56" s="342">
        <v>550</v>
      </c>
      <c r="G56" s="342">
        <v>500</v>
      </c>
      <c r="H56" s="342">
        <v>50</v>
      </c>
      <c r="I56" s="89"/>
      <c r="J56" s="205" t="s">
        <v>887</v>
      </c>
    </row>
    <row r="57" spans="1:10" ht="55.2" x14ac:dyDescent="0.3">
      <c r="B57" s="179" t="s">
        <v>896</v>
      </c>
      <c r="C57" s="161">
        <v>900</v>
      </c>
      <c r="D57" s="161" t="s">
        <v>892</v>
      </c>
      <c r="E57" s="342">
        <v>550</v>
      </c>
      <c r="F57" s="342">
        <v>550</v>
      </c>
      <c r="G57" s="342">
        <v>500</v>
      </c>
      <c r="H57" s="342">
        <v>50</v>
      </c>
      <c r="I57" s="89"/>
      <c r="J57" s="205" t="s">
        <v>887</v>
      </c>
    </row>
    <row r="58" spans="1:10" ht="55.2" customHeight="1" x14ac:dyDescent="0.3">
      <c r="B58" s="293" t="s">
        <v>897</v>
      </c>
      <c r="C58" s="161">
        <v>1000</v>
      </c>
      <c r="D58" s="161" t="s">
        <v>892</v>
      </c>
      <c r="E58" s="342">
        <v>550</v>
      </c>
      <c r="F58" s="342">
        <v>550</v>
      </c>
      <c r="G58" s="342">
        <v>500</v>
      </c>
      <c r="H58" s="342">
        <v>50</v>
      </c>
      <c r="I58" s="181"/>
      <c r="J58" s="205" t="s">
        <v>887</v>
      </c>
    </row>
    <row r="59" spans="1:10" ht="27.6" x14ac:dyDescent="0.3">
      <c r="B59" s="160" t="s">
        <v>898</v>
      </c>
      <c r="C59" s="21"/>
      <c r="D59" s="21"/>
      <c r="E59" s="342"/>
      <c r="F59" s="342"/>
      <c r="G59" s="342"/>
      <c r="H59" s="342"/>
      <c r="I59" s="89"/>
      <c r="J59" s="205" t="s">
        <v>887</v>
      </c>
    </row>
    <row r="60" spans="1:10" ht="27.6" x14ac:dyDescent="0.3">
      <c r="B60" s="165" t="s">
        <v>899</v>
      </c>
      <c r="C60" s="161">
        <v>50</v>
      </c>
      <c r="D60" s="161" t="s">
        <v>900</v>
      </c>
      <c r="E60" s="342">
        <v>550</v>
      </c>
      <c r="F60" s="342">
        <v>550</v>
      </c>
      <c r="G60" s="342">
        <v>500</v>
      </c>
      <c r="H60" s="342">
        <v>50</v>
      </c>
      <c r="I60" s="89"/>
      <c r="J60" s="205" t="s">
        <v>887</v>
      </c>
    </row>
    <row r="61" spans="1:10" ht="41.4" x14ac:dyDescent="0.3">
      <c r="B61" s="165" t="s">
        <v>901</v>
      </c>
      <c r="C61" s="161">
        <v>50</v>
      </c>
      <c r="D61" s="159" t="s">
        <v>902</v>
      </c>
      <c r="E61" s="342">
        <v>550</v>
      </c>
      <c r="F61" s="342">
        <v>550</v>
      </c>
      <c r="G61" s="342">
        <v>500</v>
      </c>
      <c r="H61" s="342">
        <v>50</v>
      </c>
      <c r="I61" s="89"/>
      <c r="J61" s="205" t="s">
        <v>887</v>
      </c>
    </row>
    <row r="62" spans="1:10" ht="7.2" customHeight="1" x14ac:dyDescent="0.3">
      <c r="B62" s="165"/>
      <c r="C62" s="161"/>
      <c r="D62" s="159"/>
      <c r="E62" s="342"/>
      <c r="F62" s="342"/>
      <c r="G62" s="342"/>
      <c r="H62" s="342"/>
      <c r="I62" s="89"/>
      <c r="J62" s="204"/>
    </row>
    <row r="63" spans="1:10" x14ac:dyDescent="0.3">
      <c r="B63" s="173" t="s">
        <v>903</v>
      </c>
      <c r="C63" s="173"/>
      <c r="D63" s="173" t="s">
        <v>904</v>
      </c>
      <c r="E63" s="918">
        <v>550</v>
      </c>
      <c r="F63" s="918">
        <v>550</v>
      </c>
      <c r="G63" s="918">
        <v>500</v>
      </c>
      <c r="H63" s="918">
        <v>50</v>
      </c>
      <c r="I63" s="174"/>
      <c r="J63" s="174"/>
    </row>
    <row r="64" spans="1:10" x14ac:dyDescent="0.3">
      <c r="B64" s="160" t="s">
        <v>905</v>
      </c>
      <c r="C64" s="161">
        <v>50</v>
      </c>
      <c r="D64" s="161" t="s">
        <v>215</v>
      </c>
      <c r="E64" s="342">
        <v>550</v>
      </c>
      <c r="F64" s="342">
        <v>550</v>
      </c>
      <c r="G64" s="342">
        <v>500</v>
      </c>
      <c r="H64" s="342">
        <v>50</v>
      </c>
      <c r="I64" s="89"/>
      <c r="J64" s="205" t="s">
        <v>906</v>
      </c>
    </row>
    <row r="65" spans="2:11" x14ac:dyDescent="0.3">
      <c r="B65" s="160" t="s">
        <v>907</v>
      </c>
      <c r="C65" s="161">
        <v>35</v>
      </c>
      <c r="D65" s="161" t="s">
        <v>908</v>
      </c>
      <c r="E65" s="342">
        <v>550</v>
      </c>
      <c r="F65" s="342">
        <v>550</v>
      </c>
      <c r="G65" s="342">
        <v>500</v>
      </c>
      <c r="H65" s="342">
        <v>50</v>
      </c>
      <c r="I65" s="89"/>
      <c r="J65" s="205" t="s">
        <v>906</v>
      </c>
    </row>
    <row r="66" spans="2:11" x14ac:dyDescent="0.3">
      <c r="B66" s="160" t="s">
        <v>909</v>
      </c>
      <c r="C66" s="161">
        <v>50</v>
      </c>
      <c r="D66" s="161" t="s">
        <v>215</v>
      </c>
      <c r="E66" s="342">
        <v>550</v>
      </c>
      <c r="F66" s="342">
        <v>550</v>
      </c>
      <c r="G66" s="342">
        <v>500</v>
      </c>
      <c r="H66" s="342">
        <v>50</v>
      </c>
      <c r="I66" s="89"/>
      <c r="J66" s="205" t="s">
        <v>906</v>
      </c>
    </row>
    <row r="67" spans="2:11" ht="7.2" customHeight="1" x14ac:dyDescent="0.3">
      <c r="B67" s="165"/>
      <c r="C67" s="161"/>
      <c r="D67" s="159"/>
      <c r="E67" s="342"/>
      <c r="F67" s="342"/>
      <c r="G67" s="342"/>
      <c r="H67" s="342"/>
      <c r="I67" s="89"/>
      <c r="J67" s="204"/>
    </row>
    <row r="68" spans="2:11" x14ac:dyDescent="0.3">
      <c r="B68" s="173" t="s">
        <v>910</v>
      </c>
      <c r="C68" s="173"/>
      <c r="D68" s="173"/>
      <c r="E68" s="918">
        <v>550</v>
      </c>
      <c r="F68" s="918">
        <v>550</v>
      </c>
      <c r="G68" s="918">
        <v>500</v>
      </c>
      <c r="H68" s="918">
        <v>50</v>
      </c>
      <c r="I68" s="174"/>
      <c r="J68" s="174"/>
    </row>
    <row r="69" spans="2:11" x14ac:dyDescent="0.3">
      <c r="B69" s="160" t="s">
        <v>911</v>
      </c>
      <c r="C69" s="161">
        <v>65</v>
      </c>
      <c r="D69" s="161" t="s">
        <v>912</v>
      </c>
      <c r="E69" s="342">
        <v>550</v>
      </c>
      <c r="F69" s="342">
        <v>550</v>
      </c>
      <c r="G69" s="342">
        <v>500</v>
      </c>
      <c r="H69" s="342">
        <v>50</v>
      </c>
      <c r="I69" s="89"/>
      <c r="J69" s="205" t="s">
        <v>906</v>
      </c>
    </row>
    <row r="70" spans="2:11" s="168" customFormat="1" x14ac:dyDescent="0.3">
      <c r="B70" s="173" t="s">
        <v>267</v>
      </c>
      <c r="C70" s="173"/>
      <c r="D70" s="173"/>
      <c r="E70" s="918">
        <v>550</v>
      </c>
      <c r="F70" s="918">
        <v>550</v>
      </c>
      <c r="G70" s="918">
        <v>500</v>
      </c>
      <c r="H70" s="918">
        <v>50</v>
      </c>
      <c r="I70" s="174"/>
      <c r="J70" s="174"/>
      <c r="K70" s="174"/>
    </row>
    <row r="71" spans="2:11" s="168" customFormat="1" x14ac:dyDescent="0.3">
      <c r="B71" s="160" t="s">
        <v>913</v>
      </c>
      <c r="C71" s="531">
        <v>90</v>
      </c>
      <c r="D71" s="531" t="s">
        <v>914</v>
      </c>
      <c r="E71" s="342">
        <v>550</v>
      </c>
      <c r="F71" s="342">
        <v>550</v>
      </c>
      <c r="G71" s="342">
        <v>500</v>
      </c>
      <c r="H71" s="342">
        <v>50</v>
      </c>
      <c r="I71" s="204"/>
    </row>
    <row r="72" spans="2:11" s="168" customFormat="1" x14ac:dyDescent="0.3">
      <c r="B72" s="166"/>
      <c r="C72" s="167"/>
      <c r="D72" s="167"/>
    </row>
    <row r="73" spans="2:11" s="168" customFormat="1" x14ac:dyDescent="0.3">
      <c r="B73" s="166"/>
      <c r="C73" s="167"/>
      <c r="D73" s="167"/>
    </row>
    <row r="74" spans="2:11" s="168" customFormat="1" x14ac:dyDescent="0.3">
      <c r="B74" s="166"/>
      <c r="C74" s="167"/>
      <c r="D74" s="167"/>
    </row>
    <row r="75" spans="2:11" s="168" customFormat="1" x14ac:dyDescent="0.3">
      <c r="B75" s="166"/>
      <c r="C75" s="167"/>
      <c r="D75" s="167"/>
    </row>
    <row r="76" spans="2:11" s="168" customFormat="1" x14ac:dyDescent="0.3">
      <c r="B76" s="166"/>
      <c r="C76" s="167"/>
      <c r="D76" s="167"/>
    </row>
    <row r="77" spans="2:11" s="168" customFormat="1" x14ac:dyDescent="0.3">
      <c r="B77" s="166"/>
      <c r="C77" s="167"/>
      <c r="D77" s="167"/>
    </row>
    <row r="78" spans="2:11" s="168" customFormat="1" x14ac:dyDescent="0.3">
      <c r="B78" s="166"/>
      <c r="C78" s="167"/>
      <c r="D78" s="167"/>
    </row>
    <row r="79" spans="2:11" s="168" customFormat="1" x14ac:dyDescent="0.3">
      <c r="B79" s="166"/>
      <c r="C79" s="167"/>
      <c r="D79" s="167"/>
    </row>
    <row r="80" spans="2:11" s="168" customFormat="1" x14ac:dyDescent="0.3">
      <c r="B80" s="166"/>
      <c r="C80" s="167"/>
      <c r="D80" s="167"/>
    </row>
    <row r="81" spans="2:4" s="168" customFormat="1" x14ac:dyDescent="0.3">
      <c r="B81" s="166"/>
      <c r="C81" s="167"/>
      <c r="D81" s="167"/>
    </row>
    <row r="82" spans="2:4" s="168" customFormat="1" x14ac:dyDescent="0.3">
      <c r="B82" s="166"/>
      <c r="C82" s="167"/>
      <c r="D82" s="167"/>
    </row>
    <row r="83" spans="2:4" s="168" customFormat="1" x14ac:dyDescent="0.3">
      <c r="B83" s="166"/>
      <c r="C83" s="167"/>
      <c r="D83" s="167"/>
    </row>
    <row r="84" spans="2:4" s="168" customFormat="1" x14ac:dyDescent="0.3">
      <c r="B84" s="166"/>
      <c r="C84" s="167"/>
      <c r="D84" s="167"/>
    </row>
    <row r="85" spans="2:4" s="168" customFormat="1" x14ac:dyDescent="0.3">
      <c r="B85" s="166"/>
      <c r="C85" s="167"/>
      <c r="D85" s="167"/>
    </row>
    <row r="86" spans="2:4" s="168" customFormat="1" x14ac:dyDescent="0.3">
      <c r="B86" s="166"/>
      <c r="C86" s="167"/>
      <c r="D86" s="167"/>
    </row>
    <row r="87" spans="2:4" s="168" customFormat="1" x14ac:dyDescent="0.3">
      <c r="B87" s="166"/>
      <c r="C87" s="167"/>
      <c r="D87" s="167"/>
    </row>
    <row r="88" spans="2:4" s="168" customFormat="1" x14ac:dyDescent="0.3">
      <c r="B88" s="166"/>
      <c r="C88" s="167"/>
      <c r="D88" s="167"/>
    </row>
    <row r="89" spans="2:4" s="168" customFormat="1" x14ac:dyDescent="0.3">
      <c r="B89" s="166"/>
      <c r="C89" s="167"/>
      <c r="D89" s="167"/>
    </row>
    <row r="90" spans="2:4" s="168" customFormat="1" x14ac:dyDescent="0.3">
      <c r="B90" s="166"/>
      <c r="C90" s="167"/>
      <c r="D90" s="167"/>
    </row>
    <row r="91" spans="2:4" s="168" customFormat="1" x14ac:dyDescent="0.3">
      <c r="B91" s="166"/>
      <c r="C91" s="167"/>
      <c r="D91" s="167"/>
    </row>
    <row r="92" spans="2:4" s="168" customFormat="1" x14ac:dyDescent="0.3">
      <c r="B92" s="166"/>
      <c r="C92" s="167"/>
      <c r="D92" s="167"/>
    </row>
    <row r="93" spans="2:4" s="168" customFormat="1" x14ac:dyDescent="0.3">
      <c r="B93" s="166"/>
      <c r="C93" s="167"/>
      <c r="D93" s="167"/>
    </row>
    <row r="94" spans="2:4" s="168" customFormat="1" x14ac:dyDescent="0.3">
      <c r="B94" s="166"/>
      <c r="C94" s="167"/>
      <c r="D94" s="167"/>
    </row>
    <row r="95" spans="2:4" s="168" customFormat="1" x14ac:dyDescent="0.3">
      <c r="B95" s="166"/>
      <c r="C95" s="167"/>
      <c r="D95" s="167"/>
    </row>
    <row r="96" spans="2:4" s="168" customFormat="1" x14ac:dyDescent="0.3">
      <c r="B96" s="166"/>
      <c r="C96" s="167"/>
      <c r="D96" s="167"/>
    </row>
    <row r="97" spans="2:4" s="168" customFormat="1" x14ac:dyDescent="0.3">
      <c r="B97" s="166"/>
      <c r="C97" s="167"/>
      <c r="D97" s="167"/>
    </row>
    <row r="98" spans="2:4" s="168" customFormat="1" x14ac:dyDescent="0.3">
      <c r="B98" s="166"/>
      <c r="C98" s="167"/>
      <c r="D98" s="167"/>
    </row>
    <row r="99" spans="2:4" s="168" customFormat="1" x14ac:dyDescent="0.3">
      <c r="B99" s="166"/>
      <c r="C99" s="167"/>
      <c r="D99" s="167"/>
    </row>
    <row r="100" spans="2:4" s="168" customFormat="1" x14ac:dyDescent="0.3">
      <c r="B100" s="166"/>
      <c r="C100" s="167"/>
      <c r="D100" s="167"/>
    </row>
    <row r="101" spans="2:4" s="168" customFormat="1" x14ac:dyDescent="0.3">
      <c r="B101" s="166"/>
      <c r="C101" s="167"/>
      <c r="D101" s="167"/>
    </row>
    <row r="102" spans="2:4" s="168" customFormat="1" x14ac:dyDescent="0.3">
      <c r="B102" s="166"/>
      <c r="C102" s="167"/>
      <c r="D102" s="167"/>
    </row>
    <row r="103" spans="2:4" s="168" customFormat="1" x14ac:dyDescent="0.3">
      <c r="B103" s="166"/>
      <c r="C103" s="167"/>
      <c r="D103" s="167"/>
    </row>
    <row r="104" spans="2:4" s="168" customFormat="1" x14ac:dyDescent="0.3">
      <c r="B104" s="166"/>
      <c r="C104" s="167"/>
      <c r="D104" s="167"/>
    </row>
    <row r="105" spans="2:4" s="168" customFormat="1" x14ac:dyDescent="0.3">
      <c r="B105" s="166"/>
      <c r="C105" s="167"/>
      <c r="D105" s="167"/>
    </row>
    <row r="106" spans="2:4" s="168" customFormat="1" x14ac:dyDescent="0.3">
      <c r="B106" s="166"/>
      <c r="C106" s="167"/>
      <c r="D106" s="167"/>
    </row>
    <row r="107" spans="2:4" s="168" customFormat="1" x14ac:dyDescent="0.3">
      <c r="B107" s="166"/>
      <c r="C107" s="167"/>
      <c r="D107" s="167"/>
    </row>
    <row r="108" spans="2:4" s="168" customFormat="1" x14ac:dyDescent="0.3">
      <c r="B108" s="166"/>
      <c r="C108" s="167"/>
      <c r="D108" s="167"/>
    </row>
    <row r="109" spans="2:4" s="168" customFormat="1" x14ac:dyDescent="0.3">
      <c r="B109" s="166"/>
      <c r="C109" s="167"/>
      <c r="D109" s="167"/>
    </row>
    <row r="110" spans="2:4" s="168" customFormat="1" x14ac:dyDescent="0.3">
      <c r="B110" s="166"/>
      <c r="C110" s="167"/>
      <c r="D110" s="167"/>
    </row>
    <row r="111" spans="2:4" s="168" customFormat="1" x14ac:dyDescent="0.3">
      <c r="B111" s="166"/>
      <c r="C111" s="167"/>
      <c r="D111" s="167"/>
    </row>
    <row r="112" spans="2:4" s="168" customFormat="1" x14ac:dyDescent="0.3">
      <c r="B112" s="166"/>
      <c r="C112" s="167"/>
      <c r="D112" s="167"/>
    </row>
    <row r="113" spans="2:4" s="168" customFormat="1" x14ac:dyDescent="0.3">
      <c r="B113" s="166"/>
      <c r="C113" s="167"/>
      <c r="D113" s="167"/>
    </row>
    <row r="114" spans="2:4" s="168" customFormat="1" x14ac:dyDescent="0.3">
      <c r="B114" s="166"/>
      <c r="C114" s="167"/>
      <c r="D114" s="167"/>
    </row>
    <row r="115" spans="2:4" s="168" customFormat="1" x14ac:dyDescent="0.3">
      <c r="B115" s="166"/>
      <c r="C115" s="167"/>
      <c r="D115" s="167"/>
    </row>
    <row r="116" spans="2:4" s="168" customFormat="1" x14ac:dyDescent="0.3">
      <c r="B116" s="166"/>
      <c r="C116" s="167"/>
      <c r="D116" s="167"/>
    </row>
    <row r="117" spans="2:4" s="168" customFormat="1" x14ac:dyDescent="0.3">
      <c r="B117" s="166"/>
      <c r="C117" s="167"/>
      <c r="D117" s="167"/>
    </row>
    <row r="118" spans="2:4" s="168" customFormat="1" x14ac:dyDescent="0.3">
      <c r="B118" s="166"/>
      <c r="C118" s="167"/>
      <c r="D118" s="167"/>
    </row>
    <row r="119" spans="2:4" s="168" customFormat="1" x14ac:dyDescent="0.3">
      <c r="B119" s="166"/>
      <c r="C119" s="167"/>
      <c r="D119" s="167"/>
    </row>
    <row r="120" spans="2:4" s="168" customFormat="1" x14ac:dyDescent="0.3">
      <c r="B120" s="166"/>
      <c r="C120" s="167"/>
      <c r="D120" s="167"/>
    </row>
    <row r="121" spans="2:4" s="168" customFormat="1" x14ac:dyDescent="0.3">
      <c r="B121" s="166"/>
      <c r="C121" s="167"/>
      <c r="D121" s="167"/>
    </row>
    <row r="122" spans="2:4" s="168" customFormat="1" x14ac:dyDescent="0.3">
      <c r="B122" s="166"/>
      <c r="C122" s="167"/>
      <c r="D122" s="167"/>
    </row>
    <row r="123" spans="2:4" s="168" customFormat="1" x14ac:dyDescent="0.3">
      <c r="B123" s="166"/>
      <c r="C123" s="167"/>
      <c r="D123" s="167"/>
    </row>
    <row r="124" spans="2:4" s="168" customFormat="1" x14ac:dyDescent="0.3">
      <c r="B124" s="166"/>
      <c r="C124" s="167"/>
      <c r="D124" s="167"/>
    </row>
    <row r="125" spans="2:4" s="168" customFormat="1" x14ac:dyDescent="0.3">
      <c r="B125" s="166"/>
      <c r="C125" s="167"/>
      <c r="D125" s="167"/>
    </row>
    <row r="126" spans="2:4" s="168" customFormat="1" x14ac:dyDescent="0.3">
      <c r="B126" s="166"/>
      <c r="C126" s="167"/>
      <c r="D126" s="167"/>
    </row>
    <row r="127" spans="2:4" s="168" customFormat="1" x14ac:dyDescent="0.3">
      <c r="B127" s="166"/>
      <c r="C127" s="167"/>
      <c r="D127" s="167"/>
    </row>
    <row r="128" spans="2:4" s="168" customFormat="1" x14ac:dyDescent="0.3">
      <c r="B128" s="166"/>
      <c r="C128" s="167"/>
      <c r="D128" s="167"/>
    </row>
    <row r="129" spans="2:4" s="168" customFormat="1" x14ac:dyDescent="0.3">
      <c r="B129" s="166"/>
      <c r="C129" s="167"/>
      <c r="D129" s="167"/>
    </row>
    <row r="130" spans="2:4" s="168" customFormat="1" x14ac:dyDescent="0.3">
      <c r="B130" s="166"/>
      <c r="C130" s="167"/>
      <c r="D130" s="167"/>
    </row>
    <row r="131" spans="2:4" s="168" customFormat="1" x14ac:dyDescent="0.3">
      <c r="B131" s="166"/>
      <c r="C131" s="167"/>
      <c r="D131" s="167"/>
    </row>
    <row r="132" spans="2:4" s="168" customFormat="1" x14ac:dyDescent="0.3">
      <c r="B132" s="166"/>
      <c r="C132" s="167"/>
      <c r="D132" s="167"/>
    </row>
    <row r="133" spans="2:4" s="168" customFormat="1" x14ac:dyDescent="0.3">
      <c r="B133" s="166"/>
      <c r="C133" s="167"/>
      <c r="D133" s="167"/>
    </row>
    <row r="134" spans="2:4" s="168" customFormat="1" x14ac:dyDescent="0.3">
      <c r="B134" s="166"/>
      <c r="C134" s="167"/>
      <c r="D134" s="167"/>
    </row>
    <row r="135" spans="2:4" s="168" customFormat="1" x14ac:dyDescent="0.3">
      <c r="B135" s="166"/>
      <c r="C135" s="167"/>
      <c r="D135" s="167"/>
    </row>
    <row r="136" spans="2:4" s="168" customFormat="1" x14ac:dyDescent="0.3">
      <c r="B136" s="166"/>
      <c r="C136" s="167"/>
      <c r="D136" s="167"/>
    </row>
    <row r="137" spans="2:4" s="168" customFormat="1" x14ac:dyDescent="0.3">
      <c r="B137" s="166"/>
      <c r="C137" s="167"/>
      <c r="D137" s="167"/>
    </row>
    <row r="138" spans="2:4" s="168" customFormat="1" x14ac:dyDescent="0.3">
      <c r="B138" s="166"/>
      <c r="C138" s="167"/>
      <c r="D138" s="167"/>
    </row>
    <row r="139" spans="2:4" s="168" customFormat="1" x14ac:dyDescent="0.3">
      <c r="B139" s="166"/>
      <c r="C139" s="167"/>
      <c r="D139" s="167"/>
    </row>
    <row r="140" spans="2:4" s="168" customFormat="1" x14ac:dyDescent="0.3">
      <c r="B140" s="166"/>
      <c r="C140" s="167"/>
      <c r="D140" s="167"/>
    </row>
    <row r="141" spans="2:4" s="168" customFormat="1" x14ac:dyDescent="0.3">
      <c r="B141" s="166"/>
      <c r="C141" s="167"/>
      <c r="D141" s="167"/>
    </row>
    <row r="142" spans="2:4" s="168" customFormat="1" x14ac:dyDescent="0.3">
      <c r="B142" s="166"/>
      <c r="C142" s="167"/>
      <c r="D142" s="167"/>
    </row>
    <row r="143" spans="2:4" s="168" customFormat="1" x14ac:dyDescent="0.3">
      <c r="B143" s="166"/>
      <c r="C143" s="167"/>
      <c r="D143" s="167"/>
    </row>
    <row r="144" spans="2:4" s="168" customFormat="1" x14ac:dyDescent="0.3">
      <c r="B144" s="166"/>
      <c r="C144" s="167"/>
      <c r="D144" s="167"/>
    </row>
    <row r="145" spans="2:4" s="168" customFormat="1" x14ac:dyDescent="0.3">
      <c r="B145" s="166"/>
      <c r="C145" s="167"/>
      <c r="D145" s="167"/>
    </row>
    <row r="146" spans="2:4" s="168" customFormat="1" x14ac:dyDescent="0.3">
      <c r="B146" s="166"/>
      <c r="C146" s="167"/>
      <c r="D146" s="167"/>
    </row>
    <row r="147" spans="2:4" s="168" customFormat="1" x14ac:dyDescent="0.3">
      <c r="B147" s="166"/>
      <c r="C147" s="167"/>
      <c r="D147" s="167"/>
    </row>
    <row r="148" spans="2:4" s="168" customFormat="1" x14ac:dyDescent="0.3">
      <c r="B148" s="166"/>
      <c r="C148" s="167"/>
      <c r="D148" s="167"/>
    </row>
    <row r="149" spans="2:4" s="168" customFormat="1" x14ac:dyDescent="0.3">
      <c r="B149" s="166"/>
      <c r="C149" s="167"/>
      <c r="D149" s="167"/>
    </row>
    <row r="150" spans="2:4" s="168" customFormat="1" x14ac:dyDescent="0.3">
      <c r="B150" s="166"/>
      <c r="C150" s="167"/>
      <c r="D150" s="167"/>
    </row>
    <row r="151" spans="2:4" s="168" customFormat="1" x14ac:dyDescent="0.3">
      <c r="B151" s="166"/>
      <c r="C151" s="167"/>
      <c r="D151" s="167"/>
    </row>
    <row r="152" spans="2:4" s="168" customFormat="1" x14ac:dyDescent="0.3">
      <c r="B152" s="166"/>
      <c r="C152" s="167"/>
      <c r="D152" s="167"/>
    </row>
    <row r="153" spans="2:4" s="168" customFormat="1" x14ac:dyDescent="0.3">
      <c r="B153" s="166"/>
      <c r="C153" s="167"/>
      <c r="D153" s="167"/>
    </row>
    <row r="154" spans="2:4" s="168" customFormat="1" x14ac:dyDescent="0.3">
      <c r="B154" s="166"/>
      <c r="C154" s="167"/>
      <c r="D154" s="167"/>
    </row>
    <row r="155" spans="2:4" s="168" customFormat="1" x14ac:dyDescent="0.3">
      <c r="B155" s="166"/>
      <c r="C155" s="167"/>
      <c r="D155" s="167"/>
    </row>
    <row r="156" spans="2:4" s="168" customFormat="1" x14ac:dyDescent="0.3">
      <c r="B156" s="166"/>
      <c r="C156" s="167"/>
      <c r="D156" s="167"/>
    </row>
    <row r="157" spans="2:4" s="168" customFormat="1" x14ac:dyDescent="0.3">
      <c r="B157" s="166"/>
      <c r="C157" s="167"/>
      <c r="D157" s="167"/>
    </row>
    <row r="158" spans="2:4" s="168" customFormat="1" x14ac:dyDescent="0.3">
      <c r="B158" s="166"/>
      <c r="C158" s="167"/>
      <c r="D158" s="167"/>
    </row>
    <row r="159" spans="2:4" s="168" customFormat="1" x14ac:dyDescent="0.3">
      <c r="B159" s="166"/>
      <c r="C159" s="167"/>
      <c r="D159" s="167"/>
    </row>
    <row r="160" spans="2:4" s="168" customFormat="1" x14ac:dyDescent="0.3">
      <c r="B160" s="166"/>
      <c r="C160" s="167"/>
      <c r="D160" s="167"/>
    </row>
    <row r="161" spans="2:4" s="168" customFormat="1" x14ac:dyDescent="0.3">
      <c r="B161" s="166"/>
      <c r="C161" s="167"/>
      <c r="D161" s="167"/>
    </row>
    <row r="162" spans="2:4" s="168" customFormat="1" x14ac:dyDescent="0.3">
      <c r="B162" s="166"/>
      <c r="C162" s="167"/>
      <c r="D162" s="167"/>
    </row>
    <row r="163" spans="2:4" s="168" customFormat="1" x14ac:dyDescent="0.3">
      <c r="B163" s="166"/>
      <c r="C163" s="167"/>
      <c r="D163" s="167"/>
    </row>
    <row r="164" spans="2:4" s="168" customFormat="1" x14ac:dyDescent="0.3">
      <c r="B164" s="166"/>
      <c r="C164" s="167"/>
      <c r="D164" s="167"/>
    </row>
    <row r="165" spans="2:4" s="168" customFormat="1" x14ac:dyDescent="0.3">
      <c r="B165" s="166"/>
      <c r="C165" s="167"/>
      <c r="D165" s="167"/>
    </row>
    <row r="166" spans="2:4" s="168" customFormat="1" x14ac:dyDescent="0.3">
      <c r="B166" s="166"/>
      <c r="C166" s="167"/>
      <c r="D166" s="167"/>
    </row>
    <row r="167" spans="2:4" s="168" customFormat="1" x14ac:dyDescent="0.3">
      <c r="B167" s="166"/>
      <c r="C167" s="167"/>
      <c r="D167" s="167"/>
    </row>
    <row r="168" spans="2:4" s="168" customFormat="1" x14ac:dyDescent="0.3">
      <c r="B168" s="166"/>
      <c r="C168" s="167"/>
      <c r="D168" s="167"/>
    </row>
    <row r="169" spans="2:4" s="168" customFormat="1" x14ac:dyDescent="0.3">
      <c r="B169" s="166"/>
      <c r="C169" s="167"/>
      <c r="D169" s="167"/>
    </row>
    <row r="170" spans="2:4" s="168" customFormat="1" x14ac:dyDescent="0.3">
      <c r="B170" s="166"/>
      <c r="C170" s="167"/>
      <c r="D170" s="167"/>
    </row>
    <row r="171" spans="2:4" s="168" customFormat="1" x14ac:dyDescent="0.3">
      <c r="B171" s="166"/>
      <c r="C171" s="167"/>
      <c r="D171" s="167"/>
    </row>
    <row r="172" spans="2:4" s="168" customFormat="1" x14ac:dyDescent="0.3">
      <c r="B172" s="166"/>
      <c r="C172" s="167"/>
      <c r="D172" s="167"/>
    </row>
    <row r="173" spans="2:4" s="168" customFormat="1" x14ac:dyDescent="0.3">
      <c r="B173" s="166"/>
      <c r="C173" s="167"/>
      <c r="D173" s="167"/>
    </row>
    <row r="174" spans="2:4" s="168" customFormat="1" x14ac:dyDescent="0.3">
      <c r="B174" s="166"/>
      <c r="C174" s="167"/>
      <c r="D174" s="167"/>
    </row>
    <row r="175" spans="2:4" s="168" customFormat="1" x14ac:dyDescent="0.3">
      <c r="B175" s="166"/>
      <c r="C175" s="167"/>
      <c r="D175" s="167"/>
    </row>
    <row r="176" spans="2:4" s="168" customFormat="1" x14ac:dyDescent="0.3">
      <c r="B176" s="166"/>
      <c r="C176" s="167"/>
      <c r="D176" s="167"/>
    </row>
    <row r="177" spans="2:4" s="168" customFormat="1" x14ac:dyDescent="0.3">
      <c r="B177" s="166"/>
      <c r="C177" s="167"/>
      <c r="D177" s="167"/>
    </row>
    <row r="178" spans="2:4" s="168" customFormat="1" x14ac:dyDescent="0.3">
      <c r="B178" s="166"/>
      <c r="C178" s="167"/>
      <c r="D178" s="167"/>
    </row>
    <row r="179" spans="2:4" s="168" customFormat="1" x14ac:dyDescent="0.3">
      <c r="B179" s="166"/>
      <c r="C179" s="167"/>
      <c r="D179" s="167"/>
    </row>
    <row r="180" spans="2:4" s="168" customFormat="1" x14ac:dyDescent="0.3">
      <c r="B180" s="166"/>
      <c r="C180" s="167"/>
      <c r="D180" s="167"/>
    </row>
    <row r="181" spans="2:4" s="168" customFormat="1" x14ac:dyDescent="0.3">
      <c r="B181" s="166"/>
      <c r="C181" s="167"/>
      <c r="D181" s="167"/>
    </row>
    <row r="182" spans="2:4" s="168" customFormat="1" x14ac:dyDescent="0.3">
      <c r="B182" s="166"/>
      <c r="C182" s="167"/>
      <c r="D182" s="167"/>
    </row>
    <row r="183" spans="2:4" s="168" customFormat="1" x14ac:dyDescent="0.3">
      <c r="B183" s="166"/>
      <c r="C183" s="167"/>
      <c r="D183" s="167"/>
    </row>
    <row r="184" spans="2:4" s="168" customFormat="1" x14ac:dyDescent="0.3">
      <c r="B184" s="166"/>
      <c r="C184" s="167"/>
      <c r="D184" s="167"/>
    </row>
    <row r="185" spans="2:4" s="168" customFormat="1" x14ac:dyDescent="0.3">
      <c r="B185" s="166"/>
      <c r="C185" s="167"/>
      <c r="D185" s="167"/>
    </row>
    <row r="186" spans="2:4" s="168" customFormat="1" x14ac:dyDescent="0.3">
      <c r="B186" s="166"/>
      <c r="C186" s="167"/>
      <c r="D186" s="167"/>
    </row>
    <row r="187" spans="2:4" s="168" customFormat="1" x14ac:dyDescent="0.3">
      <c r="B187" s="166"/>
      <c r="C187" s="167"/>
      <c r="D187" s="167"/>
    </row>
    <row r="188" spans="2:4" s="168" customFormat="1" x14ac:dyDescent="0.3">
      <c r="B188" s="166"/>
      <c r="C188" s="167"/>
      <c r="D188" s="167"/>
    </row>
    <row r="189" spans="2:4" s="168" customFormat="1" x14ac:dyDescent="0.3">
      <c r="B189" s="166"/>
      <c r="C189" s="167"/>
      <c r="D189" s="167"/>
    </row>
    <row r="190" spans="2:4" s="168" customFormat="1" x14ac:dyDescent="0.3">
      <c r="B190" s="166"/>
      <c r="C190" s="167"/>
      <c r="D190" s="167"/>
    </row>
    <row r="191" spans="2:4" s="168" customFormat="1" x14ac:dyDescent="0.3">
      <c r="B191" s="166"/>
      <c r="C191" s="167"/>
      <c r="D191" s="167"/>
    </row>
    <row r="192" spans="2:4" s="168" customFormat="1" x14ac:dyDescent="0.3">
      <c r="B192" s="166"/>
      <c r="C192" s="167"/>
      <c r="D192" s="167"/>
    </row>
    <row r="193" spans="2:4" s="168" customFormat="1" x14ac:dyDescent="0.3">
      <c r="B193" s="166"/>
      <c r="C193" s="167"/>
      <c r="D193" s="167"/>
    </row>
    <row r="194" spans="2:4" s="168" customFormat="1" x14ac:dyDescent="0.3">
      <c r="B194" s="166"/>
      <c r="C194" s="167"/>
      <c r="D194" s="167"/>
    </row>
    <row r="195" spans="2:4" s="168" customFormat="1" x14ac:dyDescent="0.3">
      <c r="B195" s="166"/>
      <c r="C195" s="167"/>
      <c r="D195" s="167"/>
    </row>
    <row r="196" spans="2:4" s="168" customFormat="1" x14ac:dyDescent="0.3">
      <c r="B196" s="166"/>
      <c r="C196" s="167"/>
      <c r="D196" s="167"/>
    </row>
    <row r="197" spans="2:4" s="168" customFormat="1" x14ac:dyDescent="0.3">
      <c r="B197" s="166"/>
      <c r="C197" s="167"/>
      <c r="D197" s="167"/>
    </row>
    <row r="198" spans="2:4" s="168" customFormat="1" x14ac:dyDescent="0.3">
      <c r="B198" s="166"/>
      <c r="C198" s="167"/>
      <c r="D198" s="167"/>
    </row>
    <row r="199" spans="2:4" s="168" customFormat="1" x14ac:dyDescent="0.3">
      <c r="B199" s="166"/>
      <c r="C199" s="167"/>
      <c r="D199" s="167"/>
    </row>
    <row r="200" spans="2:4" s="168" customFormat="1" x14ac:dyDescent="0.3">
      <c r="B200" s="166"/>
      <c r="C200" s="167"/>
      <c r="D200" s="167"/>
    </row>
    <row r="201" spans="2:4" s="168" customFormat="1" x14ac:dyDescent="0.3">
      <c r="B201" s="166"/>
      <c r="C201" s="167"/>
      <c r="D201" s="167"/>
    </row>
    <row r="202" spans="2:4" s="168" customFormat="1" x14ac:dyDescent="0.3">
      <c r="B202" s="166"/>
      <c r="C202" s="167"/>
      <c r="D202" s="167"/>
    </row>
    <row r="203" spans="2:4" s="168" customFormat="1" x14ac:dyDescent="0.3">
      <c r="B203" s="166"/>
      <c r="C203" s="167"/>
      <c r="D203" s="167"/>
    </row>
    <row r="204" spans="2:4" s="168" customFormat="1" x14ac:dyDescent="0.3">
      <c r="B204" s="166"/>
      <c r="C204" s="167"/>
      <c r="D204" s="167"/>
    </row>
    <row r="205" spans="2:4" s="168" customFormat="1" x14ac:dyDescent="0.3">
      <c r="B205" s="166"/>
      <c r="C205" s="167"/>
      <c r="D205" s="167"/>
    </row>
    <row r="206" spans="2:4" s="168" customFormat="1" x14ac:dyDescent="0.3">
      <c r="B206" s="166"/>
      <c r="C206" s="167"/>
      <c r="D206" s="167"/>
    </row>
    <row r="207" spans="2:4" s="168" customFormat="1" x14ac:dyDescent="0.3">
      <c r="B207" s="166"/>
      <c r="C207" s="167"/>
      <c r="D207" s="167"/>
    </row>
    <row r="208" spans="2:4" s="168" customFormat="1" x14ac:dyDescent="0.3">
      <c r="B208" s="166"/>
      <c r="C208" s="167"/>
      <c r="D208" s="167"/>
    </row>
    <row r="209" spans="2:4" s="168" customFormat="1" x14ac:dyDescent="0.3">
      <c r="B209" s="166"/>
      <c r="C209" s="167"/>
      <c r="D209" s="167"/>
    </row>
    <row r="210" spans="2:4" s="168" customFormat="1" x14ac:dyDescent="0.3">
      <c r="B210" s="166"/>
      <c r="C210" s="167"/>
      <c r="D210" s="167"/>
    </row>
    <row r="211" spans="2:4" s="168" customFormat="1" x14ac:dyDescent="0.3">
      <c r="B211" s="166"/>
      <c r="C211" s="167"/>
      <c r="D211" s="167"/>
    </row>
    <row r="212" spans="2:4" s="168" customFormat="1" x14ac:dyDescent="0.3">
      <c r="B212" s="166"/>
      <c r="C212" s="167"/>
      <c r="D212" s="167"/>
    </row>
    <row r="213" spans="2:4" s="168" customFormat="1" x14ac:dyDescent="0.3">
      <c r="B213" s="166"/>
      <c r="C213" s="167"/>
      <c r="D213" s="167"/>
    </row>
    <row r="214" spans="2:4" s="168" customFormat="1" x14ac:dyDescent="0.3">
      <c r="B214" s="166"/>
      <c r="C214" s="167"/>
      <c r="D214" s="167"/>
    </row>
    <row r="215" spans="2:4" s="168" customFormat="1" x14ac:dyDescent="0.3">
      <c r="B215" s="166"/>
      <c r="C215" s="167"/>
      <c r="D215" s="167"/>
    </row>
    <row r="216" spans="2:4" s="168" customFormat="1" x14ac:dyDescent="0.3">
      <c r="B216" s="166"/>
      <c r="C216" s="167"/>
      <c r="D216" s="167"/>
    </row>
    <row r="217" spans="2:4" s="168" customFormat="1" x14ac:dyDescent="0.3">
      <c r="B217" s="166"/>
      <c r="C217" s="167"/>
      <c r="D217" s="167"/>
    </row>
    <row r="218" spans="2:4" s="168" customFormat="1" x14ac:dyDescent="0.3">
      <c r="B218" s="166"/>
      <c r="C218" s="167"/>
      <c r="D218" s="167"/>
    </row>
    <row r="219" spans="2:4" s="168" customFormat="1" x14ac:dyDescent="0.3">
      <c r="B219" s="166"/>
      <c r="C219" s="167"/>
      <c r="D219" s="167"/>
    </row>
    <row r="220" spans="2:4" s="168" customFormat="1" x14ac:dyDescent="0.3">
      <c r="B220" s="166"/>
      <c r="C220" s="167"/>
      <c r="D220" s="167"/>
    </row>
    <row r="221" spans="2:4" s="168" customFormat="1" x14ac:dyDescent="0.3">
      <c r="B221" s="166"/>
      <c r="C221" s="167"/>
      <c r="D221" s="167"/>
    </row>
    <row r="222" spans="2:4" s="168" customFormat="1" x14ac:dyDescent="0.3">
      <c r="B222" s="166"/>
      <c r="C222" s="167"/>
      <c r="D222" s="167"/>
    </row>
    <row r="223" spans="2:4" s="168" customFormat="1" x14ac:dyDescent="0.3">
      <c r="B223" s="166"/>
      <c r="C223" s="167"/>
      <c r="D223" s="167"/>
    </row>
    <row r="224" spans="2:4" s="168" customFormat="1" x14ac:dyDescent="0.3">
      <c r="B224" s="166"/>
      <c r="C224" s="167"/>
      <c r="D224" s="167"/>
    </row>
    <row r="225" spans="2:4" s="168" customFormat="1" x14ac:dyDescent="0.3">
      <c r="B225" s="166"/>
      <c r="C225" s="167"/>
      <c r="D225" s="167"/>
    </row>
    <row r="226" spans="2:4" s="168" customFormat="1" x14ac:dyDescent="0.3">
      <c r="B226" s="166"/>
      <c r="C226" s="167"/>
      <c r="D226" s="167"/>
    </row>
    <row r="227" spans="2:4" s="168" customFormat="1" x14ac:dyDescent="0.3">
      <c r="B227" s="166"/>
      <c r="C227" s="167"/>
      <c r="D227" s="167"/>
    </row>
    <row r="228" spans="2:4" s="168" customFormat="1" x14ac:dyDescent="0.3">
      <c r="B228" s="166"/>
      <c r="C228" s="167"/>
      <c r="D228" s="167"/>
    </row>
    <row r="229" spans="2:4" s="168" customFormat="1" x14ac:dyDescent="0.3">
      <c r="B229" s="166"/>
      <c r="C229" s="167"/>
      <c r="D229" s="167"/>
    </row>
    <row r="230" spans="2:4" s="168" customFormat="1" x14ac:dyDescent="0.3">
      <c r="B230" s="166"/>
      <c r="C230" s="167"/>
      <c r="D230" s="167"/>
    </row>
    <row r="231" spans="2:4" s="168" customFormat="1" x14ac:dyDescent="0.3">
      <c r="B231" s="166"/>
      <c r="C231" s="167"/>
      <c r="D231" s="167"/>
    </row>
    <row r="232" spans="2:4" s="168" customFormat="1" x14ac:dyDescent="0.3">
      <c r="B232" s="166"/>
      <c r="C232" s="167"/>
      <c r="D232" s="167"/>
    </row>
    <row r="233" spans="2:4" s="168" customFormat="1" x14ac:dyDescent="0.3">
      <c r="B233" s="166"/>
      <c r="C233" s="167"/>
      <c r="D233" s="167"/>
    </row>
    <row r="234" spans="2:4" s="168" customFormat="1" x14ac:dyDescent="0.3">
      <c r="B234" s="166"/>
      <c r="C234" s="167"/>
      <c r="D234" s="167"/>
    </row>
    <row r="235" spans="2:4" s="168" customFormat="1" x14ac:dyDescent="0.3">
      <c r="B235" s="166"/>
      <c r="C235" s="167"/>
      <c r="D235" s="167"/>
    </row>
    <row r="236" spans="2:4" s="168" customFormat="1" x14ac:dyDescent="0.3">
      <c r="B236" s="166"/>
      <c r="C236" s="167"/>
      <c r="D236" s="167"/>
    </row>
    <row r="237" spans="2:4" s="168" customFormat="1" x14ac:dyDescent="0.3">
      <c r="B237" s="166"/>
      <c r="C237" s="167"/>
      <c r="D237" s="167"/>
    </row>
    <row r="238" spans="2:4" s="168" customFormat="1" x14ac:dyDescent="0.3">
      <c r="B238" s="166"/>
      <c r="C238" s="167"/>
      <c r="D238" s="167"/>
    </row>
    <row r="239" spans="2:4" s="168" customFormat="1" x14ac:dyDescent="0.3">
      <c r="B239" s="166"/>
      <c r="C239" s="167"/>
      <c r="D239" s="167"/>
    </row>
    <row r="240" spans="2:4" s="168" customFormat="1" x14ac:dyDescent="0.3">
      <c r="B240" s="166"/>
      <c r="C240" s="167"/>
      <c r="D240" s="167"/>
    </row>
    <row r="241" spans="2:4" s="168" customFormat="1" x14ac:dyDescent="0.3">
      <c r="B241" s="166"/>
      <c r="C241" s="167"/>
      <c r="D241" s="167"/>
    </row>
    <row r="242" spans="2:4" s="168" customFormat="1" x14ac:dyDescent="0.3">
      <c r="B242" s="166"/>
      <c r="C242" s="167"/>
      <c r="D242" s="167"/>
    </row>
    <row r="243" spans="2:4" s="168" customFormat="1" x14ac:dyDescent="0.3">
      <c r="B243" s="166"/>
      <c r="C243" s="167"/>
      <c r="D243" s="167"/>
    </row>
    <row r="244" spans="2:4" s="168" customFormat="1" x14ac:dyDescent="0.3">
      <c r="B244" s="166"/>
      <c r="C244" s="167"/>
      <c r="D244" s="167"/>
    </row>
    <row r="245" spans="2:4" s="168" customFormat="1" x14ac:dyDescent="0.3">
      <c r="B245" s="166"/>
      <c r="C245" s="167"/>
      <c r="D245" s="167"/>
    </row>
    <row r="246" spans="2:4" s="168" customFormat="1" x14ac:dyDescent="0.3">
      <c r="B246" s="166"/>
      <c r="C246" s="167"/>
      <c r="D246" s="167"/>
    </row>
    <row r="247" spans="2:4" s="168" customFormat="1" x14ac:dyDescent="0.3">
      <c r="B247" s="166"/>
      <c r="C247" s="167"/>
      <c r="D247" s="167"/>
    </row>
    <row r="248" spans="2:4" s="168" customFormat="1" x14ac:dyDescent="0.3">
      <c r="B248" s="166"/>
      <c r="C248" s="167"/>
      <c r="D248" s="167"/>
    </row>
    <row r="249" spans="2:4" s="168" customFormat="1" x14ac:dyDescent="0.3">
      <c r="B249" s="166"/>
      <c r="C249" s="167"/>
      <c r="D249" s="167"/>
    </row>
    <row r="250" spans="2:4" s="168" customFormat="1" x14ac:dyDescent="0.3">
      <c r="B250" s="166"/>
      <c r="C250" s="167"/>
      <c r="D250" s="167"/>
    </row>
    <row r="251" spans="2:4" s="168" customFormat="1" x14ac:dyDescent="0.3">
      <c r="B251" s="166"/>
      <c r="C251" s="167"/>
      <c r="D251" s="167"/>
    </row>
    <row r="252" spans="2:4" s="168" customFormat="1" x14ac:dyDescent="0.3">
      <c r="B252" s="166"/>
      <c r="C252" s="167"/>
      <c r="D252" s="167"/>
    </row>
    <row r="253" spans="2:4" s="168" customFormat="1" x14ac:dyDescent="0.3">
      <c r="B253" s="166"/>
      <c r="C253" s="167"/>
      <c r="D253" s="167"/>
    </row>
    <row r="254" spans="2:4" s="168" customFormat="1" x14ac:dyDescent="0.3">
      <c r="B254" s="166"/>
      <c r="C254" s="167"/>
      <c r="D254" s="167"/>
    </row>
    <row r="255" spans="2:4" s="168" customFormat="1" x14ac:dyDescent="0.3">
      <c r="B255" s="166"/>
      <c r="C255" s="167"/>
      <c r="D255" s="167"/>
    </row>
    <row r="256" spans="2:4" s="168" customFormat="1" x14ac:dyDescent="0.3">
      <c r="B256" s="166"/>
      <c r="C256" s="167"/>
      <c r="D256" s="167"/>
    </row>
    <row r="257" spans="2:4" s="168" customFormat="1" x14ac:dyDescent="0.3">
      <c r="B257" s="166"/>
      <c r="C257" s="167"/>
      <c r="D257" s="167"/>
    </row>
    <row r="258" spans="2:4" s="168" customFormat="1" x14ac:dyDescent="0.3">
      <c r="B258" s="166"/>
      <c r="C258" s="167"/>
      <c r="D258" s="167"/>
    </row>
    <row r="259" spans="2:4" s="168" customFormat="1" x14ac:dyDescent="0.3">
      <c r="B259" s="166"/>
      <c r="C259" s="167"/>
      <c r="D259" s="167"/>
    </row>
    <row r="260" spans="2:4" s="168" customFormat="1" x14ac:dyDescent="0.3">
      <c r="B260" s="166"/>
      <c r="C260" s="167"/>
      <c r="D260" s="167"/>
    </row>
    <row r="261" spans="2:4" s="168" customFormat="1" x14ac:dyDescent="0.3">
      <c r="B261" s="166"/>
      <c r="C261" s="167"/>
      <c r="D261" s="167"/>
    </row>
    <row r="262" spans="2:4" s="168" customFormat="1" x14ac:dyDescent="0.3">
      <c r="B262" s="166"/>
      <c r="C262" s="167"/>
      <c r="D262" s="167"/>
    </row>
    <row r="263" spans="2:4" s="168" customFormat="1" x14ac:dyDescent="0.3">
      <c r="B263" s="166"/>
      <c r="C263" s="167"/>
      <c r="D263" s="167"/>
    </row>
    <row r="264" spans="2:4" s="168" customFormat="1" x14ac:dyDescent="0.3">
      <c r="B264" s="166"/>
      <c r="C264" s="167"/>
      <c r="D264" s="167"/>
    </row>
    <row r="265" spans="2:4" s="168" customFormat="1" x14ac:dyDescent="0.3">
      <c r="B265" s="166"/>
      <c r="C265" s="167"/>
      <c r="D265" s="167"/>
    </row>
    <row r="266" spans="2:4" s="168" customFormat="1" x14ac:dyDescent="0.3">
      <c r="B266" s="166"/>
      <c r="C266" s="167"/>
      <c r="D266" s="167"/>
    </row>
    <row r="267" spans="2:4" s="168" customFormat="1" x14ac:dyDescent="0.3">
      <c r="B267" s="166"/>
      <c r="C267" s="167"/>
      <c r="D267" s="167"/>
    </row>
    <row r="268" spans="2:4" s="168" customFormat="1" x14ac:dyDescent="0.3">
      <c r="B268" s="166"/>
      <c r="C268" s="167"/>
      <c r="D268" s="167"/>
    </row>
    <row r="269" spans="2:4" s="168" customFormat="1" x14ac:dyDescent="0.3">
      <c r="B269" s="166"/>
      <c r="C269" s="167"/>
      <c r="D269" s="167"/>
    </row>
    <row r="270" spans="2:4" s="168" customFormat="1" x14ac:dyDescent="0.3">
      <c r="B270" s="166"/>
      <c r="C270" s="167"/>
      <c r="D270" s="167"/>
    </row>
    <row r="271" spans="2:4" s="168" customFormat="1" x14ac:dyDescent="0.3">
      <c r="B271" s="166"/>
      <c r="C271" s="167"/>
      <c r="D271" s="167"/>
    </row>
    <row r="272" spans="2:4" s="168" customFormat="1" x14ac:dyDescent="0.3">
      <c r="B272" s="166"/>
      <c r="C272" s="167"/>
      <c r="D272" s="167"/>
    </row>
    <row r="273" spans="2:4" s="168" customFormat="1" x14ac:dyDescent="0.3">
      <c r="B273" s="166"/>
      <c r="C273" s="167"/>
      <c r="D273" s="167"/>
    </row>
    <row r="274" spans="2:4" s="168" customFormat="1" x14ac:dyDescent="0.3">
      <c r="B274" s="166"/>
      <c r="C274" s="167"/>
      <c r="D274" s="167"/>
    </row>
    <row r="275" spans="2:4" s="168" customFormat="1" x14ac:dyDescent="0.3">
      <c r="B275" s="166"/>
      <c r="C275" s="167"/>
      <c r="D275" s="167"/>
    </row>
    <row r="276" spans="2:4" s="168" customFormat="1" x14ac:dyDescent="0.3">
      <c r="B276" s="166"/>
      <c r="C276" s="167"/>
      <c r="D276" s="167"/>
    </row>
    <row r="277" spans="2:4" s="168" customFormat="1" x14ac:dyDescent="0.3">
      <c r="B277" s="166"/>
      <c r="C277" s="167"/>
      <c r="D277" s="167"/>
    </row>
    <row r="278" spans="2:4" s="168" customFormat="1" x14ac:dyDescent="0.3">
      <c r="B278" s="166"/>
      <c r="C278" s="167"/>
      <c r="D278" s="167"/>
    </row>
    <row r="279" spans="2:4" s="168" customFormat="1" x14ac:dyDescent="0.3">
      <c r="B279" s="166"/>
      <c r="C279" s="167"/>
      <c r="D279" s="167"/>
    </row>
    <row r="280" spans="2:4" s="168" customFormat="1" x14ac:dyDescent="0.3">
      <c r="B280" s="166"/>
      <c r="C280" s="167"/>
      <c r="D280" s="167"/>
    </row>
    <row r="281" spans="2:4" s="168" customFormat="1" x14ac:dyDescent="0.3">
      <c r="B281" s="166"/>
      <c r="C281" s="167"/>
      <c r="D281" s="167"/>
    </row>
    <row r="282" spans="2:4" s="168" customFormat="1" x14ac:dyDescent="0.3">
      <c r="B282" s="166"/>
      <c r="C282" s="167"/>
      <c r="D282" s="167"/>
    </row>
    <row r="283" spans="2:4" s="168" customFormat="1" x14ac:dyDescent="0.3">
      <c r="B283" s="166"/>
      <c r="C283" s="167"/>
      <c r="D283" s="167"/>
    </row>
    <row r="284" spans="2:4" s="168" customFormat="1" x14ac:dyDescent="0.3">
      <c r="B284" s="166"/>
      <c r="C284" s="167"/>
      <c r="D284" s="167"/>
    </row>
    <row r="285" spans="2:4" s="168" customFormat="1" x14ac:dyDescent="0.3">
      <c r="B285" s="166"/>
      <c r="C285" s="167"/>
      <c r="D285" s="167"/>
    </row>
    <row r="286" spans="2:4" s="168" customFormat="1" x14ac:dyDescent="0.3">
      <c r="B286" s="166"/>
      <c r="C286" s="167"/>
      <c r="D286" s="167"/>
    </row>
  </sheetData>
  <hyperlinks>
    <hyperlink ref="J13" r:id="rId1" xr:uid="{34F0509D-373A-4D0B-8929-256CCC9EFE8C}"/>
    <hyperlink ref="J14" r:id="rId2" xr:uid="{14AF5D0F-167C-4A6E-8697-CBDD331D0E82}"/>
    <hyperlink ref="J15" r:id="rId3" xr:uid="{8B349275-6B1B-41E7-8ACB-6BFB79966FAD}"/>
    <hyperlink ref="J16" r:id="rId4" xr:uid="{BB0815F4-0731-4F77-96A9-02CC6BB73D12}"/>
    <hyperlink ref="J20" r:id="rId5" xr:uid="{2CBDBAFB-B446-4D7D-A268-2160839B504E}"/>
    <hyperlink ref="J24" r:id="rId6" xr:uid="{A2D55979-7800-42BE-96CE-6CCE7EFC1AFE}"/>
    <hyperlink ref="J17" r:id="rId7" xr:uid="{2D9DC99B-28B4-44EE-994B-3CEFFF4C3D2C}"/>
    <hyperlink ref="J22" r:id="rId8" xr:uid="{0039E91C-A6C0-4858-AB5A-DE5FDE50788C}"/>
    <hyperlink ref="J25" r:id="rId9" xr:uid="{FAD50CFD-5D17-4742-B58E-C60A53BDDBCD}"/>
    <hyperlink ref="J19" r:id="rId10" xr:uid="{0ADBEBF7-B1F3-4218-833B-89824993060D}"/>
    <hyperlink ref="J23" r:id="rId11" xr:uid="{2DD7F52F-5254-4C45-B3A4-17AA05723014}"/>
    <hyperlink ref="J26" r:id="rId12" xr:uid="{E96AA81E-898F-46DD-A3A2-453C86AF772A}"/>
    <hyperlink ref="J64" r:id="rId13" xr:uid="{302551DC-EE5A-4199-8E21-BE2E2C205457}"/>
    <hyperlink ref="J65" r:id="rId14" xr:uid="{16C2DE81-63C9-4EEA-BB2F-21CACC5786A3}"/>
    <hyperlink ref="J66" r:id="rId15" xr:uid="{02B0B9C5-FD2A-4CAB-B227-E32B47D47BEB}"/>
    <hyperlink ref="J28" r:id="rId16" xr:uid="{BFA9E803-F90E-454A-A0EB-55DAC965C682}"/>
    <hyperlink ref="J29" r:id="rId17" xr:uid="{47DC452A-6704-4A5E-A599-5FA2198494B1}"/>
    <hyperlink ref="J30" r:id="rId18" xr:uid="{743995B2-42CE-4AF7-BF6A-EDB1DBF6396C}"/>
    <hyperlink ref="J31" r:id="rId19" xr:uid="{89C86E12-27AC-4439-8509-52078C761A69}"/>
    <hyperlink ref="J46" r:id="rId20" xr:uid="{B7680099-DB53-456B-97B0-A08B08E9023A}"/>
    <hyperlink ref="J32" r:id="rId21" xr:uid="{81BB50C0-88EF-4E10-B568-EE1820518E83}"/>
    <hyperlink ref="J34" r:id="rId22" xr:uid="{BD207E53-72D1-49C6-977F-8C357672F8FE}"/>
    <hyperlink ref="J33" r:id="rId23" xr:uid="{9F096224-8CA2-447B-AB4C-AE2BBE1276E5}"/>
    <hyperlink ref="J49" r:id="rId24" xr:uid="{A268B069-443E-4522-A539-4EB10F95185D}"/>
    <hyperlink ref="J50" r:id="rId25" xr:uid="{3D1BDB88-F058-4EE0-AF3F-52B54B2121C7}"/>
    <hyperlink ref="J51" r:id="rId26" xr:uid="{4AA0CE78-01E0-4760-B744-BAF23F348515}"/>
    <hyperlink ref="J52" r:id="rId27" xr:uid="{EF649094-F120-40D1-8673-CC3E6B5273D2}"/>
    <hyperlink ref="J55" r:id="rId28" xr:uid="{11B63C8E-EF12-449A-8BE3-9C0D9E40FC90}"/>
    <hyperlink ref="J58" r:id="rId29" xr:uid="{AC5E409F-37E7-410F-8105-D982E934E503}"/>
    <hyperlink ref="J61" r:id="rId30" xr:uid="{5EB28354-5CFC-411B-BB88-114A2F0DB30E}"/>
    <hyperlink ref="J53" r:id="rId31" xr:uid="{21F0C4CB-C67D-434C-A481-1612B226EB18}"/>
    <hyperlink ref="J56" r:id="rId32" xr:uid="{71BC9D0E-65E5-4DB2-8AE3-8C8DE049F2E8}"/>
    <hyperlink ref="J59" r:id="rId33" xr:uid="{A5B97669-5788-44BB-BD47-D638C54F6E9A}"/>
    <hyperlink ref="J54" r:id="rId34" xr:uid="{E16A2A4A-5492-4C78-B91F-C56C9D6C7B0C}"/>
    <hyperlink ref="J57" r:id="rId35" xr:uid="{7CD35682-EAC2-4E03-B7D5-8E3830DE0D65}"/>
    <hyperlink ref="J60" r:id="rId36" xr:uid="{C4B3AE08-84B5-46CA-A4B5-D368D3D5D5BF}"/>
    <hyperlink ref="J38" r:id="rId37" xr:uid="{3B7EA0BA-397B-485E-A724-FF162F2242E9}"/>
    <hyperlink ref="J42" r:id="rId38" xr:uid="{8BC97E44-ED1C-4F64-BC1C-68A493789A83}"/>
    <hyperlink ref="J40" r:id="rId39" xr:uid="{6B2A8FB6-38C0-4F58-8391-9940B0FDE734}"/>
    <hyperlink ref="J39" r:id="rId40" xr:uid="{0BCC3DDA-6909-4C18-AE26-3A1F97F0C400}"/>
    <hyperlink ref="J41" r:id="rId41" xr:uid="{245D0F44-5344-4E2A-B755-3260A7D4DB57}"/>
    <hyperlink ref="J43" r:id="rId42" xr:uid="{10211EA3-DB40-46E1-90B3-E663CD920B43}"/>
    <hyperlink ref="J5" r:id="rId43" xr:uid="{E45839D6-F4C3-4FE6-AE0D-3074EAECBDF8}"/>
    <hyperlink ref="J6" r:id="rId44" xr:uid="{881DA6EB-5368-4A03-8A8F-1620987D7FF5}"/>
    <hyperlink ref="J7" r:id="rId45" xr:uid="{C400B58F-9F48-4C1F-931D-7698B19CFF00}"/>
    <hyperlink ref="J8" r:id="rId46" xr:uid="{A2E7C265-5E2A-4F2C-8C6B-EC00FADB97BE}"/>
    <hyperlink ref="J9" r:id="rId47" xr:uid="{760A5A16-EFA2-4A8D-9329-48E64B6D37FF}"/>
    <hyperlink ref="J69" r:id="rId48" xr:uid="{BCDD4DCC-240E-4F7E-808C-BC40AED04A3B}"/>
    <hyperlink ref="J12" r:id="rId49" xr:uid="{4D8BB1D2-64CB-4E25-8215-21B244A2D80E}"/>
    <hyperlink ref="J18" r:id="rId50" xr:uid="{A7B69F7E-DF38-48CF-8619-85A6DEAAD22E}"/>
    <hyperlink ref="J21" r:id="rId51" xr:uid="{8587BAA4-194A-4EB3-8074-D6CB59353FAE}"/>
    <hyperlink ref="J37" r:id="rId52" xr:uid="{EFE13255-F0C1-4084-B5D4-D9A44217EC69}"/>
  </hyperlinks>
  <pageMargins left="0.7" right="0.7" top="0.75" bottom="0.75" header="0.3" footer="0.3"/>
  <pageSetup paperSize="9" orientation="portrait" horizontalDpi="1200" verticalDpi="1200" r:id="rId53"/>
  <tableParts count="1">
    <tablePart r:id="rId54"/>
  </tablePart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ED37B-6DE7-4DB4-9F61-BC1C86447BA5}">
  <sheetPr codeName="Blad39"/>
  <dimension ref="A1:X115"/>
  <sheetViews>
    <sheetView topLeftCell="G1" workbookViewId="0">
      <selection activeCell="U115" sqref="T1:U115"/>
    </sheetView>
  </sheetViews>
  <sheetFormatPr defaultRowHeight="14.4" x14ac:dyDescent="0.3"/>
  <cols>
    <col min="1" max="5" width="10.77734375" hidden="1" customWidth="1"/>
    <col min="6" max="6" width="8.88671875" hidden="1" customWidth="1"/>
    <col min="7" max="7" width="6.5546875" customWidth="1"/>
    <col min="8" max="8" width="21" customWidth="1"/>
    <col min="9" max="9" width="17.5546875" hidden="1" customWidth="1"/>
    <col min="10" max="10" width="8.88671875" hidden="1" customWidth="1"/>
    <col min="11" max="12" width="6.5546875" hidden="1" customWidth="1"/>
    <col min="13" max="13" width="8.33203125" hidden="1" customWidth="1"/>
    <col min="14" max="14" width="6.109375" hidden="1" customWidth="1"/>
    <col min="15" max="15" width="8" hidden="1" customWidth="1"/>
  </cols>
  <sheetData>
    <row r="1" spans="1:24" x14ac:dyDescent="0.3">
      <c r="A1" t="s">
        <v>1394</v>
      </c>
      <c r="B1" t="s">
        <v>1395</v>
      </c>
      <c r="C1" t="s">
        <v>1396</v>
      </c>
      <c r="D1" t="s">
        <v>1397</v>
      </c>
      <c r="E1" t="s">
        <v>1398</v>
      </c>
      <c r="G1" t="s">
        <v>1390</v>
      </c>
      <c r="H1" t="s">
        <v>1391</v>
      </c>
      <c r="I1" t="s">
        <v>1392</v>
      </c>
      <c r="K1" t="s">
        <v>88</v>
      </c>
      <c r="L1" t="s">
        <v>1276</v>
      </c>
      <c r="M1" t="s">
        <v>1277</v>
      </c>
      <c r="N1" t="s">
        <v>1278</v>
      </c>
      <c r="O1" t="s">
        <v>89</v>
      </c>
      <c r="Q1" s="1282" t="s">
        <v>87</v>
      </c>
      <c r="R1" s="1282"/>
      <c r="T1" s="1282" t="s">
        <v>1431</v>
      </c>
      <c r="U1" s="1282"/>
    </row>
    <row r="2" spans="1:24" x14ac:dyDescent="0.3">
      <c r="A2" t="s">
        <v>88</v>
      </c>
      <c r="B2" t="s">
        <v>1276</v>
      </c>
      <c r="C2" t="s">
        <v>1277</v>
      </c>
      <c r="D2" t="s">
        <v>1278</v>
      </c>
      <c r="E2" t="s">
        <v>89</v>
      </c>
      <c r="G2" s="1116">
        <v>2026</v>
      </c>
      <c r="H2" s="1116">
        <v>1056</v>
      </c>
      <c r="K2" t="s">
        <v>1413</v>
      </c>
      <c r="L2" t="s">
        <v>1414</v>
      </c>
      <c r="M2" t="s">
        <v>1415</v>
      </c>
      <c r="N2" t="s">
        <v>1416</v>
      </c>
      <c r="O2" t="s">
        <v>1417</v>
      </c>
      <c r="Q2" s="1106" t="s">
        <v>88</v>
      </c>
      <c r="R2" s="1106" t="s">
        <v>276</v>
      </c>
      <c r="T2" s="1106" t="s">
        <v>88</v>
      </c>
      <c r="U2" s="1106" t="s">
        <v>276</v>
      </c>
    </row>
    <row r="3" spans="1:24" x14ac:dyDescent="0.3">
      <c r="A3" t="s">
        <v>1279</v>
      </c>
      <c r="B3" t="s">
        <v>1280</v>
      </c>
      <c r="C3" t="s">
        <v>1281</v>
      </c>
      <c r="D3" t="s">
        <v>1282</v>
      </c>
      <c r="E3" t="s">
        <v>1283</v>
      </c>
      <c r="G3">
        <v>2025</v>
      </c>
      <c r="H3">
        <v>1048</v>
      </c>
      <c r="I3">
        <v>1057</v>
      </c>
      <c r="K3" t="s">
        <v>1279</v>
      </c>
      <c r="L3" t="s">
        <v>1280</v>
      </c>
      <c r="M3" t="s">
        <v>1281</v>
      </c>
      <c r="N3" t="s">
        <v>1282</v>
      </c>
      <c r="O3" t="s">
        <v>1283</v>
      </c>
      <c r="Q3" s="89">
        <v>1994</v>
      </c>
      <c r="R3" s="703">
        <v>1</v>
      </c>
      <c r="T3" s="89">
        <v>1914</v>
      </c>
      <c r="U3" s="89"/>
    </row>
    <row r="4" spans="1:24" x14ac:dyDescent="0.3">
      <c r="A4" t="s">
        <v>1284</v>
      </c>
      <c r="B4" t="s">
        <v>1285</v>
      </c>
      <c r="C4" t="s">
        <v>1286</v>
      </c>
      <c r="D4" t="s">
        <v>1287</v>
      </c>
      <c r="E4" t="s">
        <v>1288</v>
      </c>
      <c r="G4">
        <v>2024</v>
      </c>
      <c r="H4">
        <v>1041</v>
      </c>
      <c r="I4">
        <v>1048</v>
      </c>
      <c r="K4" t="s">
        <v>1284</v>
      </c>
      <c r="L4" t="s">
        <v>1285</v>
      </c>
      <c r="M4" t="s">
        <v>1286</v>
      </c>
      <c r="N4" t="s">
        <v>1287</v>
      </c>
      <c r="O4" t="s">
        <v>1288</v>
      </c>
      <c r="Q4" s="89">
        <v>1995</v>
      </c>
      <c r="R4" s="703">
        <v>1.0317700000000001</v>
      </c>
      <c r="T4" s="89">
        <v>1915</v>
      </c>
      <c r="U4" s="89">
        <v>1</v>
      </c>
    </row>
    <row r="5" spans="1:24" x14ac:dyDescent="0.3">
      <c r="A5" t="s">
        <v>1289</v>
      </c>
      <c r="B5" t="s">
        <v>1290</v>
      </c>
      <c r="C5" t="s">
        <v>1291</v>
      </c>
      <c r="D5" t="s">
        <v>1292</v>
      </c>
      <c r="E5" t="s">
        <v>1293</v>
      </c>
      <c r="G5">
        <v>2023</v>
      </c>
      <c r="H5">
        <v>1004</v>
      </c>
      <c r="I5">
        <v>1032</v>
      </c>
      <c r="K5" t="s">
        <v>1289</v>
      </c>
      <c r="L5" t="s">
        <v>1290</v>
      </c>
      <c r="M5" t="s">
        <v>1291</v>
      </c>
      <c r="N5" t="s">
        <v>1292</v>
      </c>
      <c r="O5" t="s">
        <v>1293</v>
      </c>
      <c r="Q5" s="89">
        <v>1996</v>
      </c>
      <c r="R5" s="703">
        <v>1.02843</v>
      </c>
      <c r="T5" s="89">
        <v>1916</v>
      </c>
      <c r="U5" s="89">
        <v>0</v>
      </c>
    </row>
    <row r="6" spans="1:24" x14ac:dyDescent="0.3">
      <c r="A6" t="s">
        <v>1294</v>
      </c>
      <c r="B6" t="s">
        <v>1295</v>
      </c>
      <c r="C6" t="s">
        <v>1291</v>
      </c>
      <c r="D6" t="s">
        <v>1296</v>
      </c>
      <c r="E6" t="s">
        <v>1297</v>
      </c>
      <c r="G6">
        <v>2022</v>
      </c>
      <c r="H6">
        <v>906</v>
      </c>
      <c r="I6">
        <v>954</v>
      </c>
      <c r="K6" t="s">
        <v>1294</v>
      </c>
      <c r="L6" t="s">
        <v>1295</v>
      </c>
      <c r="M6" t="s">
        <v>1291</v>
      </c>
      <c r="N6" t="s">
        <v>1296</v>
      </c>
      <c r="O6" t="s">
        <v>1297</v>
      </c>
      <c r="Q6" s="89">
        <v>1997</v>
      </c>
      <c r="R6" s="703">
        <v>1.0447200000000001</v>
      </c>
      <c r="T6" s="89">
        <v>1917</v>
      </c>
      <c r="U6" s="89">
        <v>0</v>
      </c>
    </row>
    <row r="7" spans="1:24" x14ac:dyDescent="0.3">
      <c r="A7" t="s">
        <v>1298</v>
      </c>
      <c r="B7" t="s">
        <v>1299</v>
      </c>
      <c r="C7" t="s">
        <v>1291</v>
      </c>
      <c r="D7" t="s">
        <v>1300</v>
      </c>
      <c r="E7" t="s">
        <v>1301</v>
      </c>
      <c r="G7">
        <v>2021</v>
      </c>
      <c r="H7">
        <v>858</v>
      </c>
      <c r="I7">
        <v>878</v>
      </c>
      <c r="K7" t="s">
        <v>1298</v>
      </c>
      <c r="L7" t="s">
        <v>1299</v>
      </c>
      <c r="M7" t="s">
        <v>1291</v>
      </c>
      <c r="N7" t="s">
        <v>1300</v>
      </c>
      <c r="O7" t="s">
        <v>1301</v>
      </c>
      <c r="Q7" s="89">
        <v>1998</v>
      </c>
      <c r="R7" s="703">
        <v>1.05488</v>
      </c>
      <c r="T7" s="89">
        <v>1918</v>
      </c>
      <c r="U7" s="89">
        <v>0</v>
      </c>
      <c r="V7" s="1084"/>
      <c r="X7" s="1084"/>
    </row>
    <row r="8" spans="1:24" x14ac:dyDescent="0.3">
      <c r="A8" t="s">
        <v>1302</v>
      </c>
      <c r="B8" t="s">
        <v>1303</v>
      </c>
      <c r="C8" t="s">
        <v>1291</v>
      </c>
      <c r="D8" t="s">
        <v>1304</v>
      </c>
      <c r="E8" t="s">
        <v>1305</v>
      </c>
      <c r="G8">
        <v>2020</v>
      </c>
      <c r="H8">
        <v>833</v>
      </c>
      <c r="I8">
        <v>847</v>
      </c>
      <c r="K8" t="s">
        <v>1302</v>
      </c>
      <c r="L8" t="s">
        <v>1303</v>
      </c>
      <c r="M8" t="s">
        <v>1291</v>
      </c>
      <c r="N8" t="s">
        <v>1304</v>
      </c>
      <c r="O8" t="s">
        <v>1305</v>
      </c>
      <c r="Q8" s="89">
        <v>1999</v>
      </c>
      <c r="R8" s="703">
        <v>1.0603800000000001</v>
      </c>
      <c r="T8" s="89">
        <v>1919</v>
      </c>
      <c r="U8" s="89">
        <v>2</v>
      </c>
      <c r="V8" s="1084"/>
      <c r="X8" s="1084"/>
    </row>
    <row r="9" spans="1:24" x14ac:dyDescent="0.3">
      <c r="A9" t="s">
        <v>1306</v>
      </c>
      <c r="B9" t="s">
        <v>1307</v>
      </c>
      <c r="C9" t="s">
        <v>1291</v>
      </c>
      <c r="D9" t="s">
        <v>1308</v>
      </c>
      <c r="E9" t="s">
        <v>1309</v>
      </c>
      <c r="G9">
        <v>2019</v>
      </c>
      <c r="H9">
        <v>809</v>
      </c>
      <c r="I9">
        <v>819</v>
      </c>
      <c r="K9" t="s">
        <v>1306</v>
      </c>
      <c r="L9" t="s">
        <v>1307</v>
      </c>
      <c r="M9" t="s">
        <v>1291</v>
      </c>
      <c r="N9" t="s">
        <v>1308</v>
      </c>
      <c r="O9" t="s">
        <v>1309</v>
      </c>
      <c r="Q9" s="89">
        <v>2000</v>
      </c>
      <c r="R9" s="703">
        <v>1.0844499999999999</v>
      </c>
      <c r="T9" s="89">
        <v>1920</v>
      </c>
      <c r="U9" s="89">
        <v>3</v>
      </c>
      <c r="V9" s="1084"/>
      <c r="X9" s="1084"/>
    </row>
    <row r="10" spans="1:24" x14ac:dyDescent="0.3">
      <c r="A10" t="s">
        <v>1310</v>
      </c>
      <c r="B10" t="s">
        <v>1311</v>
      </c>
      <c r="C10" t="s">
        <v>1291</v>
      </c>
      <c r="D10" t="s">
        <v>1312</v>
      </c>
      <c r="E10" t="s">
        <v>1313</v>
      </c>
      <c r="G10">
        <v>2018</v>
      </c>
      <c r="H10">
        <v>775</v>
      </c>
      <c r="I10">
        <v>789</v>
      </c>
      <c r="K10" t="s">
        <v>1310</v>
      </c>
      <c r="L10" t="s">
        <v>1311</v>
      </c>
      <c r="M10" t="s">
        <v>1291</v>
      </c>
      <c r="N10" t="s">
        <v>1312</v>
      </c>
      <c r="O10" t="s">
        <v>1313</v>
      </c>
      <c r="Q10" s="89">
        <v>2001</v>
      </c>
      <c r="R10" s="703">
        <v>1.1092900000000001</v>
      </c>
      <c r="T10" s="89">
        <v>1921</v>
      </c>
      <c r="U10" s="89">
        <v>4</v>
      </c>
      <c r="V10" s="1084"/>
      <c r="X10" s="1084"/>
    </row>
    <row r="11" spans="1:24" x14ac:dyDescent="0.3">
      <c r="A11" t="s">
        <v>1314</v>
      </c>
      <c r="B11" t="s">
        <v>1315</v>
      </c>
      <c r="C11" t="s">
        <v>1291</v>
      </c>
      <c r="D11" t="s">
        <v>1316</v>
      </c>
      <c r="E11" t="s">
        <v>1317</v>
      </c>
      <c r="G11">
        <v>2017</v>
      </c>
      <c r="H11">
        <v>754</v>
      </c>
      <c r="I11">
        <v>767</v>
      </c>
      <c r="K11" t="s">
        <v>1314</v>
      </c>
      <c r="L11" t="s">
        <v>1315</v>
      </c>
      <c r="M11" t="s">
        <v>1291</v>
      </c>
      <c r="N11" t="s">
        <v>1316</v>
      </c>
      <c r="O11" t="s">
        <v>1317</v>
      </c>
      <c r="Q11" s="89">
        <v>2002</v>
      </c>
      <c r="R11" s="703">
        <v>1.1310899999999999</v>
      </c>
      <c r="T11" s="89">
        <v>1922</v>
      </c>
      <c r="U11" s="89">
        <v>5</v>
      </c>
      <c r="V11" s="1084"/>
      <c r="X11" s="1084"/>
    </row>
    <row r="12" spans="1:24" x14ac:dyDescent="0.3">
      <c r="A12" t="s">
        <v>1318</v>
      </c>
      <c r="B12" t="s">
        <v>1319</v>
      </c>
      <c r="C12" t="s">
        <v>1291</v>
      </c>
      <c r="D12" t="s">
        <v>1320</v>
      </c>
      <c r="E12" t="s">
        <v>1321</v>
      </c>
      <c r="G12">
        <v>2016</v>
      </c>
      <c r="H12">
        <v>744</v>
      </c>
      <c r="I12">
        <v>750</v>
      </c>
      <c r="K12" t="s">
        <v>1318</v>
      </c>
      <c r="L12" t="s">
        <v>1319</v>
      </c>
      <c r="M12" t="s">
        <v>1291</v>
      </c>
      <c r="N12" t="s">
        <v>1320</v>
      </c>
      <c r="O12" t="s">
        <v>1321</v>
      </c>
      <c r="Q12" s="89">
        <v>2003</v>
      </c>
      <c r="R12" s="703">
        <v>1.1511499999999999</v>
      </c>
      <c r="T12" s="89">
        <v>1923</v>
      </c>
      <c r="U12" s="89">
        <v>5</v>
      </c>
      <c r="V12" s="1084"/>
      <c r="X12" s="1084"/>
    </row>
    <row r="13" spans="1:24" x14ac:dyDescent="0.3">
      <c r="A13" t="s">
        <v>1322</v>
      </c>
      <c r="B13" t="s">
        <v>1323</v>
      </c>
      <c r="C13" t="s">
        <v>1291</v>
      </c>
      <c r="D13" t="s">
        <v>1324</v>
      </c>
      <c r="E13" t="s">
        <v>1325</v>
      </c>
      <c r="G13">
        <v>2015</v>
      </c>
      <c r="H13">
        <v>745</v>
      </c>
      <c r="I13">
        <v>744</v>
      </c>
      <c r="K13" t="s">
        <v>1322</v>
      </c>
      <c r="L13" t="s">
        <v>1323</v>
      </c>
      <c r="M13" t="s">
        <v>1291</v>
      </c>
      <c r="N13" t="s">
        <v>1324</v>
      </c>
      <c r="O13" t="s">
        <v>1325</v>
      </c>
      <c r="Q13" s="89">
        <v>2004</v>
      </c>
      <c r="R13" s="703">
        <v>1.19109</v>
      </c>
      <c r="T13" s="89">
        <v>1924</v>
      </c>
      <c r="U13" s="89">
        <v>4</v>
      </c>
      <c r="V13" s="1084"/>
      <c r="X13" s="1084"/>
    </row>
    <row r="14" spans="1:24" x14ac:dyDescent="0.3">
      <c r="A14" t="s">
        <v>1326</v>
      </c>
      <c r="B14" t="s">
        <v>1327</v>
      </c>
      <c r="C14" t="s">
        <v>1291</v>
      </c>
      <c r="D14" t="s">
        <v>1328</v>
      </c>
      <c r="E14" t="s">
        <v>1329</v>
      </c>
      <c r="G14">
        <v>2014</v>
      </c>
      <c r="H14">
        <v>739</v>
      </c>
      <c r="I14">
        <v>744</v>
      </c>
      <c r="K14" t="s">
        <v>1326</v>
      </c>
      <c r="L14" t="s">
        <v>1327</v>
      </c>
      <c r="M14" t="s">
        <v>1291</v>
      </c>
      <c r="N14" t="s">
        <v>1328</v>
      </c>
      <c r="O14" t="s">
        <v>1329</v>
      </c>
      <c r="Q14" s="89">
        <v>2005</v>
      </c>
      <c r="R14" s="703">
        <v>1.2528300000000001</v>
      </c>
      <c r="T14" s="89">
        <v>1925</v>
      </c>
      <c r="U14" s="89">
        <v>4</v>
      </c>
      <c r="V14" s="1084"/>
      <c r="X14" s="1084"/>
    </row>
    <row r="15" spans="1:24" x14ac:dyDescent="0.3">
      <c r="A15" t="s">
        <v>1330</v>
      </c>
      <c r="B15" t="s">
        <v>1331</v>
      </c>
      <c r="C15" t="s">
        <v>1291</v>
      </c>
      <c r="D15" t="s">
        <v>1332</v>
      </c>
      <c r="E15" t="s">
        <v>1333</v>
      </c>
      <c r="G15">
        <v>2013</v>
      </c>
      <c r="H15">
        <v>729</v>
      </c>
      <c r="I15">
        <v>730</v>
      </c>
      <c r="K15" t="s">
        <v>1330</v>
      </c>
      <c r="L15" t="s">
        <v>1331</v>
      </c>
      <c r="M15" t="s">
        <v>1291</v>
      </c>
      <c r="N15" t="s">
        <v>1332</v>
      </c>
      <c r="O15" t="s">
        <v>1333</v>
      </c>
      <c r="Q15" s="89">
        <v>2006</v>
      </c>
      <c r="R15" s="703">
        <v>1.30983</v>
      </c>
      <c r="T15" s="89">
        <v>1926</v>
      </c>
      <c r="U15" s="89">
        <v>7</v>
      </c>
      <c r="V15" s="1084"/>
      <c r="X15" s="1084"/>
    </row>
    <row r="16" spans="1:24" x14ac:dyDescent="0.3">
      <c r="A16" t="s">
        <v>1334</v>
      </c>
      <c r="B16" t="s">
        <v>1335</v>
      </c>
      <c r="C16" t="s">
        <v>1291</v>
      </c>
      <c r="D16" t="s">
        <v>1336</v>
      </c>
      <c r="E16" t="s">
        <v>1337</v>
      </c>
      <c r="G16">
        <v>2012</v>
      </c>
      <c r="H16">
        <v>705</v>
      </c>
      <c r="I16">
        <v>711</v>
      </c>
      <c r="K16" t="s">
        <v>1334</v>
      </c>
      <c r="L16" t="s">
        <v>1335</v>
      </c>
      <c r="M16" t="s">
        <v>1291</v>
      </c>
      <c r="N16" t="s">
        <v>1336</v>
      </c>
      <c r="O16" t="s">
        <v>1337</v>
      </c>
      <c r="Q16" s="89">
        <v>2007</v>
      </c>
      <c r="R16" s="703">
        <v>1.4640599999999999</v>
      </c>
      <c r="T16" s="89">
        <v>1927</v>
      </c>
      <c r="U16" s="89">
        <v>7</v>
      </c>
      <c r="V16" s="1084"/>
      <c r="X16" s="1084"/>
    </row>
    <row r="17" spans="1:24" x14ac:dyDescent="0.3">
      <c r="A17" t="s">
        <v>1338</v>
      </c>
      <c r="B17" t="s">
        <v>1339</v>
      </c>
      <c r="C17" t="s">
        <v>1291</v>
      </c>
      <c r="D17" t="s">
        <v>1340</v>
      </c>
      <c r="E17" t="s">
        <v>1341</v>
      </c>
      <c r="G17">
        <v>2011</v>
      </c>
      <c r="H17">
        <v>690</v>
      </c>
      <c r="I17">
        <v>694</v>
      </c>
      <c r="K17" t="s">
        <v>1338</v>
      </c>
      <c r="L17" t="s">
        <v>1339</v>
      </c>
      <c r="M17" t="s">
        <v>1291</v>
      </c>
      <c r="N17" t="s">
        <v>1340</v>
      </c>
      <c r="O17" t="s">
        <v>1341</v>
      </c>
      <c r="Q17" s="89">
        <v>2008</v>
      </c>
      <c r="R17" s="703">
        <v>1.49681</v>
      </c>
      <c r="T17" s="89">
        <v>1928</v>
      </c>
      <c r="U17" s="89">
        <v>8</v>
      </c>
      <c r="V17" s="1084"/>
      <c r="X17" s="1084"/>
    </row>
    <row r="18" spans="1:24" x14ac:dyDescent="0.3">
      <c r="A18" t="s">
        <v>1342</v>
      </c>
      <c r="B18" t="s">
        <v>1343</v>
      </c>
      <c r="C18" t="s">
        <v>1291</v>
      </c>
      <c r="D18" t="s">
        <v>1344</v>
      </c>
      <c r="E18" t="s">
        <v>1345</v>
      </c>
      <c r="G18">
        <v>2010</v>
      </c>
      <c r="H18">
        <v>670</v>
      </c>
      <c r="I18">
        <v>673</v>
      </c>
      <c r="K18" t="s">
        <v>1342</v>
      </c>
      <c r="L18" t="s">
        <v>1343</v>
      </c>
      <c r="M18" t="s">
        <v>1291</v>
      </c>
      <c r="N18" t="s">
        <v>1344</v>
      </c>
      <c r="O18" t="s">
        <v>1345</v>
      </c>
      <c r="Q18" s="89">
        <v>2009</v>
      </c>
      <c r="R18" s="703">
        <v>1.4976100000000001</v>
      </c>
      <c r="T18" s="89">
        <v>1929</v>
      </c>
      <c r="U18" s="89">
        <v>9</v>
      </c>
      <c r="V18" s="1084"/>
      <c r="X18" s="1084"/>
    </row>
    <row r="19" spans="1:24" x14ac:dyDescent="0.3">
      <c r="A19" t="s">
        <v>1346</v>
      </c>
      <c r="B19" t="s">
        <v>1347</v>
      </c>
      <c r="C19" t="s">
        <v>1291</v>
      </c>
      <c r="D19" t="s">
        <v>1348</v>
      </c>
      <c r="E19" t="s">
        <v>1349</v>
      </c>
      <c r="G19">
        <v>2009</v>
      </c>
      <c r="H19">
        <v>695</v>
      </c>
      <c r="I19">
        <v>684</v>
      </c>
      <c r="K19" t="s">
        <v>1346</v>
      </c>
      <c r="L19" t="s">
        <v>1347</v>
      </c>
      <c r="M19" t="s">
        <v>1291</v>
      </c>
      <c r="N19" t="s">
        <v>1348</v>
      </c>
      <c r="O19" t="s">
        <v>1349</v>
      </c>
      <c r="Q19" s="89">
        <v>2010</v>
      </c>
      <c r="R19" s="703">
        <v>1.49139</v>
      </c>
      <c r="T19" s="89">
        <v>1930</v>
      </c>
      <c r="U19" s="89">
        <v>12</v>
      </c>
      <c r="V19" s="1084"/>
      <c r="X19" s="1084"/>
    </row>
    <row r="20" spans="1:24" x14ac:dyDescent="0.3">
      <c r="A20" t="s">
        <v>1350</v>
      </c>
      <c r="B20" t="s">
        <v>1351</v>
      </c>
      <c r="C20" t="s">
        <v>1291</v>
      </c>
      <c r="D20" t="s">
        <v>1352</v>
      </c>
      <c r="E20" t="s">
        <v>1353</v>
      </c>
      <c r="G20">
        <v>2008</v>
      </c>
      <c r="H20">
        <v>665</v>
      </c>
      <c r="I20">
        <v>692</v>
      </c>
      <c r="K20" t="s">
        <v>1350</v>
      </c>
      <c r="L20" t="s">
        <v>1351</v>
      </c>
      <c r="M20" t="s">
        <v>1291</v>
      </c>
      <c r="N20" t="s">
        <v>1352</v>
      </c>
      <c r="O20" t="s">
        <v>1353</v>
      </c>
      <c r="Q20" s="89">
        <v>2011</v>
      </c>
      <c r="R20" s="703">
        <v>1.5736699999999999</v>
      </c>
      <c r="T20" s="89">
        <v>1931</v>
      </c>
      <c r="U20" s="89">
        <v>13</v>
      </c>
      <c r="V20" s="1084"/>
      <c r="X20" s="1084"/>
    </row>
    <row r="21" spans="1:24" x14ac:dyDescent="0.3">
      <c r="A21" t="s">
        <v>1354</v>
      </c>
      <c r="B21" t="s">
        <v>1355</v>
      </c>
      <c r="C21" t="s">
        <v>1291</v>
      </c>
      <c r="D21" t="s">
        <v>1356</v>
      </c>
      <c r="E21" t="s">
        <v>1357</v>
      </c>
      <c r="G21">
        <v>2007</v>
      </c>
      <c r="H21">
        <v>648</v>
      </c>
      <c r="I21">
        <v>654</v>
      </c>
      <c r="K21" t="s">
        <v>1354</v>
      </c>
      <c r="L21" t="s">
        <v>1355</v>
      </c>
      <c r="M21" t="s">
        <v>1291</v>
      </c>
      <c r="N21" t="s">
        <v>1356</v>
      </c>
      <c r="O21" t="s">
        <v>1357</v>
      </c>
      <c r="Q21" s="89">
        <v>2012</v>
      </c>
      <c r="R21" s="703">
        <v>1.6204400000000001</v>
      </c>
      <c r="T21" s="89">
        <v>1932</v>
      </c>
      <c r="U21" s="89">
        <v>11</v>
      </c>
      <c r="V21" s="1084"/>
      <c r="X21" s="1084"/>
    </row>
    <row r="22" spans="1:24" x14ac:dyDescent="0.3">
      <c r="A22" t="s">
        <v>1358</v>
      </c>
      <c r="B22" t="s">
        <v>1359</v>
      </c>
      <c r="C22" t="s">
        <v>1291</v>
      </c>
      <c r="D22" t="s">
        <v>1360</v>
      </c>
      <c r="E22" t="s">
        <v>1361</v>
      </c>
      <c r="G22">
        <v>2006</v>
      </c>
      <c r="H22">
        <v>612</v>
      </c>
      <c r="I22">
        <v>621</v>
      </c>
      <c r="K22" t="s">
        <v>1358</v>
      </c>
      <c r="L22" t="s">
        <v>1359</v>
      </c>
      <c r="M22" t="s">
        <v>1291</v>
      </c>
      <c r="N22" t="s">
        <v>1360</v>
      </c>
      <c r="O22" t="s">
        <v>1361</v>
      </c>
      <c r="Q22" s="89">
        <v>2013</v>
      </c>
      <c r="R22" s="703" t="s">
        <v>1329</v>
      </c>
      <c r="T22" s="89">
        <v>1933</v>
      </c>
      <c r="U22" s="89">
        <v>9</v>
      </c>
      <c r="V22" s="1084"/>
      <c r="X22" s="1084"/>
    </row>
    <row r="23" spans="1:24" x14ac:dyDescent="0.3">
      <c r="A23" t="s">
        <v>1362</v>
      </c>
      <c r="B23" t="s">
        <v>1363</v>
      </c>
      <c r="C23" t="s">
        <v>1291</v>
      </c>
      <c r="D23" t="s">
        <v>1364</v>
      </c>
      <c r="E23" t="s">
        <v>1365</v>
      </c>
      <c r="G23">
        <v>2005</v>
      </c>
      <c r="H23">
        <v>590</v>
      </c>
      <c r="I23">
        <v>596</v>
      </c>
      <c r="K23" t="s">
        <v>1362</v>
      </c>
      <c r="L23" t="s">
        <v>1363</v>
      </c>
      <c r="M23" t="s">
        <v>1291</v>
      </c>
      <c r="N23" t="s">
        <v>1364</v>
      </c>
      <c r="O23" t="s">
        <v>1365</v>
      </c>
      <c r="Q23" s="89">
        <v>2014</v>
      </c>
      <c r="R23" s="703" t="s">
        <v>1325</v>
      </c>
      <c r="T23" s="89">
        <v>1934</v>
      </c>
      <c r="U23" s="89">
        <v>7</v>
      </c>
      <c r="V23" s="1084"/>
      <c r="X23" s="1084"/>
    </row>
    <row r="24" spans="1:24" x14ac:dyDescent="0.3">
      <c r="A24" t="s">
        <v>1366</v>
      </c>
      <c r="B24" t="s">
        <v>1367</v>
      </c>
      <c r="C24" t="s">
        <v>1291</v>
      </c>
      <c r="D24" t="s">
        <v>1368</v>
      </c>
      <c r="E24" t="s">
        <v>1369</v>
      </c>
      <c r="G24">
        <v>2004</v>
      </c>
      <c r="H24">
        <v>560</v>
      </c>
      <c r="I24">
        <v>579</v>
      </c>
      <c r="K24" t="s">
        <v>1366</v>
      </c>
      <c r="L24" t="s">
        <v>1367</v>
      </c>
      <c r="M24" t="s">
        <v>1291</v>
      </c>
      <c r="N24" t="s">
        <v>1368</v>
      </c>
      <c r="O24" t="s">
        <v>1369</v>
      </c>
      <c r="Q24" s="89">
        <v>2015</v>
      </c>
      <c r="R24" s="703" t="s">
        <v>1321</v>
      </c>
      <c r="T24" s="89">
        <v>1935</v>
      </c>
      <c r="U24" s="89">
        <v>7</v>
      </c>
      <c r="V24" s="1084"/>
      <c r="X24" s="1084"/>
    </row>
    <row r="25" spans="1:24" x14ac:dyDescent="0.3">
      <c r="A25" t="s">
        <v>1370</v>
      </c>
      <c r="B25" t="s">
        <v>1371</v>
      </c>
      <c r="C25" t="s">
        <v>1291</v>
      </c>
      <c r="D25" t="s">
        <v>1372</v>
      </c>
      <c r="E25" t="s">
        <v>1373</v>
      </c>
      <c r="G25">
        <v>2003</v>
      </c>
      <c r="H25">
        <v>547</v>
      </c>
      <c r="I25">
        <v>552</v>
      </c>
      <c r="K25" t="s">
        <v>1370</v>
      </c>
      <c r="L25" t="s">
        <v>1371</v>
      </c>
      <c r="M25" t="s">
        <v>1291</v>
      </c>
      <c r="N25" t="s">
        <v>1372</v>
      </c>
      <c r="O25" t="s">
        <v>1373</v>
      </c>
      <c r="Q25" s="89">
        <v>2016</v>
      </c>
      <c r="R25" s="703" t="s">
        <v>1317</v>
      </c>
      <c r="T25" s="89">
        <v>1936</v>
      </c>
      <c r="U25" s="89">
        <v>7</v>
      </c>
      <c r="V25" s="1084"/>
      <c r="X25" s="1084"/>
    </row>
    <row r="26" spans="1:24" x14ac:dyDescent="0.3">
      <c r="A26" t="s">
        <v>1374</v>
      </c>
      <c r="B26" t="s">
        <v>993</v>
      </c>
      <c r="C26" t="s">
        <v>1291</v>
      </c>
      <c r="D26" t="s">
        <v>993</v>
      </c>
      <c r="E26" t="s">
        <v>1375</v>
      </c>
      <c r="G26">
        <v>2002</v>
      </c>
      <c r="H26">
        <v>540</v>
      </c>
      <c r="I26">
        <v>540</v>
      </c>
      <c r="K26" t="s">
        <v>1374</v>
      </c>
      <c r="L26" t="s">
        <v>993</v>
      </c>
      <c r="M26" t="s">
        <v>1291</v>
      </c>
      <c r="N26" t="s">
        <v>993</v>
      </c>
      <c r="O26" t="s">
        <v>1375</v>
      </c>
      <c r="Q26" s="89">
        <v>2017</v>
      </c>
      <c r="R26" s="703">
        <v>1.6338600000000001</v>
      </c>
      <c r="T26" s="89">
        <v>1937</v>
      </c>
      <c r="U26" s="89">
        <v>8</v>
      </c>
      <c r="V26" s="1084"/>
      <c r="X26" s="1084"/>
    </row>
    <row r="27" spans="1:24" x14ac:dyDescent="0.3">
      <c r="A27" t="s">
        <v>1376</v>
      </c>
      <c r="B27" t="s">
        <v>993</v>
      </c>
      <c r="C27" t="s">
        <v>1291</v>
      </c>
      <c r="D27" t="s">
        <v>993</v>
      </c>
      <c r="E27" t="s">
        <v>1377</v>
      </c>
      <c r="G27">
        <v>2001</v>
      </c>
      <c r="H27">
        <v>511</v>
      </c>
      <c r="I27">
        <v>527</v>
      </c>
      <c r="K27" t="s">
        <v>1376</v>
      </c>
      <c r="L27" t="s">
        <v>993</v>
      </c>
      <c r="M27" t="s">
        <v>1291</v>
      </c>
      <c r="N27" t="s">
        <v>993</v>
      </c>
      <c r="O27" t="s">
        <v>1377</v>
      </c>
      <c r="Q27" s="89">
        <v>2018</v>
      </c>
      <c r="R27" s="703">
        <v>1.70703</v>
      </c>
      <c r="T27" s="89">
        <v>1938</v>
      </c>
      <c r="U27" s="89">
        <v>8</v>
      </c>
      <c r="V27" s="1084"/>
      <c r="X27" s="1084"/>
    </row>
    <row r="28" spans="1:24" x14ac:dyDescent="0.3">
      <c r="A28" t="s">
        <v>1378</v>
      </c>
      <c r="B28" t="s">
        <v>993</v>
      </c>
      <c r="C28" t="s">
        <v>1291</v>
      </c>
      <c r="D28" t="s">
        <v>993</v>
      </c>
      <c r="E28" t="s">
        <v>1379</v>
      </c>
      <c r="G28">
        <v>2000</v>
      </c>
      <c r="H28">
        <v>490</v>
      </c>
      <c r="I28">
        <v>503</v>
      </c>
      <c r="K28" t="s">
        <v>1378</v>
      </c>
      <c r="L28" t="s">
        <v>993</v>
      </c>
      <c r="M28" t="s">
        <v>1291</v>
      </c>
      <c r="N28" t="s">
        <v>993</v>
      </c>
      <c r="O28" t="s">
        <v>1379</v>
      </c>
      <c r="Q28" s="89">
        <v>2019</v>
      </c>
      <c r="R28" s="703">
        <v>1.7412399999999999</v>
      </c>
      <c r="T28" s="89">
        <v>1939</v>
      </c>
      <c r="U28" s="89">
        <v>9</v>
      </c>
      <c r="V28" s="1084"/>
      <c r="X28" s="1084"/>
    </row>
    <row r="29" spans="1:24" x14ac:dyDescent="0.3">
      <c r="A29" t="s">
        <v>1380</v>
      </c>
      <c r="B29" t="s">
        <v>993</v>
      </c>
      <c r="C29" t="s">
        <v>1291</v>
      </c>
      <c r="D29" t="s">
        <v>993</v>
      </c>
      <c r="E29" t="s">
        <v>1381</v>
      </c>
      <c r="G29">
        <v>1999</v>
      </c>
      <c r="H29">
        <v>480</v>
      </c>
      <c r="I29">
        <v>484</v>
      </c>
      <c r="K29" t="s">
        <v>1380</v>
      </c>
      <c r="L29" t="s">
        <v>993</v>
      </c>
      <c r="M29" t="s">
        <v>1291</v>
      </c>
      <c r="N29" t="s">
        <v>993</v>
      </c>
      <c r="O29" t="s">
        <v>1381</v>
      </c>
      <c r="Q29" s="89">
        <v>2020</v>
      </c>
      <c r="R29" s="703">
        <v>1.6842900000000001</v>
      </c>
      <c r="T29" s="89">
        <v>1940</v>
      </c>
      <c r="U29" s="89">
        <v>10</v>
      </c>
      <c r="V29" s="1084"/>
      <c r="X29" s="1084"/>
    </row>
    <row r="30" spans="1:24" x14ac:dyDescent="0.3">
      <c r="A30" t="s">
        <v>1382</v>
      </c>
      <c r="B30" t="s">
        <v>993</v>
      </c>
      <c r="C30" t="s">
        <v>1291</v>
      </c>
      <c r="D30" t="s">
        <v>993</v>
      </c>
      <c r="E30" t="s">
        <v>1383</v>
      </c>
      <c r="G30">
        <v>1998</v>
      </c>
      <c r="H30">
        <v>471</v>
      </c>
      <c r="I30">
        <v>472</v>
      </c>
      <c r="K30" t="s">
        <v>1382</v>
      </c>
      <c r="L30" t="s">
        <v>993</v>
      </c>
      <c r="M30" t="s">
        <v>1291</v>
      </c>
      <c r="N30" t="s">
        <v>993</v>
      </c>
      <c r="O30" t="s">
        <v>1383</v>
      </c>
      <c r="Q30" s="89">
        <v>2021</v>
      </c>
      <c r="R30" s="703">
        <v>1.7222500000000001</v>
      </c>
      <c r="T30" s="89">
        <v>1941</v>
      </c>
      <c r="U30" s="89">
        <v>10</v>
      </c>
      <c r="V30" s="1084"/>
      <c r="X30" s="1084"/>
    </row>
    <row r="31" spans="1:24" x14ac:dyDescent="0.3">
      <c r="A31" t="s">
        <v>1384</v>
      </c>
      <c r="B31" t="s">
        <v>993</v>
      </c>
      <c r="C31" t="s">
        <v>1291</v>
      </c>
      <c r="D31" t="s">
        <v>993</v>
      </c>
      <c r="E31" t="s">
        <v>1385</v>
      </c>
      <c r="G31">
        <v>1997</v>
      </c>
      <c r="H31">
        <v>469</v>
      </c>
      <c r="I31">
        <v>466</v>
      </c>
      <c r="K31" t="s">
        <v>1384</v>
      </c>
      <c r="L31" t="s">
        <v>993</v>
      </c>
      <c r="M31" t="s">
        <v>1291</v>
      </c>
      <c r="N31" t="s">
        <v>993</v>
      </c>
      <c r="O31" t="s">
        <v>1385</v>
      </c>
      <c r="Q31" s="89">
        <v>2022</v>
      </c>
      <c r="R31" s="703">
        <v>2.0148000000000001</v>
      </c>
      <c r="T31" s="89">
        <v>1942</v>
      </c>
      <c r="U31" s="89">
        <v>14</v>
      </c>
      <c r="V31" s="1084"/>
      <c r="X31" s="1084"/>
    </row>
    <row r="32" spans="1:24" x14ac:dyDescent="0.3">
      <c r="A32" t="s">
        <v>1386</v>
      </c>
      <c r="B32" t="s">
        <v>993</v>
      </c>
      <c r="C32" t="s">
        <v>1291</v>
      </c>
      <c r="D32" t="s">
        <v>993</v>
      </c>
      <c r="E32" t="s">
        <v>1387</v>
      </c>
      <c r="G32">
        <v>1996</v>
      </c>
      <c r="H32">
        <v>470</v>
      </c>
      <c r="I32">
        <v>467</v>
      </c>
      <c r="K32" t="s">
        <v>1386</v>
      </c>
      <c r="L32" t="s">
        <v>993</v>
      </c>
      <c r="M32" t="s">
        <v>1291</v>
      </c>
      <c r="N32" t="s">
        <v>993</v>
      </c>
      <c r="O32" t="s">
        <v>1387</v>
      </c>
      <c r="Q32" s="89">
        <v>2023</v>
      </c>
      <c r="R32" s="703">
        <v>2.2275</v>
      </c>
      <c r="T32" s="89">
        <v>1943</v>
      </c>
      <c r="U32" s="89">
        <v>20</v>
      </c>
      <c r="V32" s="1084"/>
      <c r="X32" s="1084"/>
    </row>
    <row r="33" spans="1:24" x14ac:dyDescent="0.3">
      <c r="A33" t="s">
        <v>1388</v>
      </c>
      <c r="B33" t="s">
        <v>993</v>
      </c>
      <c r="C33" t="s">
        <v>1291</v>
      </c>
      <c r="D33" t="s">
        <v>993</v>
      </c>
      <c r="E33" t="s">
        <v>1389</v>
      </c>
      <c r="G33">
        <v>1995</v>
      </c>
      <c r="H33">
        <v>460</v>
      </c>
      <c r="I33">
        <v>464</v>
      </c>
      <c r="K33" t="s">
        <v>1388</v>
      </c>
      <c r="L33" t="s">
        <v>993</v>
      </c>
      <c r="M33" t="s">
        <v>1291</v>
      </c>
      <c r="N33" t="s">
        <v>993</v>
      </c>
      <c r="O33" t="s">
        <v>1389</v>
      </c>
      <c r="Q33" s="89">
        <v>2024</v>
      </c>
      <c r="R33" s="703">
        <v>2.2863799999999999</v>
      </c>
      <c r="T33" s="89">
        <v>1944</v>
      </c>
      <c r="U33" s="89">
        <v>30</v>
      </c>
      <c r="V33" s="1084"/>
      <c r="X33" s="1084"/>
    </row>
    <row r="34" spans="1:24" x14ac:dyDescent="0.3">
      <c r="G34">
        <v>1994</v>
      </c>
      <c r="H34">
        <v>456</v>
      </c>
      <c r="I34">
        <v>458</v>
      </c>
      <c r="Q34" s="89">
        <v>2025</v>
      </c>
      <c r="R34" s="703">
        <v>2.3417699999999999</v>
      </c>
      <c r="T34" s="89">
        <v>1945</v>
      </c>
      <c r="U34" s="89">
        <v>40</v>
      </c>
      <c r="V34" s="1084"/>
      <c r="X34" s="1084"/>
    </row>
    <row r="35" spans="1:24" x14ac:dyDescent="0.3">
      <c r="G35">
        <v>1993</v>
      </c>
      <c r="H35">
        <v>450</v>
      </c>
      <c r="I35">
        <v>457</v>
      </c>
      <c r="Q35" s="89">
        <v>2026</v>
      </c>
      <c r="R35" s="89">
        <v>2.3958200000000001</v>
      </c>
      <c r="T35" s="89">
        <v>1946</v>
      </c>
      <c r="U35" s="89">
        <v>50</v>
      </c>
      <c r="V35" s="1084"/>
      <c r="X35" s="1084"/>
    </row>
    <row r="36" spans="1:24" x14ac:dyDescent="0.3">
      <c r="G36">
        <v>1992</v>
      </c>
      <c r="H36">
        <v>426</v>
      </c>
      <c r="I36">
        <v>434</v>
      </c>
      <c r="T36" s="89">
        <v>1947</v>
      </c>
      <c r="U36" s="89">
        <v>54</v>
      </c>
      <c r="V36" s="1084"/>
      <c r="X36" s="1084"/>
    </row>
    <row r="37" spans="1:24" x14ac:dyDescent="0.3">
      <c r="G37">
        <v>1991</v>
      </c>
      <c r="H37">
        <v>415</v>
      </c>
      <c r="I37">
        <v>423</v>
      </c>
      <c r="T37" s="89">
        <v>1948</v>
      </c>
      <c r="U37" s="89">
        <v>54</v>
      </c>
      <c r="V37" s="1084"/>
      <c r="X37" s="1084"/>
    </row>
    <row r="38" spans="1:24" x14ac:dyDescent="0.3">
      <c r="G38">
        <v>1990</v>
      </c>
      <c r="H38">
        <v>400</v>
      </c>
      <c r="I38">
        <v>410</v>
      </c>
      <c r="T38" s="89">
        <v>1949</v>
      </c>
      <c r="U38" s="89">
        <v>50</v>
      </c>
      <c r="V38" s="1084"/>
      <c r="X38" s="1084"/>
    </row>
    <row r="39" spans="1:24" x14ac:dyDescent="0.3">
      <c r="G39">
        <v>1989</v>
      </c>
      <c r="H39">
        <v>382</v>
      </c>
      <c r="I39">
        <v>388</v>
      </c>
      <c r="T39" s="89">
        <v>1950</v>
      </c>
      <c r="U39" s="89">
        <v>46</v>
      </c>
      <c r="X39" s="775"/>
    </row>
    <row r="40" spans="1:24" x14ac:dyDescent="0.3">
      <c r="G40">
        <v>1988</v>
      </c>
      <c r="H40">
        <v>375</v>
      </c>
      <c r="I40">
        <v>378</v>
      </c>
      <c r="T40" s="89">
        <v>1951</v>
      </c>
      <c r="U40" s="89">
        <v>50</v>
      </c>
      <c r="X40" s="775"/>
    </row>
    <row r="41" spans="1:24" x14ac:dyDescent="0.3">
      <c r="G41">
        <v>1987</v>
      </c>
      <c r="H41">
        <v>372</v>
      </c>
      <c r="I41">
        <v>372</v>
      </c>
      <c r="T41" s="89">
        <v>1952</v>
      </c>
      <c r="U41" s="89">
        <v>53</v>
      </c>
    </row>
    <row r="42" spans="1:24" x14ac:dyDescent="0.3">
      <c r="G42">
        <v>1986</v>
      </c>
      <c r="H42">
        <v>360</v>
      </c>
      <c r="I42">
        <v>364</v>
      </c>
      <c r="T42" s="89">
        <v>1953</v>
      </c>
      <c r="U42" s="89">
        <v>55</v>
      </c>
    </row>
    <row r="43" spans="1:24" x14ac:dyDescent="0.3">
      <c r="G43">
        <v>1985</v>
      </c>
      <c r="H43">
        <v>352</v>
      </c>
      <c r="I43">
        <v>355</v>
      </c>
      <c r="T43" s="89">
        <v>1954</v>
      </c>
      <c r="U43" s="89">
        <v>55</v>
      </c>
    </row>
    <row r="44" spans="1:24" x14ac:dyDescent="0.3">
      <c r="G44">
        <v>1984</v>
      </c>
      <c r="H44">
        <v>367</v>
      </c>
      <c r="I44">
        <v>351</v>
      </c>
      <c r="T44" s="89">
        <v>1955</v>
      </c>
      <c r="U44" s="89">
        <v>55</v>
      </c>
    </row>
    <row r="45" spans="1:24" x14ac:dyDescent="0.3">
      <c r="G45">
        <v>1983</v>
      </c>
      <c r="H45">
        <v>364</v>
      </c>
      <c r="I45">
        <v>370</v>
      </c>
      <c r="T45" s="89">
        <v>1956</v>
      </c>
      <c r="U45" s="89">
        <v>55</v>
      </c>
    </row>
    <row r="46" spans="1:24" x14ac:dyDescent="0.3">
      <c r="G46">
        <v>1982</v>
      </c>
      <c r="H46">
        <v>330</v>
      </c>
      <c r="I46">
        <v>345</v>
      </c>
      <c r="T46" s="89">
        <v>1957</v>
      </c>
      <c r="U46" s="89">
        <v>60</v>
      </c>
    </row>
    <row r="47" spans="1:24" x14ac:dyDescent="0.3">
      <c r="G47">
        <v>1981</v>
      </c>
      <c r="H47">
        <v>324</v>
      </c>
      <c r="I47">
        <v>324</v>
      </c>
      <c r="T47" s="89">
        <v>1958</v>
      </c>
      <c r="U47" s="89">
        <v>65</v>
      </c>
    </row>
    <row r="48" spans="1:24" x14ac:dyDescent="0.3">
      <c r="G48">
        <v>1980</v>
      </c>
      <c r="H48">
        <v>304</v>
      </c>
      <c r="I48">
        <v>315</v>
      </c>
      <c r="T48" s="89">
        <v>1959</v>
      </c>
      <c r="U48" s="89">
        <v>65</v>
      </c>
    </row>
    <row r="49" spans="7:21" x14ac:dyDescent="0.3">
      <c r="G49">
        <v>1979</v>
      </c>
      <c r="H49">
        <v>287</v>
      </c>
      <c r="I49">
        <v>295</v>
      </c>
      <c r="T49" s="89">
        <v>1960</v>
      </c>
      <c r="U49" s="89">
        <v>65</v>
      </c>
    </row>
    <row r="50" spans="7:21" x14ac:dyDescent="0.3">
      <c r="G50">
        <v>1978</v>
      </c>
      <c r="H50">
        <v>264</v>
      </c>
      <c r="I50">
        <v>276</v>
      </c>
      <c r="T50" s="89">
        <v>1961</v>
      </c>
      <c r="U50" s="89">
        <v>65</v>
      </c>
    </row>
    <row r="51" spans="7:21" x14ac:dyDescent="0.3">
      <c r="G51">
        <v>1977</v>
      </c>
      <c r="H51">
        <v>239</v>
      </c>
      <c r="I51">
        <v>251</v>
      </c>
      <c r="T51" s="89">
        <v>1962</v>
      </c>
      <c r="U51" s="89">
        <v>68</v>
      </c>
    </row>
    <row r="52" spans="7:21" x14ac:dyDescent="0.3">
      <c r="G52">
        <v>1976</v>
      </c>
      <c r="H52">
        <v>211</v>
      </c>
      <c r="I52">
        <v>225</v>
      </c>
      <c r="T52" s="89">
        <v>1963</v>
      </c>
      <c r="U52" s="89">
        <v>70</v>
      </c>
    </row>
    <row r="53" spans="7:21" x14ac:dyDescent="0.3">
      <c r="G53">
        <v>1975</v>
      </c>
      <c r="H53">
        <v>193</v>
      </c>
      <c r="I53">
        <v>201</v>
      </c>
      <c r="T53" s="89">
        <v>1964</v>
      </c>
      <c r="U53" s="89">
        <v>76</v>
      </c>
    </row>
    <row r="54" spans="7:21" x14ac:dyDescent="0.3">
      <c r="G54">
        <v>1974</v>
      </c>
      <c r="H54">
        <v>152</v>
      </c>
      <c r="I54">
        <v>179</v>
      </c>
      <c r="T54" s="89">
        <v>1965</v>
      </c>
      <c r="U54" s="89">
        <v>78</v>
      </c>
    </row>
    <row r="55" spans="7:21" x14ac:dyDescent="0.3">
      <c r="G55">
        <v>1973</v>
      </c>
      <c r="H55">
        <v>134</v>
      </c>
      <c r="I55">
        <v>142</v>
      </c>
      <c r="T55" s="89">
        <v>1966</v>
      </c>
      <c r="U55" s="89">
        <v>82</v>
      </c>
    </row>
    <row r="56" spans="7:21" x14ac:dyDescent="0.3">
      <c r="G56">
        <v>1972</v>
      </c>
      <c r="H56">
        <v>126</v>
      </c>
      <c r="I56">
        <v>130</v>
      </c>
      <c r="T56" s="89">
        <v>1967</v>
      </c>
      <c r="U56" s="89">
        <v>88</v>
      </c>
    </row>
    <row r="57" spans="7:21" x14ac:dyDescent="0.3">
      <c r="G57">
        <v>1971</v>
      </c>
      <c r="H57">
        <v>110</v>
      </c>
      <c r="I57">
        <v>119</v>
      </c>
      <c r="T57" s="89">
        <v>1968</v>
      </c>
      <c r="U57" s="89">
        <v>91</v>
      </c>
    </row>
    <row r="58" spans="7:21" x14ac:dyDescent="0.3">
      <c r="G58">
        <v>1970</v>
      </c>
      <c r="H58">
        <v>102</v>
      </c>
      <c r="I58">
        <v>106</v>
      </c>
      <c r="T58" s="89">
        <v>1969</v>
      </c>
      <c r="U58" s="89">
        <v>94</v>
      </c>
    </row>
    <row r="59" spans="7:21" x14ac:dyDescent="0.3">
      <c r="G59">
        <v>1969</v>
      </c>
      <c r="H59">
        <v>94</v>
      </c>
      <c r="I59">
        <v>96</v>
      </c>
      <c r="T59" s="89">
        <v>1970</v>
      </c>
      <c r="U59" s="89">
        <v>102</v>
      </c>
    </row>
    <row r="60" spans="7:21" x14ac:dyDescent="0.3">
      <c r="G60">
        <v>1968</v>
      </c>
      <c r="H60">
        <v>91</v>
      </c>
      <c r="I60">
        <v>93</v>
      </c>
      <c r="T60" s="89">
        <v>1971</v>
      </c>
      <c r="U60" s="89">
        <v>110</v>
      </c>
    </row>
    <row r="61" spans="7:21" x14ac:dyDescent="0.3">
      <c r="G61">
        <v>1967</v>
      </c>
      <c r="H61">
        <v>88</v>
      </c>
      <c r="I61">
        <v>90</v>
      </c>
      <c r="T61" s="89">
        <v>1972</v>
      </c>
      <c r="U61" s="89">
        <v>126</v>
      </c>
    </row>
    <row r="62" spans="7:21" x14ac:dyDescent="0.3">
      <c r="G62">
        <v>1966</v>
      </c>
      <c r="H62">
        <v>82</v>
      </c>
      <c r="I62">
        <v>85</v>
      </c>
      <c r="T62" s="89">
        <v>1973</v>
      </c>
      <c r="U62" s="89">
        <v>134</v>
      </c>
    </row>
    <row r="63" spans="7:21" x14ac:dyDescent="0.3">
      <c r="G63">
        <v>1965</v>
      </c>
      <c r="H63">
        <v>78</v>
      </c>
      <c r="I63">
        <v>80</v>
      </c>
      <c r="T63" s="89">
        <v>1974</v>
      </c>
      <c r="U63" s="89">
        <v>152</v>
      </c>
    </row>
    <row r="64" spans="7:21" x14ac:dyDescent="0.3">
      <c r="G64">
        <v>1964</v>
      </c>
      <c r="H64">
        <v>76</v>
      </c>
      <c r="I64">
        <v>77</v>
      </c>
      <c r="T64" s="89">
        <v>1975</v>
      </c>
      <c r="U64" s="89">
        <v>193</v>
      </c>
    </row>
    <row r="65" spans="7:21" x14ac:dyDescent="0.3">
      <c r="G65">
        <v>1963</v>
      </c>
      <c r="H65">
        <v>70</v>
      </c>
      <c r="I65">
        <v>73</v>
      </c>
      <c r="T65" s="89">
        <v>1976</v>
      </c>
      <c r="U65" s="89">
        <v>211</v>
      </c>
    </row>
    <row r="66" spans="7:21" x14ac:dyDescent="0.3">
      <c r="G66">
        <v>1962</v>
      </c>
      <c r="H66">
        <v>68</v>
      </c>
      <c r="I66">
        <v>70</v>
      </c>
      <c r="T66" s="89">
        <v>1977</v>
      </c>
      <c r="U66" s="89">
        <v>239</v>
      </c>
    </row>
    <row r="67" spans="7:21" x14ac:dyDescent="0.3">
      <c r="G67">
        <v>1961</v>
      </c>
      <c r="H67">
        <v>65</v>
      </c>
      <c r="I67">
        <v>68</v>
      </c>
      <c r="T67" s="89">
        <v>1978</v>
      </c>
      <c r="U67" s="89">
        <v>264</v>
      </c>
    </row>
    <row r="68" spans="7:21" x14ac:dyDescent="0.3">
      <c r="G68">
        <v>1960</v>
      </c>
      <c r="H68">
        <v>65</v>
      </c>
      <c r="I68">
        <v>65</v>
      </c>
      <c r="T68" s="89">
        <v>1979</v>
      </c>
      <c r="U68" s="89">
        <v>287</v>
      </c>
    </row>
    <row r="69" spans="7:21" x14ac:dyDescent="0.3">
      <c r="G69">
        <v>1959</v>
      </c>
      <c r="H69">
        <v>65</v>
      </c>
      <c r="I69">
        <v>65</v>
      </c>
      <c r="T69" s="89">
        <v>1980</v>
      </c>
      <c r="U69" s="89">
        <v>304</v>
      </c>
    </row>
    <row r="70" spans="7:21" x14ac:dyDescent="0.3">
      <c r="G70">
        <v>1958</v>
      </c>
      <c r="H70">
        <v>65</v>
      </c>
      <c r="I70">
        <v>65</v>
      </c>
      <c r="T70" s="89">
        <v>1981</v>
      </c>
      <c r="U70" s="89">
        <v>324</v>
      </c>
    </row>
    <row r="71" spans="7:21" x14ac:dyDescent="0.3">
      <c r="G71">
        <v>1957</v>
      </c>
      <c r="H71">
        <v>60</v>
      </c>
      <c r="I71">
        <v>65</v>
      </c>
      <c r="T71" s="89">
        <v>1982</v>
      </c>
      <c r="U71" s="89">
        <v>330</v>
      </c>
    </row>
    <row r="72" spans="7:21" x14ac:dyDescent="0.3">
      <c r="G72">
        <v>1956</v>
      </c>
      <c r="H72">
        <v>55</v>
      </c>
      <c r="I72">
        <v>60</v>
      </c>
      <c r="T72" s="89">
        <v>1983</v>
      </c>
      <c r="U72" s="89">
        <v>364</v>
      </c>
    </row>
    <row r="73" spans="7:21" x14ac:dyDescent="0.3">
      <c r="G73">
        <v>1955</v>
      </c>
      <c r="H73">
        <v>55</v>
      </c>
      <c r="I73">
        <v>55</v>
      </c>
      <c r="T73" s="89">
        <v>1984</v>
      </c>
      <c r="U73" s="89">
        <v>367</v>
      </c>
    </row>
    <row r="74" spans="7:21" x14ac:dyDescent="0.3">
      <c r="G74">
        <v>1954</v>
      </c>
      <c r="H74">
        <v>55</v>
      </c>
      <c r="I74">
        <v>55</v>
      </c>
      <c r="T74" s="89">
        <v>1985</v>
      </c>
      <c r="U74" s="89">
        <v>352</v>
      </c>
    </row>
    <row r="75" spans="7:21" x14ac:dyDescent="0.3">
      <c r="G75">
        <v>1953</v>
      </c>
      <c r="H75">
        <v>55</v>
      </c>
      <c r="I75">
        <v>55</v>
      </c>
      <c r="T75" s="89">
        <v>1986</v>
      </c>
      <c r="U75" s="89">
        <v>360</v>
      </c>
    </row>
    <row r="76" spans="7:21" x14ac:dyDescent="0.3">
      <c r="G76">
        <v>1952</v>
      </c>
      <c r="H76">
        <v>53</v>
      </c>
      <c r="I76">
        <v>55</v>
      </c>
      <c r="T76" s="89">
        <v>1987</v>
      </c>
      <c r="U76" s="89">
        <v>372</v>
      </c>
    </row>
    <row r="77" spans="7:21" x14ac:dyDescent="0.3">
      <c r="G77">
        <v>1951</v>
      </c>
      <c r="H77">
        <v>50</v>
      </c>
      <c r="I77">
        <v>53</v>
      </c>
      <c r="T77" s="89">
        <v>1988</v>
      </c>
      <c r="U77" s="89">
        <v>375</v>
      </c>
    </row>
    <row r="78" spans="7:21" x14ac:dyDescent="0.3">
      <c r="G78">
        <v>1950</v>
      </c>
      <c r="H78">
        <v>46</v>
      </c>
      <c r="I78">
        <v>50</v>
      </c>
      <c r="T78" s="89">
        <v>1989</v>
      </c>
      <c r="U78" s="89">
        <v>382</v>
      </c>
    </row>
    <row r="79" spans="7:21" x14ac:dyDescent="0.3">
      <c r="G79">
        <v>1949</v>
      </c>
      <c r="H79">
        <v>50</v>
      </c>
      <c r="I79">
        <v>46</v>
      </c>
      <c r="T79" s="89">
        <v>1990</v>
      </c>
      <c r="U79" s="89">
        <v>400</v>
      </c>
    </row>
    <row r="80" spans="7:21" x14ac:dyDescent="0.3">
      <c r="G80">
        <v>1948</v>
      </c>
      <c r="H80">
        <v>54</v>
      </c>
      <c r="I80">
        <v>50</v>
      </c>
      <c r="T80" s="89">
        <v>1991</v>
      </c>
      <c r="U80" s="89">
        <v>415</v>
      </c>
    </row>
    <row r="81" spans="7:21" x14ac:dyDescent="0.3">
      <c r="G81">
        <v>1947</v>
      </c>
      <c r="H81">
        <v>54</v>
      </c>
      <c r="I81">
        <v>54</v>
      </c>
      <c r="T81" s="89">
        <v>1992</v>
      </c>
      <c r="U81" s="89">
        <v>426</v>
      </c>
    </row>
    <row r="82" spans="7:21" x14ac:dyDescent="0.3">
      <c r="G82">
        <v>1946</v>
      </c>
      <c r="H82">
        <v>50</v>
      </c>
      <c r="I82">
        <v>54</v>
      </c>
      <c r="T82" s="89">
        <v>1993</v>
      </c>
      <c r="U82" s="89">
        <v>450</v>
      </c>
    </row>
    <row r="83" spans="7:21" x14ac:dyDescent="0.3">
      <c r="G83">
        <v>1945</v>
      </c>
      <c r="H83">
        <v>40</v>
      </c>
      <c r="I83">
        <v>50</v>
      </c>
      <c r="T83" s="89">
        <v>1994</v>
      </c>
      <c r="U83" s="89">
        <v>456</v>
      </c>
    </row>
    <row r="84" spans="7:21" x14ac:dyDescent="0.3">
      <c r="G84">
        <v>1944</v>
      </c>
      <c r="H84">
        <v>30</v>
      </c>
      <c r="I84">
        <v>40</v>
      </c>
      <c r="T84" s="89">
        <v>1995</v>
      </c>
      <c r="U84" s="89">
        <v>460</v>
      </c>
    </row>
    <row r="85" spans="7:21" x14ac:dyDescent="0.3">
      <c r="G85">
        <v>1943</v>
      </c>
      <c r="H85">
        <v>20</v>
      </c>
      <c r="I85">
        <v>30</v>
      </c>
      <c r="T85" s="89">
        <v>1996</v>
      </c>
      <c r="U85" s="89">
        <v>470</v>
      </c>
    </row>
    <row r="86" spans="7:21" x14ac:dyDescent="0.3">
      <c r="G86">
        <v>1942</v>
      </c>
      <c r="H86">
        <v>14</v>
      </c>
      <c r="I86">
        <v>20</v>
      </c>
      <c r="T86" s="89">
        <v>1997</v>
      </c>
      <c r="U86" s="89">
        <v>469</v>
      </c>
    </row>
    <row r="87" spans="7:21" x14ac:dyDescent="0.3">
      <c r="G87">
        <v>1941</v>
      </c>
      <c r="H87">
        <v>10</v>
      </c>
      <c r="I87">
        <v>14</v>
      </c>
      <c r="T87" s="89">
        <v>1998</v>
      </c>
      <c r="U87" s="89">
        <v>471</v>
      </c>
    </row>
    <row r="88" spans="7:21" x14ac:dyDescent="0.3">
      <c r="G88">
        <v>1940</v>
      </c>
      <c r="H88">
        <v>10</v>
      </c>
      <c r="I88">
        <v>10</v>
      </c>
      <c r="T88" s="89">
        <v>1999</v>
      </c>
      <c r="U88" s="89">
        <v>480</v>
      </c>
    </row>
    <row r="89" spans="7:21" x14ac:dyDescent="0.3">
      <c r="G89">
        <v>1939</v>
      </c>
      <c r="H89">
        <v>9</v>
      </c>
      <c r="I89">
        <v>10</v>
      </c>
      <c r="T89" s="89">
        <v>2000</v>
      </c>
      <c r="U89" s="89">
        <v>490</v>
      </c>
    </row>
    <row r="90" spans="7:21" x14ac:dyDescent="0.3">
      <c r="G90">
        <v>1938</v>
      </c>
      <c r="H90">
        <v>8</v>
      </c>
      <c r="I90">
        <v>9</v>
      </c>
      <c r="T90" s="89">
        <v>2001</v>
      </c>
      <c r="U90" s="89">
        <v>511</v>
      </c>
    </row>
    <row r="91" spans="7:21" x14ac:dyDescent="0.3">
      <c r="G91">
        <v>1937</v>
      </c>
      <c r="H91">
        <v>8</v>
      </c>
      <c r="I91">
        <v>8</v>
      </c>
      <c r="T91" s="89">
        <v>2002</v>
      </c>
      <c r="U91" s="89">
        <v>540</v>
      </c>
    </row>
    <row r="92" spans="7:21" x14ac:dyDescent="0.3">
      <c r="G92">
        <v>1936</v>
      </c>
      <c r="H92">
        <v>7</v>
      </c>
      <c r="I92">
        <v>8</v>
      </c>
      <c r="T92" s="89">
        <v>2003</v>
      </c>
      <c r="U92" s="89">
        <v>547</v>
      </c>
    </row>
    <row r="93" spans="7:21" x14ac:dyDescent="0.3">
      <c r="G93">
        <v>1935</v>
      </c>
      <c r="H93">
        <v>7</v>
      </c>
      <c r="I93">
        <v>7</v>
      </c>
      <c r="T93" s="89">
        <v>2004</v>
      </c>
      <c r="U93" s="89">
        <v>560</v>
      </c>
    </row>
    <row r="94" spans="7:21" x14ac:dyDescent="0.3">
      <c r="G94">
        <v>1934</v>
      </c>
      <c r="H94">
        <v>7</v>
      </c>
      <c r="I94">
        <v>7</v>
      </c>
      <c r="T94" s="89">
        <v>2005</v>
      </c>
      <c r="U94" s="89">
        <v>590</v>
      </c>
    </row>
    <row r="95" spans="7:21" x14ac:dyDescent="0.3">
      <c r="G95">
        <v>1933</v>
      </c>
      <c r="H95">
        <v>9</v>
      </c>
      <c r="I95">
        <v>7</v>
      </c>
      <c r="T95" s="89">
        <v>2006</v>
      </c>
      <c r="U95" s="89">
        <v>612</v>
      </c>
    </row>
    <row r="96" spans="7:21" x14ac:dyDescent="0.3">
      <c r="G96">
        <v>1932</v>
      </c>
      <c r="H96">
        <v>11</v>
      </c>
      <c r="I96">
        <v>9</v>
      </c>
      <c r="T96" s="89">
        <v>2007</v>
      </c>
      <c r="U96" s="89">
        <v>648</v>
      </c>
    </row>
    <row r="97" spans="7:21" x14ac:dyDescent="0.3">
      <c r="G97">
        <v>1931</v>
      </c>
      <c r="H97">
        <v>13</v>
      </c>
      <c r="I97">
        <v>11</v>
      </c>
      <c r="T97" s="89">
        <v>2008</v>
      </c>
      <c r="U97" s="89">
        <v>665</v>
      </c>
    </row>
    <row r="98" spans="7:21" x14ac:dyDescent="0.3">
      <c r="G98">
        <v>1930</v>
      </c>
      <c r="H98">
        <v>12</v>
      </c>
      <c r="I98">
        <v>13</v>
      </c>
      <c r="T98" s="89">
        <v>2009</v>
      </c>
      <c r="U98" s="89">
        <v>695</v>
      </c>
    </row>
    <row r="99" spans="7:21" x14ac:dyDescent="0.3">
      <c r="G99">
        <v>1929</v>
      </c>
      <c r="H99">
        <v>9</v>
      </c>
      <c r="I99">
        <v>12</v>
      </c>
      <c r="T99" s="89">
        <v>2010</v>
      </c>
      <c r="U99" s="89">
        <v>670</v>
      </c>
    </row>
    <row r="100" spans="7:21" x14ac:dyDescent="0.3">
      <c r="G100">
        <v>1928</v>
      </c>
      <c r="H100">
        <v>8</v>
      </c>
      <c r="I100">
        <v>9</v>
      </c>
      <c r="T100" s="89">
        <v>2011</v>
      </c>
      <c r="U100" s="89">
        <v>690</v>
      </c>
    </row>
    <row r="101" spans="7:21" x14ac:dyDescent="0.3">
      <c r="G101">
        <v>1927</v>
      </c>
      <c r="H101">
        <v>7</v>
      </c>
      <c r="I101">
        <v>8</v>
      </c>
      <c r="T101" s="89">
        <v>2012</v>
      </c>
      <c r="U101" s="89">
        <v>705</v>
      </c>
    </row>
    <row r="102" spans="7:21" x14ac:dyDescent="0.3">
      <c r="G102">
        <v>1926</v>
      </c>
      <c r="H102">
        <v>7</v>
      </c>
      <c r="I102">
        <v>7</v>
      </c>
      <c r="T102" s="89">
        <v>2013</v>
      </c>
      <c r="U102" s="89">
        <v>729</v>
      </c>
    </row>
    <row r="103" spans="7:21" x14ac:dyDescent="0.3">
      <c r="G103">
        <v>1925</v>
      </c>
      <c r="H103">
        <v>4</v>
      </c>
      <c r="I103">
        <v>7</v>
      </c>
      <c r="T103" s="89">
        <v>2014</v>
      </c>
      <c r="U103" s="89">
        <v>739</v>
      </c>
    </row>
    <row r="104" spans="7:21" x14ac:dyDescent="0.3">
      <c r="G104">
        <v>1924</v>
      </c>
      <c r="H104">
        <v>4</v>
      </c>
      <c r="I104">
        <v>4</v>
      </c>
      <c r="T104" s="89">
        <v>2015</v>
      </c>
      <c r="U104" s="89">
        <v>745</v>
      </c>
    </row>
    <row r="105" spans="7:21" x14ac:dyDescent="0.3">
      <c r="G105">
        <v>1923</v>
      </c>
      <c r="H105">
        <v>5</v>
      </c>
      <c r="I105">
        <v>4</v>
      </c>
      <c r="T105" s="89">
        <v>2016</v>
      </c>
      <c r="U105" s="89">
        <v>744</v>
      </c>
    </row>
    <row r="106" spans="7:21" x14ac:dyDescent="0.3">
      <c r="G106">
        <v>1922</v>
      </c>
      <c r="H106">
        <v>5</v>
      </c>
      <c r="I106">
        <v>5</v>
      </c>
      <c r="T106" s="89">
        <v>2017</v>
      </c>
      <c r="U106" s="89">
        <v>754</v>
      </c>
    </row>
    <row r="107" spans="7:21" x14ac:dyDescent="0.3">
      <c r="G107">
        <v>1921</v>
      </c>
      <c r="H107">
        <v>4</v>
      </c>
      <c r="I107">
        <v>5</v>
      </c>
      <c r="T107" s="89">
        <v>2018</v>
      </c>
      <c r="U107" s="89">
        <v>775</v>
      </c>
    </row>
    <row r="108" spans="7:21" x14ac:dyDescent="0.3">
      <c r="G108">
        <v>1920</v>
      </c>
      <c r="H108">
        <v>3</v>
      </c>
      <c r="I108">
        <v>4</v>
      </c>
      <c r="T108" s="89">
        <v>2019</v>
      </c>
      <c r="U108" s="89">
        <v>809</v>
      </c>
    </row>
    <row r="109" spans="7:21" x14ac:dyDescent="0.3">
      <c r="G109">
        <v>1919</v>
      </c>
      <c r="H109">
        <v>2</v>
      </c>
      <c r="I109">
        <v>3</v>
      </c>
      <c r="T109" s="89">
        <v>2020</v>
      </c>
      <c r="U109" s="89">
        <v>833</v>
      </c>
    </row>
    <row r="110" spans="7:21" x14ac:dyDescent="0.3">
      <c r="G110">
        <v>1918</v>
      </c>
      <c r="H110">
        <v>0</v>
      </c>
      <c r="I110">
        <v>2</v>
      </c>
      <c r="T110" s="89">
        <v>2021</v>
      </c>
      <c r="U110" s="89">
        <v>858</v>
      </c>
    </row>
    <row r="111" spans="7:21" x14ac:dyDescent="0.3">
      <c r="G111">
        <v>1917</v>
      </c>
      <c r="H111">
        <v>0</v>
      </c>
      <c r="I111">
        <v>0</v>
      </c>
      <c r="T111" s="89">
        <v>2022</v>
      </c>
      <c r="U111" s="89">
        <v>906</v>
      </c>
    </row>
    <row r="112" spans="7:21" x14ac:dyDescent="0.3">
      <c r="G112">
        <v>1916</v>
      </c>
      <c r="H112">
        <v>0</v>
      </c>
      <c r="I112">
        <v>0</v>
      </c>
      <c r="T112" s="89">
        <v>2023</v>
      </c>
      <c r="U112" s="89">
        <v>1004</v>
      </c>
    </row>
    <row r="113" spans="7:21" x14ac:dyDescent="0.3">
      <c r="G113">
        <v>1915</v>
      </c>
      <c r="H113">
        <v>1</v>
      </c>
      <c r="I113">
        <v>0</v>
      </c>
      <c r="T113" s="89">
        <v>2024</v>
      </c>
      <c r="U113" s="89">
        <v>1041</v>
      </c>
    </row>
    <row r="114" spans="7:21" x14ac:dyDescent="0.3">
      <c r="G114">
        <v>1914</v>
      </c>
      <c r="I114">
        <v>1</v>
      </c>
      <c r="T114" s="89">
        <v>2025</v>
      </c>
      <c r="U114" s="89">
        <v>1048</v>
      </c>
    </row>
    <row r="115" spans="7:21" x14ac:dyDescent="0.3">
      <c r="T115" s="1116">
        <v>2026</v>
      </c>
      <c r="U115" s="1116">
        <v>1056</v>
      </c>
    </row>
  </sheetData>
  <sortState xmlns:xlrd2="http://schemas.microsoft.com/office/spreadsheetml/2017/richdata2" ref="T3:U114">
    <sortCondition ref="T2:T114"/>
  </sortState>
  <mergeCells count="2">
    <mergeCell ref="Q1:R1"/>
    <mergeCell ref="T1:U1"/>
  </mergeCells>
  <pageMargins left="0.7" right="0.7" top="0.75" bottom="0.75" header="0.3" footer="0.3"/>
  <tableParts count="3">
    <tablePart r:id="rId1"/>
    <tablePart r:id="rId2"/>
    <tablePart r:id="rId3"/>
  </tablePart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A9059-F67A-45E9-8ED2-0CDE1AC924D9}">
  <sheetPr codeName="Blad15"/>
  <dimension ref="A1:I40"/>
  <sheetViews>
    <sheetView topLeftCell="A13" zoomScaleNormal="100" workbookViewId="0">
      <selection activeCell="E20" sqref="E20"/>
    </sheetView>
  </sheetViews>
  <sheetFormatPr defaultRowHeight="14.4" x14ac:dyDescent="0.3"/>
  <cols>
    <col min="1" max="1" width="31.33203125" bestFit="1" customWidth="1"/>
    <col min="2" max="2" width="25.88671875" bestFit="1" customWidth="1"/>
    <col min="3" max="3" width="31.33203125" bestFit="1" customWidth="1"/>
    <col min="4" max="4" width="10.6640625" bestFit="1" customWidth="1"/>
    <col min="5" max="5" width="70.5546875" style="180" customWidth="1"/>
    <col min="7" max="7" width="52.88671875" bestFit="1" customWidth="1"/>
    <col min="9" max="9" width="56.33203125" customWidth="1"/>
  </cols>
  <sheetData>
    <row r="1" spans="1:7" ht="15" thickBot="1" x14ac:dyDescent="0.35"/>
    <row r="2" spans="1:7" x14ac:dyDescent="0.3">
      <c r="A2" s="919" t="s">
        <v>915</v>
      </c>
      <c r="B2" s="920" t="s">
        <v>215</v>
      </c>
      <c r="C2" s="921"/>
      <c r="D2" s="106" t="s">
        <v>916</v>
      </c>
      <c r="E2" s="927" t="s">
        <v>25</v>
      </c>
      <c r="F2" s="106" t="s">
        <v>917</v>
      </c>
      <c r="G2" s="933"/>
    </row>
    <row r="3" spans="1:7" x14ac:dyDescent="0.3">
      <c r="A3" s="191"/>
      <c r="B3" t="s">
        <v>918</v>
      </c>
      <c r="C3" s="192"/>
      <c r="E3" s="928" t="s">
        <v>834</v>
      </c>
      <c r="F3" s="106"/>
      <c r="G3" s="934" t="s">
        <v>843</v>
      </c>
    </row>
    <row r="4" spans="1:7" ht="27.6" x14ac:dyDescent="0.3">
      <c r="A4" s="191"/>
      <c r="B4" t="s">
        <v>919</v>
      </c>
      <c r="C4" s="192"/>
      <c r="E4" s="928" t="s">
        <v>837</v>
      </c>
      <c r="G4" s="928" t="s">
        <v>844</v>
      </c>
    </row>
    <row r="5" spans="1:7" ht="15" thickBot="1" x14ac:dyDescent="0.35">
      <c r="A5" s="195"/>
      <c r="B5" s="190" t="s">
        <v>920</v>
      </c>
      <c r="C5" s="196"/>
      <c r="E5" s="928" t="s">
        <v>838</v>
      </c>
      <c r="G5" s="928" t="s">
        <v>851</v>
      </c>
    </row>
    <row r="6" spans="1:7" x14ac:dyDescent="0.3">
      <c r="A6" s="919" t="s">
        <v>396</v>
      </c>
      <c r="B6" s="920"/>
      <c r="C6" s="921"/>
      <c r="E6" s="928" t="s">
        <v>840</v>
      </c>
      <c r="G6" s="928" t="s">
        <v>852</v>
      </c>
    </row>
    <row r="7" spans="1:7" x14ac:dyDescent="0.3">
      <c r="A7" s="191" t="s">
        <v>50</v>
      </c>
      <c r="B7" t="s">
        <v>50</v>
      </c>
      <c r="C7" s="192" t="s">
        <v>50</v>
      </c>
      <c r="E7" s="928" t="s">
        <v>842</v>
      </c>
      <c r="G7" s="928" t="s">
        <v>853</v>
      </c>
    </row>
    <row r="8" spans="1:7" ht="15.6" customHeight="1" x14ac:dyDescent="0.3">
      <c r="A8" s="191" t="s">
        <v>921</v>
      </c>
      <c r="B8" s="180" t="s">
        <v>71</v>
      </c>
      <c r="C8" s="192" t="s">
        <v>921</v>
      </c>
      <c r="E8" s="928" t="s">
        <v>844</v>
      </c>
      <c r="G8" s="928" t="s">
        <v>858</v>
      </c>
    </row>
    <row r="9" spans="1:7" x14ac:dyDescent="0.3">
      <c r="A9" s="191" t="s">
        <v>922</v>
      </c>
      <c r="B9" s="180" t="s">
        <v>70</v>
      </c>
      <c r="C9" s="192" t="s">
        <v>922</v>
      </c>
      <c r="E9" s="928" t="s">
        <v>851</v>
      </c>
      <c r="G9" s="928" t="s">
        <v>861</v>
      </c>
    </row>
    <row r="10" spans="1:7" ht="27.6" x14ac:dyDescent="0.3">
      <c r="A10" s="191" t="s">
        <v>72</v>
      </c>
      <c r="B10" s="180" t="s">
        <v>72</v>
      </c>
      <c r="C10" s="192" t="s">
        <v>72</v>
      </c>
      <c r="E10" s="928" t="s">
        <v>852</v>
      </c>
      <c r="G10" s="928" t="s">
        <v>862</v>
      </c>
    </row>
    <row r="11" spans="1:7" x14ac:dyDescent="0.3">
      <c r="A11" s="191" t="s">
        <v>74</v>
      </c>
      <c r="B11" s="180" t="s">
        <v>74</v>
      </c>
      <c r="C11" s="192" t="s">
        <v>74</v>
      </c>
      <c r="E11" s="928" t="s">
        <v>853</v>
      </c>
      <c r="G11" s="928" t="s">
        <v>863</v>
      </c>
    </row>
    <row r="12" spans="1:7" ht="27.6" x14ac:dyDescent="0.3">
      <c r="A12" s="191" t="s">
        <v>923</v>
      </c>
      <c r="B12" s="180" t="s">
        <v>73</v>
      </c>
      <c r="C12" s="192" t="s">
        <v>923</v>
      </c>
      <c r="E12" s="928" t="s">
        <v>858</v>
      </c>
      <c r="G12" s="928" t="s">
        <v>864</v>
      </c>
    </row>
    <row r="13" spans="1:7" ht="14.4" customHeight="1" x14ac:dyDescent="0.3">
      <c r="A13" s="191" t="s">
        <v>925</v>
      </c>
      <c r="B13" s="180" t="s">
        <v>75</v>
      </c>
      <c r="C13" s="192" t="s">
        <v>925</v>
      </c>
      <c r="E13" s="928" t="s">
        <v>861</v>
      </c>
      <c r="G13" s="928" t="s">
        <v>924</v>
      </c>
    </row>
    <row r="14" spans="1:7" x14ac:dyDescent="0.3">
      <c r="A14" s="191" t="s">
        <v>926</v>
      </c>
      <c r="B14" s="180" t="s">
        <v>76</v>
      </c>
      <c r="C14" s="192" t="s">
        <v>926</v>
      </c>
      <c r="E14" s="928" t="s">
        <v>862</v>
      </c>
      <c r="G14" s="934" t="s">
        <v>865</v>
      </c>
    </row>
    <row r="15" spans="1:7" ht="15.6" customHeight="1" x14ac:dyDescent="0.3">
      <c r="A15" s="191" t="s">
        <v>315</v>
      </c>
      <c r="B15" s="180" t="s">
        <v>315</v>
      </c>
      <c r="C15" s="192" t="s">
        <v>315</v>
      </c>
      <c r="E15" s="928" t="s">
        <v>863</v>
      </c>
      <c r="G15" s="928" t="s">
        <v>866</v>
      </c>
    </row>
    <row r="16" spans="1:7" ht="13.95" customHeight="1" x14ac:dyDescent="0.3">
      <c r="A16" s="191" t="s">
        <v>323</v>
      </c>
      <c r="B16" s="180" t="s">
        <v>323</v>
      </c>
      <c r="C16" s="192" t="s">
        <v>323</v>
      </c>
      <c r="E16" s="928" t="s">
        <v>864</v>
      </c>
      <c r="G16" s="928" t="s">
        <v>872</v>
      </c>
    </row>
    <row r="17" spans="1:9" ht="15" thickBot="1" x14ac:dyDescent="0.35">
      <c r="A17" s="195"/>
      <c r="B17" s="922" t="s">
        <v>927</v>
      </c>
      <c r="C17" s="196"/>
      <c r="E17" s="928" t="s">
        <v>924</v>
      </c>
      <c r="G17" s="928" t="s">
        <v>873</v>
      </c>
    </row>
    <row r="18" spans="1:9" ht="15" thickBot="1" x14ac:dyDescent="0.35">
      <c r="E18" s="928" t="s">
        <v>1401</v>
      </c>
      <c r="G18" s="934" t="s">
        <v>885</v>
      </c>
    </row>
    <row r="19" spans="1:9" ht="27.6" x14ac:dyDescent="0.3">
      <c r="A19" s="919" t="s">
        <v>928</v>
      </c>
      <c r="B19" s="923" t="s">
        <v>929</v>
      </c>
      <c r="C19" s="921"/>
      <c r="E19" s="928" t="s">
        <v>1402</v>
      </c>
      <c r="G19" s="928" t="s">
        <v>886</v>
      </c>
    </row>
    <row r="20" spans="1:9" ht="41.4" x14ac:dyDescent="0.3">
      <c r="A20" s="191"/>
      <c r="B20" s="180" t="s">
        <v>930</v>
      </c>
      <c r="C20" s="192"/>
      <c r="E20" s="928" t="s">
        <v>866</v>
      </c>
      <c r="G20" s="928" t="s">
        <v>888</v>
      </c>
    </row>
    <row r="21" spans="1:9" ht="42" thickBot="1" x14ac:dyDescent="0.35">
      <c r="A21" s="195"/>
      <c r="B21" s="922" t="s">
        <v>931</v>
      </c>
      <c r="C21" s="196"/>
      <c r="E21" s="928" t="s">
        <v>872</v>
      </c>
      <c r="G21" s="928" t="s">
        <v>889</v>
      </c>
    </row>
    <row r="22" spans="1:9" ht="15" thickBot="1" x14ac:dyDescent="0.35">
      <c r="E22" s="928" t="s">
        <v>873</v>
      </c>
      <c r="G22" s="928" t="s">
        <v>932</v>
      </c>
    </row>
    <row r="23" spans="1:9" ht="41.4" x14ac:dyDescent="0.3">
      <c r="A23" s="919" t="s">
        <v>933</v>
      </c>
      <c r="B23" s="924" t="s">
        <v>934</v>
      </c>
      <c r="E23" s="928" t="s">
        <v>874</v>
      </c>
      <c r="G23" s="929" t="s">
        <v>891</v>
      </c>
    </row>
    <row r="24" spans="1:9" ht="69" x14ac:dyDescent="0.3">
      <c r="A24" s="191"/>
      <c r="B24" s="925" t="s">
        <v>935</v>
      </c>
      <c r="E24" s="928" t="s">
        <v>1467</v>
      </c>
      <c r="G24" s="930" t="s">
        <v>893</v>
      </c>
    </row>
    <row r="25" spans="1:9" ht="55.8" thickBot="1" x14ac:dyDescent="0.35">
      <c r="A25" s="195"/>
      <c r="B25" s="926" t="s">
        <v>936</v>
      </c>
      <c r="E25" s="928" t="s">
        <v>886</v>
      </c>
      <c r="G25" s="929" t="s">
        <v>894</v>
      </c>
    </row>
    <row r="26" spans="1:9" ht="28.2" thickBot="1" x14ac:dyDescent="0.35">
      <c r="E26" s="928" t="s">
        <v>888</v>
      </c>
      <c r="G26" s="929" t="s">
        <v>895</v>
      </c>
    </row>
    <row r="27" spans="1:9" ht="55.2" x14ac:dyDescent="0.3">
      <c r="A27" s="919" t="s">
        <v>937</v>
      </c>
      <c r="B27" s="921">
        <v>0.21</v>
      </c>
      <c r="E27" s="928" t="s">
        <v>889</v>
      </c>
      <c r="G27" s="929" t="s">
        <v>896</v>
      </c>
    </row>
    <row r="28" spans="1:9" ht="69" x14ac:dyDescent="0.3">
      <c r="A28" s="191"/>
      <c r="B28" s="192">
        <v>0.12</v>
      </c>
      <c r="E28" s="929" t="s">
        <v>891</v>
      </c>
      <c r="G28" s="930" t="s">
        <v>938</v>
      </c>
    </row>
    <row r="29" spans="1:9" ht="41.4" x14ac:dyDescent="0.3">
      <c r="A29" s="191"/>
      <c r="B29" s="192">
        <v>0.06</v>
      </c>
      <c r="E29" s="930" t="s">
        <v>893</v>
      </c>
      <c r="G29" s="928" t="s">
        <v>939</v>
      </c>
    </row>
    <row r="30" spans="1:9" ht="42" thickBot="1" x14ac:dyDescent="0.35">
      <c r="A30" s="195"/>
      <c r="B30" s="196" t="s">
        <v>940</v>
      </c>
      <c r="E30" s="929" t="s">
        <v>894</v>
      </c>
      <c r="G30" s="935" t="s">
        <v>899</v>
      </c>
    </row>
    <row r="31" spans="1:9" ht="27.6" x14ac:dyDescent="0.3">
      <c r="E31" s="929" t="s">
        <v>895</v>
      </c>
      <c r="G31" s="935" t="s">
        <v>901</v>
      </c>
    </row>
    <row r="32" spans="1:9" ht="42" thickBot="1" x14ac:dyDescent="0.35">
      <c r="E32" s="929" t="s">
        <v>896</v>
      </c>
      <c r="G32" s="934" t="s">
        <v>903</v>
      </c>
      <c r="I32" s="179"/>
    </row>
    <row r="33" spans="1:7" ht="27.6" x14ac:dyDescent="0.3">
      <c r="A33" s="936" t="s">
        <v>941</v>
      </c>
      <c r="B33" s="921">
        <v>2021</v>
      </c>
      <c r="E33" s="930" t="s">
        <v>897</v>
      </c>
      <c r="G33" s="928" t="s">
        <v>905</v>
      </c>
    </row>
    <row r="34" spans="1:7" ht="28.2" thickBot="1" x14ac:dyDescent="0.35">
      <c r="A34" s="195" t="s">
        <v>942</v>
      </c>
      <c r="B34" s="937" t="s">
        <v>943</v>
      </c>
      <c r="E34" s="931" t="s">
        <v>899</v>
      </c>
      <c r="G34" s="928" t="s">
        <v>907</v>
      </c>
    </row>
    <row r="35" spans="1:7" ht="28.2" thickBot="1" x14ac:dyDescent="0.35">
      <c r="E35" s="931" t="s">
        <v>901</v>
      </c>
      <c r="G35" s="932" t="s">
        <v>909</v>
      </c>
    </row>
    <row r="36" spans="1:7" x14ac:dyDescent="0.3">
      <c r="E36" s="928" t="s">
        <v>905</v>
      </c>
    </row>
    <row r="37" spans="1:7" x14ac:dyDescent="0.3">
      <c r="E37" s="928" t="s">
        <v>907</v>
      </c>
    </row>
    <row r="38" spans="1:7" x14ac:dyDescent="0.3">
      <c r="E38" s="928" t="s">
        <v>909</v>
      </c>
    </row>
    <row r="39" spans="1:7" ht="15" thickBot="1" x14ac:dyDescent="0.35">
      <c r="E39" s="932" t="s">
        <v>911</v>
      </c>
    </row>
    <row r="40" spans="1:7" ht="15" thickBot="1" x14ac:dyDescent="0.35">
      <c r="E40" s="932" t="s">
        <v>913</v>
      </c>
    </row>
  </sheetData>
  <hyperlinks>
    <hyperlink ref="B34" r:id="rId1" xr:uid="{75CFFEEC-8FAF-44C9-8B39-C78CBFC19883}"/>
  </hyperlinks>
  <pageMargins left="0.7" right="0.7" top="0.75" bottom="0.75" header="0.3" footer="0.3"/>
  <pageSetup paperSize="9" orientation="portrait" horizontalDpi="1200" verticalDpi="1200"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46191-119A-4C6D-A75A-2C9AEB8070FF}">
  <sheetPr codeName="Blad34"/>
  <dimension ref="A1:FM902"/>
  <sheetViews>
    <sheetView zoomScale="80" zoomScaleNormal="80" workbookViewId="0">
      <selection activeCell="F48" sqref="F48"/>
    </sheetView>
  </sheetViews>
  <sheetFormatPr defaultRowHeight="14.4" x14ac:dyDescent="0.3"/>
  <cols>
    <col min="1" max="1" width="26.33203125" style="590" customWidth="1"/>
    <col min="2" max="2" width="16" customWidth="1"/>
    <col min="3" max="3" width="29.44140625" bestFit="1" customWidth="1"/>
    <col min="4" max="4" width="25.88671875" customWidth="1"/>
    <col min="5" max="5" width="59.33203125" customWidth="1"/>
    <col min="6" max="6" width="46.33203125" style="868" bestFit="1" customWidth="1"/>
    <col min="7" max="7" width="20.33203125" customWidth="1"/>
    <col min="8" max="8" width="20.33203125" hidden="1" customWidth="1"/>
    <col min="9" max="9" width="20.33203125" customWidth="1"/>
    <col min="11" max="11" width="16.88671875" bestFit="1" customWidth="1"/>
    <col min="15" max="15" width="10.6640625" bestFit="1" customWidth="1"/>
    <col min="21" max="21" width="10.6640625" bestFit="1" customWidth="1"/>
    <col min="25" max="25" width="10.6640625" bestFit="1" customWidth="1"/>
    <col min="39" max="43" width="16.109375" bestFit="1" customWidth="1"/>
    <col min="44" max="44" width="17.88671875" customWidth="1"/>
    <col min="45" max="50" width="16.109375" bestFit="1" customWidth="1"/>
    <col min="51" max="71" width="16.109375" customWidth="1"/>
    <col min="72" max="78" width="19.109375" bestFit="1" customWidth="1"/>
    <col min="79" max="80" width="19.109375" customWidth="1"/>
    <col min="81" max="94" width="16.109375" bestFit="1" customWidth="1"/>
  </cols>
  <sheetData>
    <row r="1" spans="1:161" s="106" customFormat="1" x14ac:dyDescent="0.3">
      <c r="A1" s="972" t="s">
        <v>944</v>
      </c>
      <c r="B1" s="860" t="s">
        <v>945</v>
      </c>
      <c r="C1" s="860" t="s">
        <v>946</v>
      </c>
      <c r="D1" s="860" t="s">
        <v>947</v>
      </c>
      <c r="E1" s="860" t="s">
        <v>948</v>
      </c>
      <c r="F1" s="860" t="s">
        <v>949</v>
      </c>
      <c r="G1" s="860" t="s">
        <v>950</v>
      </c>
      <c r="H1" s="861" t="s">
        <v>64</v>
      </c>
    </row>
    <row r="2" spans="1:161" x14ac:dyDescent="0.3">
      <c r="A2" s="973"/>
      <c r="B2" s="872" t="s">
        <v>951</v>
      </c>
      <c r="C2" s="863" t="str">
        <f>_xlfn.CONCAT('Upload AXI - CONF'!$A2,'Upload AXI - CONF'!$B2)</f>
        <v>Dossier.Reference</v>
      </c>
      <c r="D2" s="863">
        <f>'Overzicht project'!$I$4</f>
        <v>0</v>
      </c>
      <c r="E2" s="864" t="s">
        <v>952</v>
      </c>
      <c r="F2" s="864"/>
      <c r="G2" s="864"/>
      <c r="H2" s="865"/>
      <c r="I2" s="700"/>
      <c r="J2" s="586"/>
      <c r="K2" s="586"/>
      <c r="N2" s="586"/>
      <c r="O2" s="586"/>
      <c r="P2" s="700"/>
      <c r="Q2" s="586"/>
      <c r="R2" s="586"/>
      <c r="S2" s="586"/>
      <c r="T2" s="586"/>
      <c r="U2" s="586"/>
      <c r="V2" s="586"/>
      <c r="W2" s="586"/>
      <c r="X2" s="491"/>
      <c r="Y2" s="423"/>
      <c r="Z2" s="423"/>
      <c r="AA2" s="423"/>
      <c r="AB2" s="423"/>
      <c r="AC2" s="423"/>
      <c r="AD2" s="423"/>
      <c r="AE2" s="423"/>
      <c r="AF2" s="423"/>
      <c r="CJ2" s="491"/>
      <c r="CK2" s="491"/>
      <c r="CL2" s="491"/>
      <c r="CM2" s="491"/>
      <c r="CN2" s="491"/>
      <c r="CO2" s="491"/>
      <c r="CP2" s="491"/>
      <c r="DM2" s="491"/>
      <c r="EI2" s="491"/>
      <c r="FE2" s="491"/>
    </row>
    <row r="3" spans="1:161" x14ac:dyDescent="0.3">
      <c r="A3" s="889" t="s">
        <v>953</v>
      </c>
      <c r="B3" s="868" t="s">
        <v>954</v>
      </c>
      <c r="C3" s="867" t="str">
        <f>IF(AND('Overzicht BTA'!$E$37=FALSE,'Overzicht BTA'!$C$42= FALSE),_xlfn.CONCAT('Upload AXI - CONF'!$A3,'Upload AXI - CONF'!$B3),"")</f>
        <v>Dossier.FlexA103</v>
      </c>
      <c r="D3" s="867" t="e">
        <f ca="1">ROUND(kunst!$B$11,2)</f>
        <v>#REF!</v>
      </c>
      <c r="E3" s="868" t="s">
        <v>955</v>
      </c>
      <c r="F3" s="869"/>
      <c r="G3" s="868" t="s">
        <v>956</v>
      </c>
      <c r="H3" s="870" t="s">
        <v>957</v>
      </c>
      <c r="I3" s="767"/>
      <c r="J3" s="106"/>
      <c r="K3" s="106"/>
      <c r="N3" s="106"/>
      <c r="O3" s="106"/>
      <c r="P3" s="700"/>
      <c r="Q3" s="106"/>
      <c r="R3" s="106"/>
      <c r="S3" s="106"/>
      <c r="T3" s="106"/>
      <c r="U3" s="106"/>
      <c r="V3" s="106"/>
      <c r="W3" s="106"/>
      <c r="X3" s="106"/>
      <c r="Y3" s="106"/>
      <c r="Z3" s="106"/>
      <c r="AA3" s="106"/>
      <c r="AB3" s="106"/>
      <c r="AC3" s="106"/>
      <c r="AD3" s="106"/>
      <c r="AE3" s="106"/>
    </row>
    <row r="4" spans="1:161" x14ac:dyDescent="0.3">
      <c r="A4" s="973" t="s">
        <v>953</v>
      </c>
      <c r="B4" s="872" t="s">
        <v>958</v>
      </c>
      <c r="C4" s="867" t="str">
        <f>IF(AND('Overzicht BTA'!$E$37=FALSE,'Overzicht BTA'!$C$42= FALSE),_xlfn.CONCAT('Upload AXI - CONF'!$A4,'Upload AXI - CONF'!$B4),"")</f>
        <v>Dossier.FlexA100</v>
      </c>
      <c r="D4" s="871">
        <f>ROUND('uitgebreide raming'!$B$89,0)</f>
        <v>0</v>
      </c>
      <c r="E4" s="872" t="s">
        <v>959</v>
      </c>
      <c r="F4" s="873"/>
      <c r="G4" s="872" t="s">
        <v>956</v>
      </c>
      <c r="H4" s="874" t="s">
        <v>960</v>
      </c>
      <c r="I4" s="767"/>
      <c r="J4" t="s">
        <v>961</v>
      </c>
      <c r="P4" s="700"/>
      <c r="AF4" s="765"/>
    </row>
    <row r="5" spans="1:161" x14ac:dyDescent="0.3">
      <c r="A5" s="889" t="s">
        <v>953</v>
      </c>
      <c r="B5" s="868" t="s">
        <v>962</v>
      </c>
      <c r="C5" s="867" t="str">
        <f>IF(AND('Overzicht BTA'!$E$37=FALSE,'Overzicht BTA'!$C$42= FALSE),_xlfn.CONCAT('Upload AXI - CONF'!$A5,'Upload AXI - CONF'!$B5),"")</f>
        <v>Dossier.FlexA888</v>
      </c>
      <c r="D5" s="875">
        <f>ROUND(Oppervlakte!$R$4,2)</f>
        <v>0</v>
      </c>
      <c r="E5" s="868" t="s">
        <v>963</v>
      </c>
      <c r="G5" s="868" t="s">
        <v>956</v>
      </c>
      <c r="H5" s="870"/>
      <c r="I5" s="770"/>
      <c r="P5" s="700"/>
      <c r="AG5" s="1283"/>
      <c r="AH5" s="1283"/>
      <c r="AI5" s="1283"/>
      <c r="AJ5" s="1283"/>
      <c r="AK5" s="1283"/>
      <c r="AL5" s="1283"/>
    </row>
    <row r="6" spans="1:161" x14ac:dyDescent="0.3">
      <c r="A6" s="973" t="s">
        <v>964</v>
      </c>
      <c r="B6" s="872" t="s">
        <v>965</v>
      </c>
      <c r="C6" s="872" t="str">
        <f>IF(AND('Overzicht BTA'!$C$39=FALSE,'Overzicht BTA'!$C$42= FALSE),_xlfn.CONCAT('Upload AXI - CONF'!$A6,'Upload AXI - CONF'!$B6),"")</f>
        <v>Object.RAM[Z1K1].FlexVO12b</v>
      </c>
      <c r="D6" s="872" t="str">
        <f>IF('Overzicht project'!$C$40=Bron!$E$2, "",'Overzicht project'!$C$40)</f>
        <v/>
      </c>
      <c r="E6" s="872" t="s">
        <v>966</v>
      </c>
      <c r="F6" s="872" t="s">
        <v>967</v>
      </c>
      <c r="G6" s="872"/>
      <c r="H6" s="874"/>
      <c r="P6" s="700"/>
      <c r="AM6" s="1283"/>
      <c r="AN6" s="1283"/>
      <c r="AO6" s="1283"/>
      <c r="AP6" s="1283"/>
      <c r="AQ6" s="1283"/>
      <c r="AR6" s="1283"/>
    </row>
    <row r="7" spans="1:161" x14ac:dyDescent="0.3">
      <c r="A7" s="889" t="s">
        <v>968</v>
      </c>
      <c r="B7" s="868" t="s">
        <v>965</v>
      </c>
      <c r="C7" s="872" t="str">
        <f>IF(AND('Overzicht BTA'!$C$39=FALSE,'Overzicht BTA'!$C$42= FALSE),_xlfn.CONCAT('Upload AXI - CONF'!$A7,'Upload AXI - CONF'!$B7),"")</f>
        <v>Object.RAM[Z1K2].FlexVO12b</v>
      </c>
      <c r="D7" s="868" t="str">
        <f>IF('Overzicht project'!$C$40=Bron!$E$2, "",'Overzicht project'!$C$40)</f>
        <v/>
      </c>
      <c r="E7" s="868" t="s">
        <v>966</v>
      </c>
      <c r="F7" s="868" t="s">
        <v>967</v>
      </c>
      <c r="G7" s="868"/>
      <c r="H7" s="870"/>
      <c r="P7" s="700"/>
      <c r="AM7" s="1283"/>
      <c r="AN7" s="1283"/>
      <c r="AO7" s="1283"/>
      <c r="AP7" s="1283"/>
      <c r="AQ7" s="1283"/>
      <c r="AR7" s="1283"/>
    </row>
    <row r="8" spans="1:161" x14ac:dyDescent="0.3">
      <c r="A8" s="973" t="s">
        <v>969</v>
      </c>
      <c r="B8" s="872" t="s">
        <v>965</v>
      </c>
      <c r="C8" s="872" t="str">
        <f>IF(AND('Overzicht BTA'!$C$39=FALSE,'Overzicht BTA'!$C$42= FALSE),_xlfn.CONCAT('Upload AXI - CONF'!$A8,'Upload AXI - CONF'!$B8),"")</f>
        <v>Object.RAM[Z1K3].FlexVO12b</v>
      </c>
      <c r="D8" s="872" t="str">
        <f>IF('Overzicht project'!$C$40=Bron!$E$2, "",'Overzicht project'!$C$40)</f>
        <v/>
      </c>
      <c r="E8" s="872" t="s">
        <v>966</v>
      </c>
      <c r="F8" s="872" t="s">
        <v>967</v>
      </c>
      <c r="G8" s="872"/>
      <c r="H8" s="874"/>
      <c r="P8" s="700"/>
      <c r="AM8" s="1283"/>
      <c r="AN8" s="1283"/>
      <c r="AO8" s="1283"/>
      <c r="AP8" s="1283"/>
      <c r="AQ8" s="1283"/>
      <c r="AR8" s="1283"/>
    </row>
    <row r="9" spans="1:161" x14ac:dyDescent="0.3">
      <c r="A9" s="889" t="s">
        <v>970</v>
      </c>
      <c r="B9" s="868" t="s">
        <v>965</v>
      </c>
      <c r="C9" s="872" t="str">
        <f>IF(AND('Overzicht BTA'!$C$39=FALSE,'Overzicht BTA'!$C$42= FALSE),_xlfn.CONCAT('Upload AXI - CONF'!$A9,'Upload AXI - CONF'!$B9),"")</f>
        <v>Object.RAM[Z1K4].FlexVO12b</v>
      </c>
      <c r="D9" s="868" t="str">
        <f>IF('Overzicht project'!$C$40=Bron!$E$2, "",'Overzicht project'!$C$40)</f>
        <v/>
      </c>
      <c r="E9" s="868" t="s">
        <v>966</v>
      </c>
      <c r="F9" s="868" t="s">
        <v>967</v>
      </c>
      <c r="G9" s="868"/>
      <c r="H9" s="870"/>
      <c r="P9" s="700"/>
      <c r="AM9" s="1283"/>
      <c r="AN9" s="1283"/>
      <c r="AO9" s="1283"/>
      <c r="AP9" s="1283"/>
      <c r="AQ9" s="1283"/>
      <c r="AR9" s="1283"/>
    </row>
    <row r="10" spans="1:161" x14ac:dyDescent="0.3">
      <c r="A10" s="973" t="s">
        <v>971</v>
      </c>
      <c r="B10" s="872" t="s">
        <v>965</v>
      </c>
      <c r="C10" s="872" t="str">
        <f>IF(AND('Overzicht BTA'!$C$39=FALSE,'Overzicht BTA'!$C$42= FALSE),_xlfn.CONCAT('Upload AXI - CONF'!$A10,'Upload AXI - CONF'!$B10),"")</f>
        <v>Object.RAM[Z2K1].FlexVO12b</v>
      </c>
      <c r="D10" s="872" t="str">
        <f>IF('Overzicht project'!$C$41=Bron!$E$2, "",'Overzicht project'!$C$41)</f>
        <v/>
      </c>
      <c r="E10" s="872" t="s">
        <v>966</v>
      </c>
      <c r="F10" s="872" t="s">
        <v>967</v>
      </c>
      <c r="G10" s="872"/>
      <c r="H10" s="874"/>
      <c r="P10" s="700"/>
      <c r="AS10" s="1283"/>
      <c r="AT10" s="1283"/>
      <c r="AU10" s="1283"/>
      <c r="AV10" s="1283"/>
      <c r="AW10" s="1283"/>
      <c r="AX10" s="1283"/>
    </row>
    <row r="11" spans="1:161" x14ac:dyDescent="0.3">
      <c r="A11" s="889" t="s">
        <v>972</v>
      </c>
      <c r="B11" s="868" t="s">
        <v>965</v>
      </c>
      <c r="C11" s="872" t="str">
        <f>IF(AND('Overzicht BTA'!$C$39=FALSE,'Overzicht BTA'!$C$42= FALSE),_xlfn.CONCAT('Upload AXI - CONF'!$A11,'Upload AXI - CONF'!$B11),"")</f>
        <v>Object.RAM[Z2K2].FlexVO12b</v>
      </c>
      <c r="D11" s="868" t="str">
        <f>IF('Overzicht project'!$C$41=Bron!$E$2, "",'Overzicht project'!$C$41)</f>
        <v/>
      </c>
      <c r="E11" s="868" t="s">
        <v>966</v>
      </c>
      <c r="F11" s="868" t="s">
        <v>967</v>
      </c>
      <c r="G11" s="868"/>
      <c r="H11" s="870"/>
      <c r="P11" s="700"/>
      <c r="AS11" s="1283"/>
      <c r="AT11" s="1283"/>
      <c r="AU11" s="1283"/>
      <c r="AV11" s="1283"/>
      <c r="AW11" s="1283"/>
      <c r="AX11" s="1283"/>
    </row>
    <row r="12" spans="1:161" x14ac:dyDescent="0.3">
      <c r="A12" s="973" t="s">
        <v>973</v>
      </c>
      <c r="B12" s="872" t="s">
        <v>965</v>
      </c>
      <c r="C12" s="872" t="str">
        <f>IF(AND('Overzicht BTA'!$C$39=FALSE,'Overzicht BTA'!$C$42= FALSE),_xlfn.CONCAT('Upload AXI - CONF'!$A12,'Upload AXI - CONF'!$B12),"")</f>
        <v>Object.RAM[Z2K3].FlexVO12b</v>
      </c>
      <c r="D12" s="872" t="str">
        <f>IF('Overzicht project'!$C$41=Bron!$E$2, "",'Overzicht project'!$C$41)</f>
        <v/>
      </c>
      <c r="E12" s="872" t="s">
        <v>966</v>
      </c>
      <c r="F12" s="872" t="s">
        <v>967</v>
      </c>
      <c r="G12" s="872"/>
      <c r="H12" s="874"/>
      <c r="P12" s="700"/>
      <c r="AS12" s="1283"/>
      <c r="AT12" s="1283"/>
      <c r="AU12" s="1283"/>
      <c r="AV12" s="1283"/>
      <c r="AW12" s="1283"/>
      <c r="AX12" s="1283"/>
    </row>
    <row r="13" spans="1:161" x14ac:dyDescent="0.3">
      <c r="A13" s="889" t="s">
        <v>974</v>
      </c>
      <c r="B13" s="868" t="s">
        <v>965</v>
      </c>
      <c r="C13" s="872" t="str">
        <f>IF(AND('Overzicht BTA'!$C$39=FALSE,'Overzicht BTA'!$C$42= FALSE),_xlfn.CONCAT('Upload AXI - CONF'!$A13,'Upload AXI - CONF'!$B13),"")</f>
        <v>Object.RAM[Z2K4].FlexVO12b</v>
      </c>
      <c r="D13" s="868" t="str">
        <f>IF('Overzicht project'!$C$41=Bron!$E$2, "",'Overzicht project'!$C$41)</f>
        <v/>
      </c>
      <c r="E13" s="868" t="s">
        <v>966</v>
      </c>
      <c r="F13" s="868" t="s">
        <v>967</v>
      </c>
      <c r="G13" s="868"/>
      <c r="H13" s="870"/>
      <c r="P13" s="700"/>
      <c r="AS13" s="1283"/>
      <c r="AT13" s="1283"/>
      <c r="AU13" s="1283"/>
      <c r="AV13" s="1283"/>
      <c r="AW13" s="1283"/>
      <c r="AX13" s="1283"/>
    </row>
    <row r="14" spans="1:161" x14ac:dyDescent="0.3">
      <c r="A14" s="973" t="s">
        <v>975</v>
      </c>
      <c r="B14" s="872" t="s">
        <v>965</v>
      </c>
      <c r="C14" s="872" t="str">
        <f>IF(AND('Overzicht BTA'!$C$39=FALSE,'Overzicht BTA'!$C$42= FALSE),_xlfn.CONCAT('Upload AXI - CONF'!$A14,'Upload AXI - CONF'!$B14),"")</f>
        <v>Object.RAM[Z3K1].FlexVO12b</v>
      </c>
      <c r="D14" s="872" t="str">
        <f>IF('Overzicht project'!$C$41=Bron!$E$2, "",'Overzicht project'!$C$41)</f>
        <v/>
      </c>
      <c r="E14" s="872" t="s">
        <v>966</v>
      </c>
      <c r="F14" s="872" t="s">
        <v>967</v>
      </c>
      <c r="G14" s="872"/>
      <c r="H14" s="874"/>
      <c r="P14" s="700"/>
      <c r="AY14" s="1283"/>
      <c r="AZ14" s="1283"/>
      <c r="BA14" s="1283"/>
      <c r="BB14" s="1283"/>
      <c r="BC14" s="1283"/>
      <c r="BD14" s="1283"/>
    </row>
    <row r="15" spans="1:161" x14ac:dyDescent="0.3">
      <c r="A15" s="889" t="s">
        <v>976</v>
      </c>
      <c r="B15" s="868" t="s">
        <v>965</v>
      </c>
      <c r="C15" s="872" t="str">
        <f>IF(AND('Overzicht BTA'!$C$39=FALSE,'Overzicht BTA'!$C$42= FALSE),_xlfn.CONCAT('Upload AXI - CONF'!$A15,'Upload AXI - CONF'!$B15),"")</f>
        <v>Object.RAM[Z3K2].FlexVO12b</v>
      </c>
      <c r="D15" s="868" t="str">
        <f>IF('Overzicht project'!$C$42=Bron!$E$2, "",'Overzicht project'!$C$42)</f>
        <v/>
      </c>
      <c r="E15" s="868" t="s">
        <v>966</v>
      </c>
      <c r="F15" s="868" t="s">
        <v>967</v>
      </c>
      <c r="G15" s="868"/>
      <c r="H15" s="870"/>
      <c r="P15" s="700"/>
      <c r="AY15" s="1283"/>
      <c r="AZ15" s="1283"/>
      <c r="BA15" s="1283"/>
      <c r="BB15" s="1283"/>
      <c r="BC15" s="1283"/>
      <c r="BD15" s="1283"/>
    </row>
    <row r="16" spans="1:161" x14ac:dyDescent="0.3">
      <c r="A16" s="973" t="s">
        <v>977</v>
      </c>
      <c r="B16" s="872" t="s">
        <v>965</v>
      </c>
      <c r="C16" s="872" t="str">
        <f>IF(AND('Overzicht BTA'!$C$39=FALSE,'Overzicht BTA'!$C$42= FALSE),_xlfn.CONCAT('Upload AXI - CONF'!$A16,'Upload AXI - CONF'!$B16),"")</f>
        <v>Object.RAM[Z3K3].FlexVO12b</v>
      </c>
      <c r="D16" s="872" t="str">
        <f>IF('Overzicht project'!$C$42=Bron!$E$2, "",'Overzicht project'!$C$42)</f>
        <v/>
      </c>
      <c r="E16" s="872" t="s">
        <v>966</v>
      </c>
      <c r="F16" s="872" t="s">
        <v>967</v>
      </c>
      <c r="G16" s="872"/>
      <c r="H16" s="874"/>
      <c r="P16" s="700"/>
      <c r="AY16" s="1283"/>
      <c r="AZ16" s="1283"/>
      <c r="BA16" s="1283"/>
      <c r="BB16" s="1283"/>
      <c r="BC16" s="1283"/>
      <c r="BD16" s="1283"/>
    </row>
    <row r="17" spans="1:169" x14ac:dyDescent="0.3">
      <c r="A17" s="889" t="s">
        <v>978</v>
      </c>
      <c r="B17" s="868" t="s">
        <v>965</v>
      </c>
      <c r="C17" s="872" t="str">
        <f>IF(AND('Overzicht BTA'!$C$39=FALSE,'Overzicht BTA'!$C$42= FALSE),_xlfn.CONCAT('Upload AXI - CONF'!$A17,'Upload AXI - CONF'!$B17),"")</f>
        <v>Object.RAM[Z3K4].FlexVO12b</v>
      </c>
      <c r="D17" s="868" t="str">
        <f>IF('Overzicht project'!$C$42=Bron!$E$2, "",'Overzicht project'!$C$42)</f>
        <v/>
      </c>
      <c r="E17" s="868" t="s">
        <v>966</v>
      </c>
      <c r="F17" s="868" t="s">
        <v>967</v>
      </c>
      <c r="G17" s="868"/>
      <c r="H17" s="870"/>
      <c r="P17" s="700"/>
      <c r="AY17" s="1283"/>
      <c r="AZ17" s="1283"/>
      <c r="BA17" s="1283"/>
      <c r="BB17" s="1283"/>
      <c r="BC17" s="1283"/>
      <c r="BD17" s="1283"/>
    </row>
    <row r="18" spans="1:169" x14ac:dyDescent="0.3">
      <c r="A18" s="973" t="s">
        <v>964</v>
      </c>
      <c r="B18" s="872" t="s">
        <v>979</v>
      </c>
      <c r="C18" s="872" t="str">
        <f>IF(AND('Overzicht BTA'!$C$39=FALSE,'Overzicht BTA'!$C$42= FALSE),_xlfn.CONCAT('Upload AXI - CONF'!$A18,'Upload AXI - CONF'!$B18),"")</f>
        <v>Object.RAM[Z1K1].FlexVO5</v>
      </c>
      <c r="D18" s="872" t="str">
        <f>IF('Overzicht project'!$C48=Bron!$B$7,"",IF(OR('Overzicht project'!$C48=Bron!$C$8,Bron!$C$9='Overzicht project'!$C48),"Nieuwbouw",IF(OR('Overzicht project'!$C48=Bron!$C$13,Bron!$C$14='Overzicht project'!$C48),"Voltooiingwerken",'Overzicht project'!$C48)))</f>
        <v/>
      </c>
      <c r="E18" s="872" t="s">
        <v>980</v>
      </c>
      <c r="F18" s="872" t="s">
        <v>967</v>
      </c>
      <c r="G18" s="872"/>
      <c r="H18" s="874"/>
      <c r="P18" s="700"/>
      <c r="BE18" s="1283"/>
      <c r="BF18" s="1283"/>
      <c r="BG18" s="1283"/>
      <c r="BH18" s="1283"/>
      <c r="BI18" s="1283"/>
      <c r="BJ18" s="1283"/>
      <c r="BK18" s="1283"/>
      <c r="BL18" s="1283"/>
      <c r="BM18" s="1283"/>
    </row>
    <row r="19" spans="1:169" x14ac:dyDescent="0.3">
      <c r="A19" s="889" t="s">
        <v>968</v>
      </c>
      <c r="B19" s="868" t="s">
        <v>979</v>
      </c>
      <c r="C19" s="872" t="str">
        <f>IF(AND('Overzicht BTA'!$C$39=FALSE,'Overzicht BTA'!$C$42= FALSE),_xlfn.CONCAT('Upload AXI - CONF'!$A19,'Upload AXI - CONF'!$B19),"")</f>
        <v>Object.RAM[Z1K2].FlexVO5</v>
      </c>
      <c r="D19" s="868" t="str">
        <f>IF('Overzicht project'!$C49=Bron!$B$7,"",IF(OR('Overzicht project'!$C49=Bron!$C$8,Bron!$C$9='Overzicht project'!$C49),"Nieuwbouw",IF(OR('Overzicht project'!$C49=Bron!$C$13,Bron!$C$14='Overzicht project'!$C49),"Voltooiingwerken",'Overzicht project'!$C49)))</f>
        <v/>
      </c>
      <c r="E19" s="868" t="s">
        <v>980</v>
      </c>
      <c r="F19" s="868" t="s">
        <v>967</v>
      </c>
      <c r="G19" s="868"/>
      <c r="H19" s="870"/>
      <c r="P19" s="700"/>
      <c r="BN19" s="1283"/>
      <c r="BO19" s="1283"/>
      <c r="BP19" s="1283"/>
      <c r="BQ19" s="1283"/>
      <c r="BR19" s="1283"/>
      <c r="BS19" s="1283"/>
    </row>
    <row r="20" spans="1:169" x14ac:dyDescent="0.3">
      <c r="A20" s="973" t="s">
        <v>969</v>
      </c>
      <c r="B20" s="872" t="s">
        <v>979</v>
      </c>
      <c r="C20" s="872" t="str">
        <f>IF(AND('Overzicht BTA'!$C$39=FALSE,'Overzicht BTA'!$C$42= FALSE),_xlfn.CONCAT('Upload AXI - CONF'!$A20,'Upload AXI - CONF'!$B20),"")</f>
        <v>Object.RAM[Z1K3].FlexVO5</v>
      </c>
      <c r="D20" s="872" t="str">
        <f>IF('Overzicht project'!$C50=Bron!$B$7,"",IF(OR('Overzicht project'!$C50=Bron!$C$8,Bron!$C$9='Overzicht project'!$C50),"Nieuwbouw",IF(OR('Overzicht project'!$C50=Bron!$C$13,Bron!$C$14='Overzicht project'!$C50),"Voltooiingwerken",'Overzicht project'!$C50)))</f>
        <v/>
      </c>
      <c r="E20" s="872" t="s">
        <v>980</v>
      </c>
      <c r="F20" s="872" t="s">
        <v>967</v>
      </c>
      <c r="G20" s="872"/>
      <c r="H20" s="874"/>
      <c r="P20" s="700"/>
      <c r="BT20" s="1283"/>
      <c r="BU20" s="1283"/>
      <c r="BV20" s="1283"/>
      <c r="BW20" s="1283"/>
      <c r="BX20" s="1283"/>
      <c r="BY20" s="1283"/>
      <c r="BZ20" s="1283"/>
      <c r="CA20" s="1283"/>
      <c r="CB20" s="1283"/>
    </row>
    <row r="21" spans="1:169" x14ac:dyDescent="0.3">
      <c r="A21" s="889" t="s">
        <v>970</v>
      </c>
      <c r="B21" s="868" t="s">
        <v>979</v>
      </c>
      <c r="C21" s="872" t="str">
        <f>IF(AND('Overzicht BTA'!$C$39=FALSE,'Overzicht BTA'!$C$42= FALSE),_xlfn.CONCAT('Upload AXI - CONF'!$A21,'Upload AXI - CONF'!$B21),"")</f>
        <v>Object.RAM[Z1K4].FlexVO5</v>
      </c>
      <c r="D21" s="868" t="str">
        <f>IF('Overzicht project'!$C51=Bron!$B$7,"",IF(OR('Overzicht project'!$C51=Bron!$C$8,Bron!$C$9='Overzicht project'!$C51),"Nieuwbouw",IF(OR('Overzicht project'!$C51=Bron!$C$13,Bron!$C$14='Overzicht project'!$C51),"Voltooiingwerken",'Overzicht project'!$C51)))</f>
        <v/>
      </c>
      <c r="E21" s="868" t="s">
        <v>980</v>
      </c>
      <c r="F21" s="868" t="s">
        <v>967</v>
      </c>
      <c r="G21" s="868"/>
      <c r="H21" s="870"/>
      <c r="P21" s="700"/>
      <c r="CC21" s="1283"/>
      <c r="CD21" s="1283"/>
      <c r="CE21" s="1283"/>
      <c r="CF21" s="1283"/>
      <c r="CG21" s="1283"/>
      <c r="CH21" s="1283"/>
      <c r="CI21" s="1283"/>
    </row>
    <row r="22" spans="1:169" x14ac:dyDescent="0.3">
      <c r="A22" s="973" t="s">
        <v>971</v>
      </c>
      <c r="B22" s="872" t="s">
        <v>979</v>
      </c>
      <c r="C22" s="872" t="str">
        <f>IF(AND('Overzicht BTA'!$C$39=FALSE,'Overzicht BTA'!$C$42= FALSE),_xlfn.CONCAT('Upload AXI - CONF'!$A22,'Upload AXI - CONF'!$B22),"")</f>
        <v>Object.RAM[Z2K1].FlexVO5</v>
      </c>
      <c r="D22" s="872" t="str">
        <f>IF('Overzicht project'!$C55=Bron!$B$7,"",IF(OR('Overzicht project'!$C55=Bron!$C$8,Bron!$C$9='Overzicht project'!$C55),"Nieuwbouw",IF(OR('Overzicht project'!$C55=Bron!$C$13,Bron!$C$14='Overzicht project'!$C55),"Voltooiingwerken",'Overzicht project'!$C55)))</f>
        <v/>
      </c>
      <c r="E22" s="872" t="s">
        <v>980</v>
      </c>
      <c r="F22" s="872" t="s">
        <v>967</v>
      </c>
      <c r="G22" s="872"/>
      <c r="H22" s="874"/>
      <c r="P22" s="700"/>
      <c r="CJ22" s="1283"/>
      <c r="CK22" s="1283"/>
      <c r="CL22" s="1283"/>
      <c r="CM22" s="1283"/>
      <c r="CN22" s="1283"/>
      <c r="CO22" s="1283"/>
      <c r="CP22" s="1283"/>
    </row>
    <row r="23" spans="1:169" x14ac:dyDescent="0.3">
      <c r="A23" s="889" t="s">
        <v>972</v>
      </c>
      <c r="B23" s="868" t="s">
        <v>979</v>
      </c>
      <c r="C23" s="872" t="str">
        <f>IF(AND('Overzicht BTA'!$C$39=FALSE,'Overzicht BTA'!$C$42= FALSE),_xlfn.CONCAT('Upload AXI - CONF'!$A23,'Upload AXI - CONF'!$B23),"")</f>
        <v>Object.RAM[Z2K2].FlexVO5</v>
      </c>
      <c r="D23" s="868" t="str">
        <f>IF('Overzicht project'!$C56=Bron!$B$7,"",IF(OR('Overzicht project'!$C56=Bron!$C$8,Bron!$C$9='Overzicht project'!$C56),"Nieuwbouw",IF(OR('Overzicht project'!$C56=Bron!$C$13,Bron!$C$14='Overzicht project'!$C56),"Voltooiingwerken",'Overzicht project'!$C56)))</f>
        <v/>
      </c>
      <c r="E23" s="868" t="s">
        <v>980</v>
      </c>
      <c r="F23" s="868" t="s">
        <v>967</v>
      </c>
      <c r="G23" s="868"/>
      <c r="H23" s="870"/>
      <c r="P23" s="700"/>
      <c r="CQ23" s="1283"/>
      <c r="CR23" s="1283"/>
      <c r="CS23" s="1283"/>
      <c r="CT23" s="1283"/>
      <c r="CU23" s="1283"/>
      <c r="CV23" s="1283"/>
      <c r="CW23" s="1283"/>
      <c r="CX23" s="1283"/>
      <c r="CY23" s="765"/>
      <c r="CZ23" s="106"/>
    </row>
    <row r="24" spans="1:169" x14ac:dyDescent="0.3">
      <c r="A24" s="973" t="s">
        <v>973</v>
      </c>
      <c r="B24" s="872" t="s">
        <v>979</v>
      </c>
      <c r="C24" s="872" t="str">
        <f>IF(AND('Overzicht BTA'!$C$39=FALSE,'Overzicht BTA'!$C$42= FALSE),_xlfn.CONCAT('Upload AXI - CONF'!$A24,'Upload AXI - CONF'!$B24),"")</f>
        <v>Object.RAM[Z2K3].FlexVO5</v>
      </c>
      <c r="D24" s="872" t="str">
        <f>IF('Overzicht project'!$C57=Bron!$B$7,"",IF(OR('Overzicht project'!$C57=Bron!$C$8,Bron!$C$9='Overzicht project'!$C57),"Nieuwbouw",IF(OR('Overzicht project'!$C57=Bron!$C$13,Bron!$C$14='Overzicht project'!$C57),"Voltooiingwerken",'Overzicht project'!$C57)))</f>
        <v/>
      </c>
      <c r="E24" s="872" t="s">
        <v>980</v>
      </c>
      <c r="F24" s="872" t="s">
        <v>967</v>
      </c>
      <c r="G24" s="872"/>
      <c r="H24" s="874"/>
      <c r="P24" s="700"/>
      <c r="CZ24" s="1284"/>
      <c r="DA24" s="1284"/>
      <c r="DB24" s="1284"/>
      <c r="DC24" s="1284"/>
      <c r="DD24" s="1284"/>
      <c r="DE24" s="1284"/>
      <c r="DF24" s="1284"/>
      <c r="DG24" s="1284"/>
      <c r="DH24" s="1284"/>
      <c r="DI24" s="1284"/>
      <c r="DJ24" s="1284"/>
      <c r="DK24" s="1284"/>
      <c r="DL24" s="1284"/>
      <c r="DM24" s="1284"/>
      <c r="DN24" s="1284"/>
      <c r="DO24" s="1284"/>
      <c r="DP24" s="1284"/>
      <c r="DQ24" s="1284"/>
      <c r="DR24" s="1284"/>
      <c r="DS24" s="1284"/>
      <c r="DT24" s="1284"/>
      <c r="DU24" s="1284"/>
    </row>
    <row r="25" spans="1:169" x14ac:dyDescent="0.3">
      <c r="A25" s="889" t="s">
        <v>974</v>
      </c>
      <c r="B25" s="868" t="s">
        <v>979</v>
      </c>
      <c r="C25" s="872" t="str">
        <f>IF(AND('Overzicht BTA'!$C$39=FALSE,'Overzicht BTA'!$C$42= FALSE),_xlfn.CONCAT('Upload AXI - CONF'!$A25,'Upload AXI - CONF'!$B25),"")</f>
        <v>Object.RAM[Z2K4].FlexVO5</v>
      </c>
      <c r="D25" s="868" t="str">
        <f>IF('Overzicht project'!$C58=Bron!$B$7,"",IF(OR('Overzicht project'!$C58=Bron!$C$8,Bron!$C$9='Overzicht project'!$C58),"Nieuwbouw",IF(OR('Overzicht project'!$C58=Bron!$C$13,Bron!$C$14='Overzicht project'!$C58),"Voltooiingwerken",'Overzicht project'!$C58)))</f>
        <v/>
      </c>
      <c r="E25" s="868" t="s">
        <v>980</v>
      </c>
      <c r="F25" s="868" t="s">
        <v>967</v>
      </c>
      <c r="G25" s="868"/>
      <c r="H25" s="870"/>
      <c r="P25" s="700"/>
      <c r="DV25" s="1284"/>
      <c r="DW25" s="1284"/>
      <c r="DX25" s="1284"/>
      <c r="DY25" s="1284"/>
      <c r="DZ25" s="1284"/>
      <c r="EA25" s="1284"/>
      <c r="EB25" s="1284"/>
      <c r="EC25" s="1284"/>
      <c r="ED25" s="1284"/>
      <c r="EE25" s="1284"/>
      <c r="EF25" s="1284"/>
      <c r="EG25" s="1284"/>
      <c r="EH25" s="1284"/>
      <c r="EI25" s="1284"/>
      <c r="EJ25" s="1284"/>
      <c r="EK25" s="1284"/>
      <c r="EL25" s="1284"/>
      <c r="EM25" s="1284"/>
      <c r="EN25" s="1284"/>
      <c r="EO25" s="1284"/>
      <c r="EP25" s="1284"/>
      <c r="EQ25" s="1284"/>
    </row>
    <row r="26" spans="1:169" x14ac:dyDescent="0.3">
      <c r="A26" s="973" t="s">
        <v>975</v>
      </c>
      <c r="B26" s="872" t="s">
        <v>979</v>
      </c>
      <c r="C26" s="872" t="str">
        <f>IF(AND('Overzicht BTA'!$C$39=FALSE,'Overzicht BTA'!$C$42= FALSE),_xlfn.CONCAT('Upload AXI - CONF'!$A26,'Upload AXI - CONF'!$B26),"")</f>
        <v>Object.RAM[Z3K1].FlexVO5</v>
      </c>
      <c r="D26" s="872" t="str">
        <f>IF('Overzicht project'!$C62=Bron!$B$7,"",IF(OR('Overzicht project'!$C62=Bron!$C$8,Bron!$C$9='Overzicht project'!$C62),"Nieuwbouw",IF(OR('Overzicht project'!$C62=Bron!$C$13,Bron!$C$14='Overzicht project'!$C62),"Voltooiingwerken",'Overzicht project'!$C62)))</f>
        <v/>
      </c>
      <c r="E26" s="872" t="s">
        <v>980</v>
      </c>
      <c r="F26" s="872" t="s">
        <v>967</v>
      </c>
      <c r="G26" s="872"/>
      <c r="H26" s="874"/>
      <c r="P26" s="700"/>
      <c r="ER26" s="1284"/>
      <c r="ES26" s="1284"/>
      <c r="ET26" s="1284"/>
      <c r="EU26" s="1284"/>
      <c r="EV26" s="1284"/>
      <c r="EW26" s="1284"/>
      <c r="EX26" s="1284"/>
      <c r="EY26" s="1284"/>
      <c r="EZ26" s="1284"/>
      <c r="FA26" s="1284"/>
      <c r="FB26" s="1284"/>
      <c r="FC26" s="1284"/>
      <c r="FD26" s="1284"/>
      <c r="FE26" s="1284"/>
      <c r="FF26" s="1284"/>
      <c r="FG26" s="1284"/>
      <c r="FH26" s="1284"/>
      <c r="FI26" s="1284"/>
      <c r="FJ26" s="1284"/>
      <c r="FK26" s="1284"/>
      <c r="FL26" s="1284"/>
      <c r="FM26" s="1284"/>
    </row>
    <row r="27" spans="1:169" x14ac:dyDescent="0.3">
      <c r="A27" s="889" t="s">
        <v>976</v>
      </c>
      <c r="B27" s="868" t="s">
        <v>979</v>
      </c>
      <c r="C27" s="872" t="str">
        <f>IF(AND('Overzicht BTA'!$C$39=FALSE,'Overzicht BTA'!$C$42= FALSE),_xlfn.CONCAT('Upload AXI - CONF'!$A27,'Upload AXI - CONF'!$B27),"")</f>
        <v>Object.RAM[Z3K2].FlexVO5</v>
      </c>
      <c r="D27" s="868" t="str">
        <f>IF('Overzicht project'!$C63=Bron!$B$7,"",IF(OR('Overzicht project'!$C63=Bron!$C$8,Bron!$C$9='Overzicht project'!$C63),"Nieuwbouw",IF(OR('Overzicht project'!$C63=Bron!$C$13,Bron!$C$14='Overzicht project'!$C63),"Voltooiingwerken",'Overzicht project'!$C63)))</f>
        <v/>
      </c>
      <c r="E27" s="868" t="s">
        <v>980</v>
      </c>
      <c r="F27" s="868" t="s">
        <v>967</v>
      </c>
      <c r="G27" s="868"/>
      <c r="H27" s="870"/>
      <c r="P27" s="700"/>
    </row>
    <row r="28" spans="1:169" x14ac:dyDescent="0.3">
      <c r="A28" s="973" t="s">
        <v>977</v>
      </c>
      <c r="B28" s="872" t="s">
        <v>979</v>
      </c>
      <c r="C28" s="872" t="str">
        <f>IF(AND('Overzicht BTA'!$C$39=FALSE,'Overzicht BTA'!$C$42= FALSE),_xlfn.CONCAT('Upload AXI - CONF'!$A28,'Upload AXI - CONF'!$B28),"")</f>
        <v>Object.RAM[Z3K3].FlexVO5</v>
      </c>
      <c r="D28" s="872" t="str">
        <f>IF('Overzicht project'!$C64=Bron!$B$7,"",IF(OR('Overzicht project'!$C64=Bron!$C$8,Bron!$C$9='Overzicht project'!$C64),"Nieuwbouw",IF(OR('Overzicht project'!$C64=Bron!$C$13,Bron!$C$14='Overzicht project'!$C64),"Voltooiingwerken",'Overzicht project'!$C64)))</f>
        <v/>
      </c>
      <c r="E28" s="872" t="s">
        <v>980</v>
      </c>
      <c r="F28" s="872" t="s">
        <v>967</v>
      </c>
      <c r="G28" s="872"/>
      <c r="H28" s="874"/>
      <c r="P28" s="700"/>
    </row>
    <row r="29" spans="1:169" x14ac:dyDescent="0.3">
      <c r="A29" s="889" t="s">
        <v>978</v>
      </c>
      <c r="B29" s="868" t="s">
        <v>979</v>
      </c>
      <c r="C29" s="872" t="str">
        <f>IF(AND('Overzicht BTA'!$C$39=FALSE,'Overzicht BTA'!$C$42= FALSE),_xlfn.CONCAT('Upload AXI - CONF'!$A29,'Upload AXI - CONF'!$B29),"")</f>
        <v>Object.RAM[Z3K4].FlexVO5</v>
      </c>
      <c r="D29" s="868" t="str">
        <f>IF('Overzicht project'!$C65=Bron!$B$7,"",IF(OR('Overzicht project'!$C65=Bron!$C$8,Bron!$C$9='Overzicht project'!$C65),"Nieuwbouw",IF(OR('Overzicht project'!$C65=Bron!$C$13,Bron!$C$14='Overzicht project'!$C65),"Voltooiingwerken",'Overzicht project'!$C65)))</f>
        <v/>
      </c>
      <c r="E29" s="868" t="s">
        <v>980</v>
      </c>
      <c r="F29" s="868" t="s">
        <v>967</v>
      </c>
      <c r="G29" s="868"/>
      <c r="H29" s="870"/>
      <c r="P29" s="700"/>
    </row>
    <row r="30" spans="1:169" x14ac:dyDescent="0.3">
      <c r="A30" s="973" t="s">
        <v>1017</v>
      </c>
      <c r="B30" s="872" t="s">
        <v>979</v>
      </c>
      <c r="C30" s="872" t="str">
        <f>IF(AND('Overzicht BTA'!$C$39=FALSE,'Overzicht BTA'!$C$42= FALSE),_xlfn.CONCAT('Upload AXI - CONF'!$A30,'Upload AXI - CONF'!$B30),"")</f>
        <v>Object.RAMW[Z1K1].FlexVO5</v>
      </c>
      <c r="D30" s="872" t="str">
        <f>IF('Overzicht project_gewijzigd'!$C10=Bron!$B$7,"",IF(OR('Overzicht project_gewijzigd'!$C10=Bron!$C$8,Bron!$C$9='Overzicht project_gewijzigd'!$C10),"Nieuwbouw",IF(OR('Overzicht project_gewijzigd'!$C10=Bron!$C$13,Bron!$C$14='Overzicht project_gewijzigd'!$C10),"Voltooiingwerken",'Overzicht project_gewijzigd'!$C10)))</f>
        <v/>
      </c>
      <c r="E30" s="872" t="s">
        <v>980</v>
      </c>
      <c r="F30" s="868" t="s">
        <v>1018</v>
      </c>
      <c r="G30" s="872"/>
      <c r="H30" s="874"/>
      <c r="P30" s="700"/>
      <c r="BE30" s="1283"/>
      <c r="BF30" s="1283"/>
      <c r="BG30" s="1283"/>
      <c r="BH30" s="1283"/>
      <c r="BI30" s="1283"/>
      <c r="BJ30" s="1283"/>
      <c r="BK30" s="1283"/>
      <c r="BL30" s="1283"/>
      <c r="BM30" s="1283"/>
    </row>
    <row r="31" spans="1:169" x14ac:dyDescent="0.3">
      <c r="A31" s="889" t="s">
        <v>1019</v>
      </c>
      <c r="B31" s="868" t="s">
        <v>979</v>
      </c>
      <c r="C31" s="872" t="str">
        <f>IF(AND('Overzicht BTA'!$C$39=FALSE,'Overzicht BTA'!$C$42= FALSE),_xlfn.CONCAT('Upload AXI - CONF'!$A31,'Upload AXI - CONF'!$B31),"")</f>
        <v>Object.RAMW[Z1K2].FlexVO5</v>
      </c>
      <c r="D31" s="872" t="str">
        <f>IF('Overzicht project_gewijzigd'!$C11=Bron!$B$7,"",IF(OR('Overzicht project_gewijzigd'!$C11=Bron!$C$8,Bron!$C$9='Overzicht project_gewijzigd'!$C11),"Nieuwbouw",IF(OR('Overzicht project_gewijzigd'!$C11=Bron!$C$13,Bron!$C$14='Overzicht project_gewijzigd'!$C11),"Voltooiingwerken",'Overzicht project_gewijzigd'!$C11)))</f>
        <v/>
      </c>
      <c r="E31" s="868" t="s">
        <v>980</v>
      </c>
      <c r="F31" s="868" t="s">
        <v>1018</v>
      </c>
      <c r="G31" s="868"/>
      <c r="H31" s="870"/>
      <c r="P31" s="700"/>
      <c r="BN31" s="1283"/>
      <c r="BO31" s="1283"/>
      <c r="BP31" s="1283"/>
      <c r="BQ31" s="1283"/>
      <c r="BR31" s="1283"/>
      <c r="BS31" s="1283"/>
    </row>
    <row r="32" spans="1:169" x14ac:dyDescent="0.3">
      <c r="A32" s="973" t="s">
        <v>1020</v>
      </c>
      <c r="B32" s="872" t="s">
        <v>979</v>
      </c>
      <c r="C32" s="872" t="str">
        <f>IF(AND('Overzicht BTA'!$C$39=FALSE,'Overzicht BTA'!$C$42= FALSE),_xlfn.CONCAT('Upload AXI - CONF'!$A32,'Upload AXI - CONF'!$B32),"")</f>
        <v>Object.RAMW[Z1K3].FlexVO5</v>
      </c>
      <c r="D32" s="872" t="str">
        <f>IF('Overzicht project_gewijzigd'!$C12=Bron!$B$7,"",IF(OR('Overzicht project_gewijzigd'!$C12=Bron!$C$8,Bron!$C$9='Overzicht project_gewijzigd'!$C12),"Nieuwbouw",IF(OR('Overzicht project_gewijzigd'!$C12=Bron!$C$13,Bron!$C$14='Overzicht project_gewijzigd'!$C12),"Voltooiingwerken",'Overzicht project_gewijzigd'!$C12)))</f>
        <v/>
      </c>
      <c r="E32" s="872" t="s">
        <v>980</v>
      </c>
      <c r="F32" s="868" t="s">
        <v>1018</v>
      </c>
      <c r="G32" s="872"/>
      <c r="H32" s="874"/>
      <c r="P32" s="700"/>
      <c r="BT32" s="1283"/>
      <c r="BU32" s="1283"/>
      <c r="BV32" s="1283"/>
      <c r="BW32" s="1283"/>
      <c r="BX32" s="1283"/>
      <c r="BY32" s="1283"/>
      <c r="BZ32" s="1283"/>
      <c r="CA32" s="1283"/>
      <c r="CB32" s="1283"/>
    </row>
    <row r="33" spans="1:169" x14ac:dyDescent="0.3">
      <c r="A33" s="889" t="s">
        <v>1021</v>
      </c>
      <c r="B33" s="868" t="s">
        <v>979</v>
      </c>
      <c r="C33" s="872" t="str">
        <f>IF(AND('Overzicht BTA'!$C$39=FALSE,'Overzicht BTA'!$C$42= FALSE),_xlfn.CONCAT('Upload AXI - CONF'!$A33,'Upload AXI - CONF'!$B33),"")</f>
        <v>Object.RAMW[Z1K4].FlexVO5</v>
      </c>
      <c r="D33" s="872" t="str">
        <f>IF('Overzicht project_gewijzigd'!$C13=Bron!$B$7,"",IF(OR('Overzicht project_gewijzigd'!$C13=Bron!$C$8,Bron!$C$9='Overzicht project_gewijzigd'!$C13),"Nieuwbouw",IF(OR('Overzicht project_gewijzigd'!$C13=Bron!$C$13,Bron!$C$14='Overzicht project_gewijzigd'!$C13),"Voltooiingwerken",'Overzicht project_gewijzigd'!$C13)))</f>
        <v/>
      </c>
      <c r="E33" s="868" t="s">
        <v>980</v>
      </c>
      <c r="F33" s="868" t="s">
        <v>1018</v>
      </c>
      <c r="G33" s="868"/>
      <c r="H33" s="870"/>
      <c r="P33" s="700"/>
      <c r="CC33" s="1283"/>
      <c r="CD33" s="1283"/>
      <c r="CE33" s="1283"/>
      <c r="CF33" s="1283"/>
      <c r="CG33" s="1283"/>
      <c r="CH33" s="1283"/>
      <c r="CI33" s="1283"/>
    </row>
    <row r="34" spans="1:169" x14ac:dyDescent="0.3">
      <c r="A34" s="973" t="s">
        <v>1022</v>
      </c>
      <c r="B34" s="872" t="s">
        <v>979</v>
      </c>
      <c r="C34" s="872" t="str">
        <f>IF(AND('Overzicht BTA'!$C$39=FALSE,'Overzicht BTA'!$C$42= FALSE),_xlfn.CONCAT('Upload AXI - CONF'!$A34,'Upload AXI - CONF'!$B34),"")</f>
        <v>Object.RAMW[Z2K1].FlexVO5</v>
      </c>
      <c r="D34" s="872" t="str">
        <f>IF('Overzicht project_gewijzigd'!$C17=Bron!$B$7,"",IF(OR('Overzicht project_gewijzigd'!$C17=Bron!$C$8,Bron!$C$9='Overzicht project_gewijzigd'!$C17),"Nieuwbouw",IF(OR('Overzicht project_gewijzigd'!$C17=Bron!$C$13,Bron!$C$14='Overzicht project_gewijzigd'!$C17),"Voltooiingwerken",'Overzicht project_gewijzigd'!$C17)))</f>
        <v/>
      </c>
      <c r="E34" s="872" t="s">
        <v>980</v>
      </c>
      <c r="F34" s="868" t="s">
        <v>1018</v>
      </c>
      <c r="G34" s="872"/>
      <c r="H34" s="874"/>
      <c r="P34" s="700"/>
      <c r="CJ34" s="1283"/>
      <c r="CK34" s="1283"/>
      <c r="CL34" s="1283"/>
      <c r="CM34" s="1283"/>
      <c r="CN34" s="1283"/>
      <c r="CO34" s="1283"/>
      <c r="CP34" s="1283"/>
    </row>
    <row r="35" spans="1:169" x14ac:dyDescent="0.3">
      <c r="A35" s="889" t="s">
        <v>1023</v>
      </c>
      <c r="B35" s="868" t="s">
        <v>979</v>
      </c>
      <c r="C35" s="872" t="str">
        <f>IF(AND('Overzicht BTA'!$C$39=FALSE,'Overzicht BTA'!$C$42= FALSE),_xlfn.CONCAT('Upload AXI - CONF'!$A35,'Upload AXI - CONF'!$B35),"")</f>
        <v>Object.RAMW[Z2K2].FlexVO5</v>
      </c>
      <c r="D35" s="872" t="str">
        <f>IF('Overzicht project_gewijzigd'!$C18=Bron!$B$7,"",IF(OR('Overzicht project_gewijzigd'!$C18=Bron!$C$8,Bron!$C$9='Overzicht project_gewijzigd'!$C18),"Nieuwbouw",IF(OR('Overzicht project_gewijzigd'!$C18=Bron!$C$13,Bron!$C$14='Overzicht project_gewijzigd'!$C18),"Voltooiingwerken",'Overzicht project_gewijzigd'!$C18)))</f>
        <v/>
      </c>
      <c r="E35" s="868" t="s">
        <v>980</v>
      </c>
      <c r="F35" s="868" t="s">
        <v>1018</v>
      </c>
      <c r="G35" s="868"/>
      <c r="H35" s="870"/>
      <c r="P35" s="700"/>
      <c r="CQ35" s="1283"/>
      <c r="CR35" s="1283"/>
      <c r="CS35" s="1283"/>
      <c r="CT35" s="1283"/>
      <c r="CU35" s="1283"/>
      <c r="CV35" s="1283"/>
      <c r="CW35" s="1283"/>
      <c r="CX35" s="1283"/>
      <c r="CY35" s="765"/>
      <c r="CZ35" s="106"/>
    </row>
    <row r="36" spans="1:169" x14ac:dyDescent="0.3">
      <c r="A36" s="973" t="s">
        <v>1024</v>
      </c>
      <c r="B36" s="872" t="s">
        <v>979</v>
      </c>
      <c r="C36" s="872" t="str">
        <f>IF(AND('Overzicht BTA'!$C$39=FALSE,'Overzicht BTA'!$C$42= FALSE),_xlfn.CONCAT('Upload AXI - CONF'!$A36,'Upload AXI - CONF'!$B36),"")</f>
        <v>Object.RAMW[Z2K3].FlexVO5</v>
      </c>
      <c r="D36" s="872" t="str">
        <f>IF('Overzicht project_gewijzigd'!$C19=Bron!$B$7,"",IF(OR('Overzicht project_gewijzigd'!$C19=Bron!$C$8,Bron!$C$9='Overzicht project_gewijzigd'!$C19),"Nieuwbouw",IF(OR('Overzicht project_gewijzigd'!$C19=Bron!$C$13,Bron!$C$14='Overzicht project_gewijzigd'!$C19),"Voltooiingwerken",'Overzicht project_gewijzigd'!$C19)))</f>
        <v/>
      </c>
      <c r="E36" s="872" t="s">
        <v>980</v>
      </c>
      <c r="F36" s="868" t="s">
        <v>1018</v>
      </c>
      <c r="G36" s="872"/>
      <c r="H36" s="874"/>
      <c r="P36" s="700"/>
      <c r="CZ36" s="1284"/>
      <c r="DA36" s="1284"/>
      <c r="DB36" s="1284"/>
      <c r="DC36" s="1284"/>
      <c r="DD36" s="1284"/>
      <c r="DE36" s="1284"/>
      <c r="DF36" s="1284"/>
      <c r="DG36" s="1284"/>
      <c r="DH36" s="1284"/>
      <c r="DI36" s="1284"/>
      <c r="DJ36" s="1284"/>
      <c r="DK36" s="1284"/>
      <c r="DL36" s="1284"/>
      <c r="DM36" s="1284"/>
      <c r="DN36" s="1284"/>
      <c r="DO36" s="1284"/>
      <c r="DP36" s="1284"/>
      <c r="DQ36" s="1284"/>
      <c r="DR36" s="1284"/>
      <c r="DS36" s="1284"/>
      <c r="DT36" s="1284"/>
      <c r="DU36" s="1284"/>
    </row>
    <row r="37" spans="1:169" x14ac:dyDescent="0.3">
      <c r="A37" s="889" t="s">
        <v>1025</v>
      </c>
      <c r="B37" s="868" t="s">
        <v>979</v>
      </c>
      <c r="C37" s="872" t="str">
        <f>IF(AND('Overzicht BTA'!$C$39=FALSE,'Overzicht BTA'!$C$42= FALSE),_xlfn.CONCAT('Upload AXI - CONF'!$A37,'Upload AXI - CONF'!$B37),"")</f>
        <v>Object.RAMW[Z2K4].FlexVO5</v>
      </c>
      <c r="D37" s="872" t="str">
        <f>IF('Overzicht project_gewijzigd'!$C20=Bron!$B$7,"",IF(OR('Overzicht project_gewijzigd'!$C20=Bron!$C$8,Bron!$C$9='Overzicht project_gewijzigd'!$C20),"Nieuwbouw",IF(OR('Overzicht project_gewijzigd'!$C20=Bron!$C$13,Bron!$C$14='Overzicht project_gewijzigd'!$C20),"Voltooiingwerken",'Overzicht project_gewijzigd'!$C20)))</f>
        <v/>
      </c>
      <c r="E37" s="868" t="s">
        <v>980</v>
      </c>
      <c r="F37" s="868" t="s">
        <v>1018</v>
      </c>
      <c r="G37" s="868"/>
      <c r="H37" s="870"/>
      <c r="P37" s="700"/>
      <c r="DV37" s="1284"/>
      <c r="DW37" s="1284"/>
      <c r="DX37" s="1284"/>
      <c r="DY37" s="1284"/>
      <c r="DZ37" s="1284"/>
      <c r="EA37" s="1284"/>
      <c r="EB37" s="1284"/>
      <c r="EC37" s="1284"/>
      <c r="ED37" s="1284"/>
      <c r="EE37" s="1284"/>
      <c r="EF37" s="1284"/>
      <c r="EG37" s="1284"/>
      <c r="EH37" s="1284"/>
      <c r="EI37" s="1284"/>
      <c r="EJ37" s="1284"/>
      <c r="EK37" s="1284"/>
      <c r="EL37" s="1284"/>
      <c r="EM37" s="1284"/>
      <c r="EN37" s="1284"/>
      <c r="EO37" s="1284"/>
      <c r="EP37" s="1284"/>
      <c r="EQ37" s="1284"/>
    </row>
    <row r="38" spans="1:169" x14ac:dyDescent="0.3">
      <c r="A38" s="973" t="s">
        <v>1026</v>
      </c>
      <c r="B38" s="872" t="s">
        <v>979</v>
      </c>
      <c r="C38" s="872" t="str">
        <f>IF(AND('Overzicht BTA'!$C$39=FALSE,'Overzicht BTA'!$C$42= FALSE),_xlfn.CONCAT('Upload AXI - CONF'!$A38,'Upload AXI - CONF'!$B38),"")</f>
        <v>Object.RAMW[Z3K1].FlexVO5</v>
      </c>
      <c r="D38" s="872" t="str">
        <f>IF('Overzicht project_gewijzigd'!$C24=Bron!$B$7,"",IF(OR('Overzicht project_gewijzigd'!$C24=Bron!$C$8,Bron!$C$9='Overzicht project_gewijzigd'!$C24),"Nieuwbouw",IF(OR('Overzicht project_gewijzigd'!$C24=Bron!$C$13,Bron!$C$14='Overzicht project_gewijzigd'!$C24),"Voltooiingwerken",'Overzicht project_gewijzigd'!$C24)))</f>
        <v/>
      </c>
      <c r="E38" s="872" t="s">
        <v>980</v>
      </c>
      <c r="F38" s="868" t="s">
        <v>1018</v>
      </c>
      <c r="G38" s="872"/>
      <c r="H38" s="874"/>
      <c r="P38" s="700"/>
      <c r="ER38" s="1284"/>
      <c r="ES38" s="1284"/>
      <c r="ET38" s="1284"/>
      <c r="EU38" s="1284"/>
      <c r="EV38" s="1284"/>
      <c r="EW38" s="1284"/>
      <c r="EX38" s="1284"/>
      <c r="EY38" s="1284"/>
      <c r="EZ38" s="1284"/>
      <c r="FA38" s="1284"/>
      <c r="FB38" s="1284"/>
      <c r="FC38" s="1284"/>
      <c r="FD38" s="1284"/>
      <c r="FE38" s="1284"/>
      <c r="FF38" s="1284"/>
      <c r="FG38" s="1284"/>
      <c r="FH38" s="1284"/>
      <c r="FI38" s="1284"/>
      <c r="FJ38" s="1284"/>
      <c r="FK38" s="1284"/>
      <c r="FL38" s="1284"/>
      <c r="FM38" s="1284"/>
    </row>
    <row r="39" spans="1:169" x14ac:dyDescent="0.3">
      <c r="A39" s="889" t="s">
        <v>1027</v>
      </c>
      <c r="B39" s="868" t="s">
        <v>979</v>
      </c>
      <c r="C39" s="872" t="str">
        <f>IF(AND('Overzicht BTA'!$C$39=FALSE,'Overzicht BTA'!$C$42= FALSE),_xlfn.CONCAT('Upload AXI - CONF'!$A39,'Upload AXI - CONF'!$B39),"")</f>
        <v>Object.RAMW[Z3K2].FlexVO5</v>
      </c>
      <c r="D39" s="872" t="str">
        <f>IF('Overzicht project_gewijzigd'!$C25=Bron!$B$7,"",IF(OR('Overzicht project_gewijzigd'!$C25=Bron!$C$8,Bron!$C$9='Overzicht project_gewijzigd'!$C25),"Nieuwbouw",IF(OR('Overzicht project_gewijzigd'!$C25=Bron!$C$13,Bron!$C$14='Overzicht project_gewijzigd'!$C25),"Voltooiingwerken",'Overzicht project_gewijzigd'!$C25)))</f>
        <v/>
      </c>
      <c r="E39" s="868" t="s">
        <v>980</v>
      </c>
      <c r="F39" s="868" t="s">
        <v>1018</v>
      </c>
      <c r="G39" s="868"/>
      <c r="H39" s="870"/>
      <c r="P39" s="700"/>
    </row>
    <row r="40" spans="1:169" x14ac:dyDescent="0.3">
      <c r="A40" s="973" t="s">
        <v>1028</v>
      </c>
      <c r="B40" s="872" t="s">
        <v>979</v>
      </c>
      <c r="C40" s="872" t="str">
        <f>IF(AND('Overzicht BTA'!$C$39=FALSE,'Overzicht BTA'!$C$42= FALSE),_xlfn.CONCAT('Upload AXI - CONF'!$A40,'Upload AXI - CONF'!$B40),"")</f>
        <v>Object.RAMW[Z3K3].FlexVO5</v>
      </c>
      <c r="D40" s="872" t="str">
        <f>IF('Overzicht project_gewijzigd'!$C26=Bron!$B$7,"",IF(OR('Overzicht project_gewijzigd'!$C26=Bron!$C$8,Bron!$C$9='Overzicht project_gewijzigd'!$C26),"Nieuwbouw",IF(OR('Overzicht project_gewijzigd'!$C26=Bron!$C$13,Bron!$C$14='Overzicht project_gewijzigd'!$C26),"Voltooiingwerken",'Overzicht project_gewijzigd'!$C26)))</f>
        <v/>
      </c>
      <c r="E40" s="872" t="s">
        <v>980</v>
      </c>
      <c r="F40" s="868" t="s">
        <v>1018</v>
      </c>
      <c r="G40" s="872"/>
      <c r="H40" s="874"/>
      <c r="P40" s="700"/>
    </row>
    <row r="41" spans="1:169" x14ac:dyDescent="0.3">
      <c r="A41" s="889" t="s">
        <v>1029</v>
      </c>
      <c r="B41" s="868" t="s">
        <v>979</v>
      </c>
      <c r="C41" s="872" t="str">
        <f>IF(AND('Overzicht BTA'!$C$39=FALSE,'Overzicht BTA'!$C$42= FALSE),_xlfn.CONCAT('Upload AXI - CONF'!$A41,'Upload AXI - CONF'!$B41),"")</f>
        <v>Object.RAMW[Z3K4].FlexVO5</v>
      </c>
      <c r="D41" s="872" t="str">
        <f>IF('Overzicht project_gewijzigd'!$C27=Bron!$B$7,"",IF(OR('Overzicht project_gewijzigd'!$C27=Bron!$C$8,Bron!$C$9='Overzicht project_gewijzigd'!$C27),"Nieuwbouw",IF(OR('Overzicht project_gewijzigd'!$C27=Bron!$C$13,Bron!$C$14='Overzicht project_gewijzigd'!$C27),"Voltooiingwerken",'Overzicht project_gewijzigd'!$C27)))</f>
        <v/>
      </c>
      <c r="E41" s="868" t="s">
        <v>980</v>
      </c>
      <c r="F41" s="868" t="s">
        <v>1018</v>
      </c>
      <c r="G41" s="868"/>
      <c r="H41" s="870"/>
      <c r="P41" s="700"/>
    </row>
    <row r="42" spans="1:169" x14ac:dyDescent="0.3">
      <c r="A42" s="889"/>
      <c r="B42" s="872"/>
      <c r="C42" s="872" t="str">
        <f>IF(AND('Overzicht BTA'!$C$39=FALSE,'Overzicht BTA'!$C$42= FALSE),_xlfn.CONCAT('Upload AXI - CONF'!$A42,'Upload AXI - CONF'!$B42),"")</f>
        <v/>
      </c>
      <c r="D42" s="876">
        <f>ROUND('Overzicht BTA'!$C$31,2)</f>
        <v>0</v>
      </c>
      <c r="E42" s="872" t="s">
        <v>981</v>
      </c>
      <c r="F42" s="872" t="s">
        <v>967</v>
      </c>
      <c r="G42" s="872"/>
      <c r="H42" s="874"/>
      <c r="I42" s="771"/>
      <c r="P42" s="700"/>
    </row>
    <row r="43" spans="1:169" x14ac:dyDescent="0.3">
      <c r="A43" s="889"/>
      <c r="B43" s="868"/>
      <c r="C43" s="872" t="str">
        <f>IF(AND('Overzicht BTA'!$C$39=FALSE,'Overzicht BTA'!$C$42= FALSE),_xlfn.CONCAT('Upload AXI - CONF'!$A43,'Upload AXI - CONF'!$B43),"")</f>
        <v/>
      </c>
      <c r="D43" s="877">
        <f>ROUND('Overzicht BTA'!$J$31,2)</f>
        <v>0</v>
      </c>
      <c r="E43" s="868" t="s">
        <v>982</v>
      </c>
      <c r="F43" s="868" t="s">
        <v>967</v>
      </c>
      <c r="G43" s="868"/>
      <c r="H43" s="870"/>
      <c r="I43" s="771"/>
      <c r="P43" s="700"/>
    </row>
    <row r="44" spans="1:169" x14ac:dyDescent="0.3">
      <c r="A44" s="973"/>
      <c r="B44" s="872"/>
      <c r="C44" s="872" t="str">
        <f>IF(AND('Overzicht BTA'!$C$39=FALSE,'Overzicht BTA'!$C$42= FALSE),_xlfn.CONCAT('Upload AXI - CONF'!$A44,'Upload AXI - CONF'!$B44),"")</f>
        <v/>
      </c>
      <c r="D44" s="876">
        <f>ROUND('Overzicht BTA'!$P$31,2)</f>
        <v>0</v>
      </c>
      <c r="E44" s="872" t="s">
        <v>983</v>
      </c>
      <c r="F44" s="872" t="s">
        <v>967</v>
      </c>
      <c r="G44" s="872"/>
      <c r="H44" s="874"/>
      <c r="I44" s="771"/>
      <c r="P44" s="700"/>
    </row>
    <row r="45" spans="1:169" x14ac:dyDescent="0.3">
      <c r="A45" s="889" t="s">
        <v>964</v>
      </c>
      <c r="B45" s="868" t="s">
        <v>984</v>
      </c>
      <c r="C45" s="872" t="str">
        <f>IF(AND('Overzicht BTA'!$C$39=FALSE,'Overzicht BTA'!$C$42= FALSE),_xlfn.CONCAT('Upload AXI - CONF'!$A45,'Upload AXI - CONF'!$B45),"")</f>
        <v>Object.RAM[Z1K1].FlexA098</v>
      </c>
      <c r="D45" s="867">
        <f>ROUND('uitgebreide raming'!$B$5,2)</f>
        <v>0</v>
      </c>
      <c r="E45" s="868" t="s">
        <v>985</v>
      </c>
      <c r="F45" s="868" t="s">
        <v>967</v>
      </c>
      <c r="G45" s="868"/>
      <c r="H45" s="870" t="s">
        <v>957</v>
      </c>
      <c r="I45" s="767"/>
      <c r="P45" s="700"/>
    </row>
    <row r="46" spans="1:169" x14ac:dyDescent="0.3">
      <c r="A46" s="973" t="s">
        <v>964</v>
      </c>
      <c r="B46" s="872" t="s">
        <v>986</v>
      </c>
      <c r="C46" s="872" t="str">
        <f>IF(AND('Overzicht BTA'!$C$39=FALSE,'Overzicht BTA'!$C$42= FALSE),_xlfn.CONCAT('Upload AXI - CONF'!$A46,'Upload AXI - CONF'!$B46),"")</f>
        <v>Object.RAM[Z1K1].FlexA087</v>
      </c>
      <c r="D46" s="871">
        <f>ROUND('uitgebreide raming'!$B$6,2)</f>
        <v>0</v>
      </c>
      <c r="E46" s="872" t="s">
        <v>987</v>
      </c>
      <c r="F46" s="872" t="s">
        <v>967</v>
      </c>
      <c r="G46" s="872"/>
      <c r="H46" s="874" t="s">
        <v>957</v>
      </c>
      <c r="I46" s="767"/>
      <c r="P46" s="700"/>
    </row>
    <row r="47" spans="1:169" x14ac:dyDescent="0.3">
      <c r="A47" s="889" t="s">
        <v>964</v>
      </c>
      <c r="B47" s="868" t="s">
        <v>988</v>
      </c>
      <c r="C47" s="872" t="str">
        <f>IF(AND('Overzicht BTA'!$C$39=FALSE,'Overzicht BTA'!$C$42= FALSE),_xlfn.CONCAT('Upload AXI - CONF'!$A47,'Upload AXI - CONF'!$B47),"")</f>
        <v>Object.RAM[Z1K1].FlexA088</v>
      </c>
      <c r="D47" s="867">
        <f>ROUND('uitgebreide raming'!$B$7,2)</f>
        <v>0</v>
      </c>
      <c r="E47" s="868" t="s">
        <v>989</v>
      </c>
      <c r="F47" s="868" t="s">
        <v>967</v>
      </c>
      <c r="G47" s="868"/>
      <c r="H47" s="870" t="s">
        <v>957</v>
      </c>
      <c r="I47" s="767"/>
      <c r="P47" s="700"/>
    </row>
    <row r="48" spans="1:169" x14ac:dyDescent="0.3">
      <c r="A48" s="973" t="s">
        <v>964</v>
      </c>
      <c r="B48" s="872" t="s">
        <v>990</v>
      </c>
      <c r="C48" s="872" t="str">
        <f>IF(AND('Overzicht BTA'!$C$39=FALSE,'Overzicht BTA'!$C$42= FALSE),_xlfn.CONCAT('Upload AXI - CONF'!$A48,'Upload AXI - CONF'!$B48),"")</f>
        <v>Object.RAM[Z1K1].FlexA089</v>
      </c>
      <c r="D48" s="871">
        <f>ROUND('uitgebreide raming'!$B$8,2)</f>
        <v>0</v>
      </c>
      <c r="E48" s="872" t="s">
        <v>991</v>
      </c>
      <c r="F48" s="872" t="s">
        <v>967</v>
      </c>
      <c r="G48" s="872"/>
      <c r="H48" s="874" t="s">
        <v>957</v>
      </c>
      <c r="I48" s="767"/>
      <c r="P48" s="700"/>
    </row>
    <row r="49" spans="1:16" x14ac:dyDescent="0.3">
      <c r="A49" s="889" t="s">
        <v>964</v>
      </c>
      <c r="B49" s="868" t="s">
        <v>992</v>
      </c>
      <c r="C49" s="872" t="str">
        <f>IF(AND('Overzicht BTA'!$C$39=FALSE,'Overzicht BTA'!$C$42= FALSE),_xlfn.CONCAT('Upload AXI - CONF'!$A49,'Upload AXI - CONF'!$B49),"")</f>
        <v>Object.RAM[Z1K1].FlexA102</v>
      </c>
      <c r="D49" s="867">
        <f>ROUND('uitgebreide raming'!$B$9,2)</f>
        <v>0</v>
      </c>
      <c r="E49" s="868" t="s">
        <v>994</v>
      </c>
      <c r="F49" s="868" t="s">
        <v>967</v>
      </c>
      <c r="G49" s="868"/>
      <c r="H49" s="870" t="s">
        <v>957</v>
      </c>
      <c r="I49" s="767"/>
      <c r="P49" s="700"/>
    </row>
    <row r="50" spans="1:16" x14ac:dyDescent="0.3">
      <c r="A50" s="973" t="s">
        <v>964</v>
      </c>
      <c r="B50" s="872" t="s">
        <v>995</v>
      </c>
      <c r="C50" s="872" t="str">
        <f>IF(AND('Overzicht BTA'!$C$39=FALSE,'Overzicht BTA'!$C$42= FALSE),_xlfn.CONCAT('Upload AXI - CONF'!$A50,'Upload AXI - CONF'!$B50),"")</f>
        <v>Object.RAM[Z1K1].FlexA090</v>
      </c>
      <c r="D50" s="871">
        <f>ROUND('uitgebreide raming'!$B$10,2)</f>
        <v>0</v>
      </c>
      <c r="E50" s="872" t="s">
        <v>996</v>
      </c>
      <c r="F50" s="872" t="s">
        <v>967</v>
      </c>
      <c r="G50" s="872"/>
      <c r="H50" s="874" t="s">
        <v>957</v>
      </c>
      <c r="I50" s="767"/>
      <c r="P50" s="700"/>
    </row>
    <row r="51" spans="1:16" x14ac:dyDescent="0.3">
      <c r="A51" s="889" t="s">
        <v>964</v>
      </c>
      <c r="B51" s="868" t="s">
        <v>997</v>
      </c>
      <c r="C51" s="872" t="str">
        <f>IF(AND('Overzicht BTA'!$C$39=FALSE,'Overzicht BTA'!$C$42= FALSE),_xlfn.CONCAT('Upload AXI - CONF'!$A51,'Upload AXI - CONF'!$B51),"")</f>
        <v>Object.RAM[Z1K1].FlexA091</v>
      </c>
      <c r="D51" s="867">
        <f>ROUND('uitgebreide raming'!$B$11,2)</f>
        <v>0</v>
      </c>
      <c r="E51" s="868" t="s">
        <v>998</v>
      </c>
      <c r="F51" s="868" t="s">
        <v>967</v>
      </c>
      <c r="G51" s="868"/>
      <c r="H51" s="870" t="s">
        <v>957</v>
      </c>
      <c r="I51" s="767"/>
      <c r="P51" s="700"/>
    </row>
    <row r="52" spans="1:16" x14ac:dyDescent="0.3">
      <c r="A52" s="973" t="s">
        <v>964</v>
      </c>
      <c r="B52" s="872" t="s">
        <v>999</v>
      </c>
      <c r="C52" s="872" t="str">
        <f>IF(AND('Overzicht BTA'!$C$39=FALSE,'Overzicht BTA'!$C$42= FALSE),_xlfn.CONCAT('Upload AXI - CONF'!$A52,'Upload AXI - CONF'!$B52),"")</f>
        <v>Object.RAM[Z1K1].FlexA097</v>
      </c>
      <c r="D52" s="871">
        <f>ROUND('uitgebreide raming'!$B$13,2)</f>
        <v>0</v>
      </c>
      <c r="E52" s="872" t="s">
        <v>1000</v>
      </c>
      <c r="F52" s="872" t="s">
        <v>967</v>
      </c>
      <c r="G52" s="872"/>
      <c r="H52" s="874" t="s">
        <v>957</v>
      </c>
      <c r="I52" s="767"/>
      <c r="P52" s="700"/>
    </row>
    <row r="53" spans="1:16" x14ac:dyDescent="0.3">
      <c r="A53" s="889" t="s">
        <v>964</v>
      </c>
      <c r="B53" s="868" t="s">
        <v>1001</v>
      </c>
      <c r="C53" s="872" t="str">
        <f>IF(AND('Overzicht BTA'!$C$39=FALSE,'Overzicht BTA'!$C$42= FALSE),_xlfn.CONCAT('Upload AXI - CONF'!$A53,'Upload AXI - CONF'!$B53),"")</f>
        <v>Object.RAM[Z1K1].FlexAO001</v>
      </c>
      <c r="D53" s="867">
        <f>ROUND('uitgebreide raming'!$B$22,2)</f>
        <v>0</v>
      </c>
      <c r="E53" s="868" t="s">
        <v>1002</v>
      </c>
      <c r="F53" s="868" t="s">
        <v>967</v>
      </c>
      <c r="G53" s="868"/>
      <c r="H53" s="870" t="s">
        <v>957</v>
      </c>
      <c r="I53" s="767"/>
      <c r="P53" s="700"/>
    </row>
    <row r="54" spans="1:16" x14ac:dyDescent="0.3">
      <c r="A54" s="973" t="s">
        <v>964</v>
      </c>
      <c r="B54" s="872" t="s">
        <v>1003</v>
      </c>
      <c r="C54" s="872" t="str">
        <f>IF(AND('Overzicht BTA'!$C$39=FALSE,'Overzicht BTA'!$C$42= FALSE),_xlfn.CONCAT('Upload AXI - CONF'!$A54,'Upload AXI - CONF'!$B54),"")</f>
        <v>Object.RAM[Z1K1].FlexAO400</v>
      </c>
      <c r="D54" s="871">
        <f>ROUND('uitgebreide raming'!$B$14,2)</f>
        <v>0</v>
      </c>
      <c r="E54" s="872" t="s">
        <v>1004</v>
      </c>
      <c r="F54" s="872" t="s">
        <v>967</v>
      </c>
      <c r="G54" s="872"/>
      <c r="H54" s="874" t="s">
        <v>957</v>
      </c>
      <c r="I54" s="767"/>
      <c r="P54" s="700"/>
    </row>
    <row r="55" spans="1:16" x14ac:dyDescent="0.3">
      <c r="A55" s="889" t="s">
        <v>964</v>
      </c>
      <c r="B55" s="868" t="s">
        <v>1005</v>
      </c>
      <c r="C55" s="872" t="str">
        <f>IF(AND('Overzicht BTA'!$C$39=FALSE,'Overzicht BTA'!$C$42= FALSE),_xlfn.CONCAT('Upload AXI - CONF'!$A55,'Upload AXI - CONF'!$B55),"")</f>
        <v>Object.RAM[Z1K1].FlexA062</v>
      </c>
      <c r="D55" s="878">
        <f>ROUND('uitgebreide raming'!$C$19,2)</f>
        <v>0.21</v>
      </c>
      <c r="E55" s="868" t="s">
        <v>1006</v>
      </c>
      <c r="F55" s="868" t="s">
        <v>967</v>
      </c>
      <c r="G55" s="868"/>
      <c r="H55" s="870"/>
      <c r="I55" s="595"/>
      <c r="P55" s="700"/>
    </row>
    <row r="56" spans="1:16" x14ac:dyDescent="0.3">
      <c r="A56" s="973" t="s">
        <v>964</v>
      </c>
      <c r="B56" s="872" t="s">
        <v>1007</v>
      </c>
      <c r="C56" s="872" t="str">
        <f>IF(AND('Overzicht BTA'!$C$39=FALSE,'Overzicht BTA'!$C$42= FALSE),_xlfn.CONCAT('Upload AXI - CONF'!$A56,'Upload AXI - CONF'!$B56),"")</f>
        <v>Object.RAM[Z1K1].FlexAO002</v>
      </c>
      <c r="D56" s="871">
        <f>ROUND('uitgebreide raming'!$B$24,2)</f>
        <v>0</v>
      </c>
      <c r="E56" s="872" t="s">
        <v>1008</v>
      </c>
      <c r="F56" s="872" t="s">
        <v>967</v>
      </c>
      <c r="G56" s="872"/>
      <c r="H56" s="874"/>
      <c r="I56" s="767"/>
      <c r="P56" s="700"/>
    </row>
    <row r="57" spans="1:16" x14ac:dyDescent="0.3">
      <c r="A57" s="889" t="s">
        <v>964</v>
      </c>
      <c r="B57" s="868" t="s">
        <v>1009</v>
      </c>
      <c r="C57" s="872" t="str">
        <f>IF(AND('Overzicht BTA'!$C$39=FALSE,'Overzicht BTA'!$C$42= FALSE),_xlfn.CONCAT('Upload AXI - CONF'!$A57,'Upload AXI - CONF'!$B57),"")</f>
        <v>Object.RAM[Z1K1].FlexAO003</v>
      </c>
      <c r="D57" s="867">
        <f>ROUND('uitgebreide raming'!$B$26,2)</f>
        <v>0</v>
      </c>
      <c r="E57" s="868" t="s">
        <v>1010</v>
      </c>
      <c r="F57" s="868" t="s">
        <v>967</v>
      </c>
      <c r="G57" s="868"/>
      <c r="H57" s="870" t="s">
        <v>960</v>
      </c>
      <c r="I57" s="767"/>
      <c r="P57" s="700"/>
    </row>
    <row r="58" spans="1:16" x14ac:dyDescent="0.3">
      <c r="A58" s="973" t="s">
        <v>964</v>
      </c>
      <c r="B58" s="872" t="s">
        <v>1011</v>
      </c>
      <c r="C58" s="872" t="str">
        <f>IF(AND('Overzicht BTA'!$C$39=FALSE,'Overzicht BTA'!$C$42= FALSE),_xlfn.CONCAT('Upload AXI - CONF'!$A58,'Upload AXI - CONF'!$B58),"")</f>
        <v>Object.RAM[Z1K1].FlexA101</v>
      </c>
      <c r="D58" s="879">
        <f>ROUND('Overzicht BTA'!$C$7,2)</f>
        <v>0</v>
      </c>
      <c r="E58" s="872" t="s">
        <v>1012</v>
      </c>
      <c r="F58" s="872" t="s">
        <v>967</v>
      </c>
      <c r="G58" s="872"/>
      <c r="H58" s="874"/>
      <c r="I58" s="768"/>
      <c r="P58" s="700"/>
    </row>
    <row r="59" spans="1:16" x14ac:dyDescent="0.3">
      <c r="A59" s="889" t="s">
        <v>964</v>
      </c>
      <c r="B59" s="868" t="s">
        <v>1013</v>
      </c>
      <c r="C59" s="872" t="str">
        <f>IF(AND('Overzicht BTA'!$C$39=FALSE,'Overzicht BTA'!$C$42= FALSE),_xlfn.CONCAT('Upload AXI - CONF'!$A59,'Upload AXI - CONF'!$B59),"")</f>
        <v>Object.RAM[Z1K1].FlexAO004</v>
      </c>
      <c r="D59" s="880">
        <f>ROUND('Overzicht BTA'!$D$7,2)</f>
        <v>0</v>
      </c>
      <c r="E59" s="868" t="s">
        <v>1014</v>
      </c>
      <c r="F59" s="868" t="s">
        <v>967</v>
      </c>
      <c r="G59" s="868"/>
      <c r="H59" s="870"/>
      <c r="I59" s="768"/>
      <c r="P59" s="700"/>
    </row>
    <row r="60" spans="1:16" x14ac:dyDescent="0.3">
      <c r="A60" s="973" t="s">
        <v>964</v>
      </c>
      <c r="B60" s="872" t="s">
        <v>1015</v>
      </c>
      <c r="C60" s="872" t="str">
        <f>IF(AND('Overzicht BTA'!$C$39=FALSE,'Overzicht BTA'!$C$42= FALSE),_xlfn.CONCAT('Upload AXI - CONF'!$A60,'Upload AXI - CONF'!$B60),"")</f>
        <v>Object.RAM[Z1K1].FlexAO005</v>
      </c>
      <c r="D60" s="881">
        <f>IFERROR(ROUND('analyse bij belofte 1'!$B$25,2),0)</f>
        <v>0</v>
      </c>
      <c r="E60" s="872" t="s">
        <v>1016</v>
      </c>
      <c r="F60" s="872" t="s">
        <v>967</v>
      </c>
      <c r="G60" s="872"/>
      <c r="H60" s="874"/>
      <c r="I60" s="595"/>
      <c r="P60" s="700"/>
    </row>
    <row r="61" spans="1:16" x14ac:dyDescent="0.3">
      <c r="A61" s="889" t="s">
        <v>968</v>
      </c>
      <c r="B61" s="868" t="s">
        <v>984</v>
      </c>
      <c r="C61" s="872" t="str">
        <f>IF(AND('Overzicht BTA'!$C$39=FALSE,'Overzicht BTA'!$C$42= FALSE),_xlfn.CONCAT('Upload AXI - CONF'!$A61,'Upload AXI - CONF'!$B61),"")</f>
        <v>Object.RAM[Z1K2].FlexA098</v>
      </c>
      <c r="D61" s="867">
        <f>ROUND('uitgebreide raming'!$D$5,2)</f>
        <v>0</v>
      </c>
      <c r="E61" s="868" t="s">
        <v>985</v>
      </c>
      <c r="F61" s="868" t="s">
        <v>967</v>
      </c>
      <c r="G61" s="868"/>
      <c r="H61" s="870" t="s">
        <v>957</v>
      </c>
      <c r="I61" s="767"/>
      <c r="P61" s="700"/>
    </row>
    <row r="62" spans="1:16" x14ac:dyDescent="0.3">
      <c r="A62" s="973" t="s">
        <v>968</v>
      </c>
      <c r="B62" s="872" t="s">
        <v>986</v>
      </c>
      <c r="C62" s="872" t="str">
        <f>IF(AND('Overzicht BTA'!$C$39=FALSE,'Overzicht BTA'!$C$42= FALSE),_xlfn.CONCAT('Upload AXI - CONF'!$A62,'Upload AXI - CONF'!$B62),"")</f>
        <v>Object.RAM[Z1K2].FlexA087</v>
      </c>
      <c r="D62" s="871">
        <f>ROUND('uitgebreide raming'!$D$6,2)</f>
        <v>0</v>
      </c>
      <c r="E62" s="872" t="s">
        <v>987</v>
      </c>
      <c r="F62" s="872" t="s">
        <v>967</v>
      </c>
      <c r="G62" s="872"/>
      <c r="H62" s="874" t="s">
        <v>957</v>
      </c>
      <c r="I62" s="767"/>
      <c r="P62" s="700"/>
    </row>
    <row r="63" spans="1:16" x14ac:dyDescent="0.3">
      <c r="A63" s="889" t="s">
        <v>968</v>
      </c>
      <c r="B63" s="868" t="s">
        <v>988</v>
      </c>
      <c r="C63" s="872" t="str">
        <f>IF(AND('Overzicht BTA'!$C$39=FALSE,'Overzicht BTA'!$C$42= FALSE),_xlfn.CONCAT('Upload AXI - CONF'!$A63,'Upload AXI - CONF'!$B63),"")</f>
        <v>Object.RAM[Z1K2].FlexA088</v>
      </c>
      <c r="D63" s="867">
        <f>ROUND('uitgebreide raming'!$D$7,2)</f>
        <v>0</v>
      </c>
      <c r="E63" s="868" t="s">
        <v>989</v>
      </c>
      <c r="F63" s="868" t="s">
        <v>967</v>
      </c>
      <c r="G63" s="868"/>
      <c r="H63" s="870" t="s">
        <v>957</v>
      </c>
      <c r="I63" s="767"/>
      <c r="P63" s="700"/>
    </row>
    <row r="64" spans="1:16" x14ac:dyDescent="0.3">
      <c r="A64" s="973" t="s">
        <v>968</v>
      </c>
      <c r="B64" s="872" t="s">
        <v>990</v>
      </c>
      <c r="C64" s="872" t="str">
        <f>IF(AND('Overzicht BTA'!$C$39=FALSE,'Overzicht BTA'!$C$42= FALSE),_xlfn.CONCAT('Upload AXI - CONF'!$A64,'Upload AXI - CONF'!$B64),"")</f>
        <v>Object.RAM[Z1K2].FlexA089</v>
      </c>
      <c r="D64" s="871">
        <f>ROUND('uitgebreide raming'!$D$8,2)</f>
        <v>0</v>
      </c>
      <c r="E64" s="872" t="s">
        <v>991</v>
      </c>
      <c r="F64" s="872" t="s">
        <v>967</v>
      </c>
      <c r="G64" s="872"/>
      <c r="H64" s="874" t="s">
        <v>957</v>
      </c>
      <c r="I64" s="767"/>
      <c r="P64" s="700"/>
    </row>
    <row r="65" spans="1:16" x14ac:dyDescent="0.3">
      <c r="A65" s="889" t="s">
        <v>968</v>
      </c>
      <c r="B65" s="868" t="s">
        <v>992</v>
      </c>
      <c r="C65" s="872" t="str">
        <f>IF(AND('Overzicht BTA'!$C$39=FALSE,'Overzicht BTA'!$C$42= FALSE),_xlfn.CONCAT('Upload AXI - CONF'!$A65,'Upload AXI - CONF'!$B65),"")</f>
        <v>Object.RAM[Z1K2].FlexA102</v>
      </c>
      <c r="D65" s="867">
        <f>'uitgebreide raming'!$D$9</f>
        <v>0</v>
      </c>
      <c r="E65" s="868" t="s">
        <v>994</v>
      </c>
      <c r="F65" s="868" t="s">
        <v>967</v>
      </c>
      <c r="G65" s="868"/>
      <c r="H65" s="870" t="s">
        <v>957</v>
      </c>
      <c r="I65" s="767"/>
      <c r="P65" s="700"/>
    </row>
    <row r="66" spans="1:16" x14ac:dyDescent="0.3">
      <c r="A66" s="973" t="s">
        <v>968</v>
      </c>
      <c r="B66" s="872" t="s">
        <v>995</v>
      </c>
      <c r="C66" s="872" t="str">
        <f>IF(AND('Overzicht BTA'!$C$39=FALSE,'Overzicht BTA'!$C$42= FALSE),_xlfn.CONCAT('Upload AXI - CONF'!$A66,'Upload AXI - CONF'!$B66),"")</f>
        <v>Object.RAM[Z1K2].FlexA090</v>
      </c>
      <c r="D66" s="871">
        <f>ROUND('uitgebreide raming'!$D$10,0)</f>
        <v>0</v>
      </c>
      <c r="E66" s="872" t="s">
        <v>996</v>
      </c>
      <c r="F66" s="872" t="s">
        <v>967</v>
      </c>
      <c r="G66" s="872"/>
      <c r="H66" s="874" t="s">
        <v>957</v>
      </c>
      <c r="I66" s="767"/>
      <c r="P66" s="700"/>
    </row>
    <row r="67" spans="1:16" x14ac:dyDescent="0.3">
      <c r="A67" s="889" t="s">
        <v>968</v>
      </c>
      <c r="B67" s="868" t="s">
        <v>997</v>
      </c>
      <c r="C67" s="872" t="str">
        <f>IF(AND('Overzicht BTA'!$C$39=FALSE,'Overzicht BTA'!$C$42= FALSE),_xlfn.CONCAT('Upload AXI - CONF'!$A67,'Upload AXI - CONF'!$B67),"")</f>
        <v>Object.RAM[Z1K2].FlexA091</v>
      </c>
      <c r="D67" s="867">
        <f>'uitgebreide raming'!$D$11</f>
        <v>0</v>
      </c>
      <c r="E67" s="868" t="s">
        <v>998</v>
      </c>
      <c r="F67" s="868" t="s">
        <v>967</v>
      </c>
      <c r="G67" s="868"/>
      <c r="H67" s="870" t="s">
        <v>957</v>
      </c>
      <c r="I67" s="767"/>
      <c r="P67" s="700"/>
    </row>
    <row r="68" spans="1:16" x14ac:dyDescent="0.3">
      <c r="A68" s="973" t="s">
        <v>968</v>
      </c>
      <c r="B68" s="872" t="s">
        <v>999</v>
      </c>
      <c r="C68" s="872" t="str">
        <f>IF(AND('Overzicht BTA'!$C$39=FALSE,'Overzicht BTA'!$C$42= FALSE),_xlfn.CONCAT('Upload AXI - CONF'!$A68,'Upload AXI - CONF'!$B68),"")</f>
        <v>Object.RAM[Z1K2].FlexA097</v>
      </c>
      <c r="D68" s="871">
        <f>ROUND('uitgebreide raming'!$D$13,2)</f>
        <v>0</v>
      </c>
      <c r="E68" s="872" t="s">
        <v>1000</v>
      </c>
      <c r="F68" s="872" t="s">
        <v>967</v>
      </c>
      <c r="G68" s="872"/>
      <c r="H68" s="874" t="s">
        <v>957</v>
      </c>
      <c r="I68" s="767"/>
      <c r="P68" s="700"/>
    </row>
    <row r="69" spans="1:16" x14ac:dyDescent="0.3">
      <c r="A69" s="889" t="s">
        <v>968</v>
      </c>
      <c r="B69" s="868" t="s">
        <v>1003</v>
      </c>
      <c r="C69" s="872" t="str">
        <f>IF(AND('Overzicht BTA'!$C$39=FALSE,'Overzicht BTA'!$C$42= FALSE),_xlfn.CONCAT('Upload AXI - CONF'!$A69,'Upload AXI - CONF'!$B69),"")</f>
        <v>Object.RAM[Z1K2].FlexAO400</v>
      </c>
      <c r="D69" s="867">
        <f>ROUND('uitgebreide raming'!$D$14,2)</f>
        <v>0</v>
      </c>
      <c r="E69" s="868" t="s">
        <v>1004</v>
      </c>
      <c r="F69" s="868" t="s">
        <v>967</v>
      </c>
      <c r="G69" s="868"/>
      <c r="H69" s="870" t="s">
        <v>957</v>
      </c>
      <c r="I69" s="767"/>
      <c r="P69" s="700"/>
    </row>
    <row r="70" spans="1:16" ht="15" customHeight="1" x14ac:dyDescent="0.3">
      <c r="A70" s="973" t="s">
        <v>968</v>
      </c>
      <c r="B70" s="872" t="s">
        <v>1001</v>
      </c>
      <c r="C70" s="872" t="str">
        <f>IF(AND('Overzicht BTA'!$C$39=FALSE,'Overzicht BTA'!$C$42= FALSE),_xlfn.CONCAT('Upload AXI - CONF'!$A70,'Upload AXI - CONF'!$B70),"")</f>
        <v>Object.RAM[Z1K2].FlexAO001</v>
      </c>
      <c r="D70" s="871">
        <f>ROUND('uitgebreide raming'!$D$22,2)</f>
        <v>0</v>
      </c>
      <c r="E70" s="872" t="s">
        <v>1002</v>
      </c>
      <c r="F70" s="872" t="s">
        <v>967</v>
      </c>
      <c r="G70" s="872"/>
      <c r="H70" s="874" t="s">
        <v>957</v>
      </c>
      <c r="I70" s="767"/>
      <c r="P70" s="700"/>
    </row>
    <row r="71" spans="1:16" x14ac:dyDescent="0.3">
      <c r="A71" s="889" t="s">
        <v>968</v>
      </c>
      <c r="B71" s="868" t="s">
        <v>1005</v>
      </c>
      <c r="C71" s="872" t="str">
        <f>IF(AND('Overzicht BTA'!$C$39=FALSE,'Overzicht BTA'!$C$42= FALSE),_xlfn.CONCAT('Upload AXI - CONF'!$A71,'Upload AXI - CONF'!$B71),"")</f>
        <v>Object.RAM[Z1K2].FlexA062</v>
      </c>
      <c r="D71" s="878">
        <f>'uitgebreide raming'!$E$19</f>
        <v>0.21</v>
      </c>
      <c r="E71" s="868" t="s">
        <v>1006</v>
      </c>
      <c r="F71" s="868" t="s">
        <v>967</v>
      </c>
      <c r="G71" s="868"/>
      <c r="H71" s="870"/>
      <c r="I71" s="595"/>
      <c r="P71" s="700"/>
    </row>
    <row r="72" spans="1:16" x14ac:dyDescent="0.3">
      <c r="A72" s="973" t="s">
        <v>968</v>
      </c>
      <c r="B72" s="872" t="s">
        <v>1007</v>
      </c>
      <c r="C72" s="872" t="str">
        <f>IF(AND('Overzicht BTA'!$C$39=FALSE,'Overzicht BTA'!$C$42= FALSE),_xlfn.CONCAT('Upload AXI - CONF'!$A72,'Upload AXI - CONF'!$B72),"")</f>
        <v>Object.RAM[Z1K2].FlexAO002</v>
      </c>
      <c r="D72" s="879">
        <f>ROUND('uitgebreide raming'!$D$24,2)</f>
        <v>0</v>
      </c>
      <c r="E72" s="872" t="s">
        <v>1008</v>
      </c>
      <c r="F72" s="872" t="s">
        <v>967</v>
      </c>
      <c r="G72" s="872"/>
      <c r="H72" s="874"/>
      <c r="I72" s="594"/>
      <c r="P72" s="700"/>
    </row>
    <row r="73" spans="1:16" x14ac:dyDescent="0.3">
      <c r="A73" s="889" t="s">
        <v>968</v>
      </c>
      <c r="B73" s="868" t="s">
        <v>1009</v>
      </c>
      <c r="C73" s="872" t="str">
        <f>IF(AND('Overzicht BTA'!$C$39=FALSE,'Overzicht BTA'!$C$42= FALSE),_xlfn.CONCAT('Upload AXI - CONF'!$A73,'Upload AXI - CONF'!$B73),"")</f>
        <v>Object.RAM[Z1K2].FlexAO003</v>
      </c>
      <c r="D73" s="880">
        <f>'uitgebreide raming'!$D$26</f>
        <v>0</v>
      </c>
      <c r="E73" s="868" t="s">
        <v>1010</v>
      </c>
      <c r="F73" s="868" t="s">
        <v>967</v>
      </c>
      <c r="G73" s="868"/>
      <c r="H73" s="870" t="s">
        <v>960</v>
      </c>
      <c r="I73" s="594"/>
      <c r="P73" s="700"/>
    </row>
    <row r="74" spans="1:16" x14ac:dyDescent="0.3">
      <c r="A74" s="973" t="s">
        <v>968</v>
      </c>
      <c r="B74" s="872" t="s">
        <v>1011</v>
      </c>
      <c r="C74" s="872" t="str">
        <f>IF(AND('Overzicht BTA'!$C$39=FALSE,'Overzicht BTA'!$C$42= FALSE),_xlfn.CONCAT('Upload AXI - CONF'!$A74,'Upload AXI - CONF'!$B74),"")</f>
        <v>Object.RAM[Z1K2].FlexA101</v>
      </c>
      <c r="D74" s="879">
        <f>ROUND('Overzicht BTA'!$C$8,2)</f>
        <v>0</v>
      </c>
      <c r="E74" s="872" t="s">
        <v>1012</v>
      </c>
      <c r="F74" s="872" t="s">
        <v>967</v>
      </c>
      <c r="G74" s="872"/>
      <c r="H74" s="874"/>
      <c r="I74" s="768"/>
      <c r="P74" s="700"/>
    </row>
    <row r="75" spans="1:16" x14ac:dyDescent="0.3">
      <c r="A75" s="889" t="s">
        <v>968</v>
      </c>
      <c r="B75" s="868" t="s">
        <v>1013</v>
      </c>
      <c r="C75" s="872" t="str">
        <f>IF(AND('Overzicht BTA'!$C$39=FALSE,'Overzicht BTA'!$C$42= FALSE),_xlfn.CONCAT('Upload AXI - CONF'!$A75,'Upload AXI - CONF'!$B75),"")</f>
        <v>Object.RAM[Z1K2].FlexAO004</v>
      </c>
      <c r="D75" s="880">
        <f>ROUND('Overzicht BTA'!$D$8,2)</f>
        <v>0</v>
      </c>
      <c r="E75" s="868" t="s">
        <v>1014</v>
      </c>
      <c r="F75" s="868" t="s">
        <v>967</v>
      </c>
      <c r="G75" s="868"/>
      <c r="H75" s="870"/>
      <c r="I75" s="768"/>
      <c r="P75" s="700"/>
    </row>
    <row r="76" spans="1:16" x14ac:dyDescent="0.3">
      <c r="A76" s="973" t="s">
        <v>968</v>
      </c>
      <c r="B76" s="872" t="s">
        <v>1015</v>
      </c>
      <c r="C76" s="872" t="str">
        <f>IF(AND('Overzicht BTA'!$C$39=FALSE,'Overzicht BTA'!$C$42= FALSE),_xlfn.CONCAT('Upload AXI - CONF'!$A76,'Upload AXI - CONF'!$B76),"")</f>
        <v>Object.RAM[Z1K2].FlexAO005</v>
      </c>
      <c r="D76" s="881">
        <f>IFERROR(ROUND('analyse bij belofte 1'!$D$25,2),0)</f>
        <v>0</v>
      </c>
      <c r="E76" s="872" t="s">
        <v>1016</v>
      </c>
      <c r="F76" s="872" t="s">
        <v>967</v>
      </c>
      <c r="G76" s="872"/>
      <c r="H76" s="874"/>
      <c r="I76" s="595"/>
      <c r="P76" s="700"/>
    </row>
    <row r="77" spans="1:16" x14ac:dyDescent="0.3">
      <c r="A77" s="889" t="s">
        <v>969</v>
      </c>
      <c r="B77" s="868" t="s">
        <v>984</v>
      </c>
      <c r="C77" s="872" t="str">
        <f>IF(AND('Overzicht BTA'!$C$39=FALSE,'Overzicht BTA'!$C$42= FALSE),_xlfn.CONCAT('Upload AXI - CONF'!$A77,'Upload AXI - CONF'!$B77),"")</f>
        <v>Object.RAM[Z1K3].FlexA098</v>
      </c>
      <c r="D77" s="867">
        <f>ROUND('uitgebreide raming'!$F$5,2)</f>
        <v>0</v>
      </c>
      <c r="E77" s="868" t="s">
        <v>985</v>
      </c>
      <c r="F77" s="868" t="s">
        <v>967</v>
      </c>
      <c r="G77" s="868"/>
      <c r="H77" s="870" t="s">
        <v>957</v>
      </c>
      <c r="I77" s="767"/>
      <c r="P77" s="700"/>
    </row>
    <row r="78" spans="1:16" x14ac:dyDescent="0.3">
      <c r="A78" s="973" t="s">
        <v>969</v>
      </c>
      <c r="B78" s="872" t="s">
        <v>986</v>
      </c>
      <c r="C78" s="872" t="str">
        <f>IF(AND('Overzicht BTA'!$C$39=FALSE,'Overzicht BTA'!$C$42= FALSE),_xlfn.CONCAT('Upload AXI - CONF'!$A78,'Upload AXI - CONF'!$B78),"")</f>
        <v>Object.RAM[Z1K3].FlexA087</v>
      </c>
      <c r="D78" s="871">
        <f>ROUND('uitgebreide raming'!$F$6,2)</f>
        <v>0</v>
      </c>
      <c r="E78" s="872" t="s">
        <v>987</v>
      </c>
      <c r="F78" s="872" t="s">
        <v>967</v>
      </c>
      <c r="G78" s="872"/>
      <c r="H78" s="874" t="s">
        <v>957</v>
      </c>
      <c r="I78" s="767"/>
      <c r="P78" s="700"/>
    </row>
    <row r="79" spans="1:16" x14ac:dyDescent="0.3">
      <c r="A79" s="889" t="s">
        <v>969</v>
      </c>
      <c r="B79" s="868" t="s">
        <v>988</v>
      </c>
      <c r="C79" s="872" t="str">
        <f>IF(AND('Overzicht BTA'!$C$39=FALSE,'Overzicht BTA'!$C$42= FALSE),_xlfn.CONCAT('Upload AXI - CONF'!$A79,'Upload AXI - CONF'!$B79),"")</f>
        <v>Object.RAM[Z1K3].FlexA088</v>
      </c>
      <c r="D79" s="867">
        <f>ROUND('uitgebreide raming'!$F$7,2)</f>
        <v>0</v>
      </c>
      <c r="E79" s="868" t="s">
        <v>989</v>
      </c>
      <c r="F79" s="868" t="s">
        <v>967</v>
      </c>
      <c r="G79" s="868"/>
      <c r="H79" s="870" t="s">
        <v>957</v>
      </c>
      <c r="I79" s="767"/>
      <c r="P79" s="700"/>
    </row>
    <row r="80" spans="1:16" x14ac:dyDescent="0.3">
      <c r="A80" s="973" t="s">
        <v>969</v>
      </c>
      <c r="B80" s="872" t="s">
        <v>990</v>
      </c>
      <c r="C80" s="872" t="str">
        <f>IF(AND('Overzicht BTA'!$C$39=FALSE,'Overzicht BTA'!$C$42= FALSE),_xlfn.CONCAT('Upload AXI - CONF'!$A80,'Upload AXI - CONF'!$B80),"")</f>
        <v>Object.RAM[Z1K3].FlexA089</v>
      </c>
      <c r="D80" s="871">
        <f>ROUND('uitgebreide raming'!$F$8,2)</f>
        <v>0</v>
      </c>
      <c r="E80" s="872" t="s">
        <v>991</v>
      </c>
      <c r="F80" s="872" t="s">
        <v>967</v>
      </c>
      <c r="G80" s="872"/>
      <c r="H80" s="874" t="s">
        <v>957</v>
      </c>
      <c r="I80" s="767"/>
      <c r="P80" s="700"/>
    </row>
    <row r="81" spans="1:16" x14ac:dyDescent="0.3">
      <c r="A81" s="889" t="s">
        <v>969</v>
      </c>
      <c r="B81" s="868" t="s">
        <v>992</v>
      </c>
      <c r="C81" s="872" t="str">
        <f>IF(AND('Overzicht BTA'!$C$39=FALSE,'Overzicht BTA'!$C$42= FALSE),_xlfn.CONCAT('Upload AXI - CONF'!$A81,'Upload AXI - CONF'!$B81),"")</f>
        <v>Object.RAM[Z1K3].FlexA102</v>
      </c>
      <c r="D81" s="867">
        <f>'uitgebreide raming'!$F$9</f>
        <v>0</v>
      </c>
      <c r="E81" s="868" t="s">
        <v>994</v>
      </c>
      <c r="F81" s="868" t="s">
        <v>967</v>
      </c>
      <c r="G81" s="868"/>
      <c r="H81" s="870" t="s">
        <v>957</v>
      </c>
      <c r="I81" s="767"/>
      <c r="P81" s="700"/>
    </row>
    <row r="82" spans="1:16" x14ac:dyDescent="0.3">
      <c r="A82" s="973" t="s">
        <v>969</v>
      </c>
      <c r="B82" s="872" t="s">
        <v>995</v>
      </c>
      <c r="C82" s="872" t="str">
        <f>IF(AND('Overzicht BTA'!$C$39=FALSE,'Overzicht BTA'!$C$42= FALSE),_xlfn.CONCAT('Upload AXI - CONF'!$A82,'Upload AXI - CONF'!$B82),"")</f>
        <v>Object.RAM[Z1K3].FlexA090</v>
      </c>
      <c r="D82" s="871">
        <f>ROUND('uitgebreide raming'!$F$10,2)</f>
        <v>0</v>
      </c>
      <c r="E82" s="872" t="s">
        <v>996</v>
      </c>
      <c r="F82" s="872" t="s">
        <v>967</v>
      </c>
      <c r="G82" s="872"/>
      <c r="H82" s="874" t="s">
        <v>957</v>
      </c>
      <c r="I82" s="767"/>
      <c r="P82" s="700"/>
    </row>
    <row r="83" spans="1:16" x14ac:dyDescent="0.3">
      <c r="A83" s="889" t="s">
        <v>969</v>
      </c>
      <c r="B83" s="868" t="s">
        <v>997</v>
      </c>
      <c r="C83" s="872" t="str">
        <f>IF(AND('Overzicht BTA'!$C$39=FALSE,'Overzicht BTA'!$C$42= FALSE),_xlfn.CONCAT('Upload AXI - CONF'!$A83,'Upload AXI - CONF'!$B83),"")</f>
        <v>Object.RAM[Z1K3].FlexA091</v>
      </c>
      <c r="D83" s="867">
        <f>'uitgebreide raming'!$F$11</f>
        <v>0</v>
      </c>
      <c r="E83" s="868" t="s">
        <v>998</v>
      </c>
      <c r="F83" s="868" t="s">
        <v>967</v>
      </c>
      <c r="G83" s="868"/>
      <c r="H83" s="870" t="s">
        <v>957</v>
      </c>
      <c r="I83" s="767"/>
      <c r="P83" s="700"/>
    </row>
    <row r="84" spans="1:16" x14ac:dyDescent="0.3">
      <c r="A84" s="973" t="s">
        <v>969</v>
      </c>
      <c r="B84" s="872" t="s">
        <v>999</v>
      </c>
      <c r="C84" s="872" t="str">
        <f>IF(AND('Overzicht BTA'!$C$39=FALSE,'Overzicht BTA'!$C$42= FALSE),_xlfn.CONCAT('Upload AXI - CONF'!$A84,'Upload AXI - CONF'!$B84),"")</f>
        <v>Object.RAM[Z1K3].FlexA097</v>
      </c>
      <c r="D84" s="871">
        <f>ROUND('uitgebreide raming'!$F$13,2)</f>
        <v>0</v>
      </c>
      <c r="E84" s="872" t="s">
        <v>1000</v>
      </c>
      <c r="F84" s="872" t="s">
        <v>967</v>
      </c>
      <c r="G84" s="872"/>
      <c r="H84" s="874" t="s">
        <v>957</v>
      </c>
      <c r="I84" s="767"/>
      <c r="P84" s="700"/>
    </row>
    <row r="85" spans="1:16" x14ac:dyDescent="0.3">
      <c r="A85" s="889" t="s">
        <v>969</v>
      </c>
      <c r="B85" s="868" t="s">
        <v>1003</v>
      </c>
      <c r="C85" s="872" t="str">
        <f>IF(AND('Overzicht BTA'!$C$39=FALSE,'Overzicht BTA'!$C$42= FALSE),_xlfn.CONCAT('Upload AXI - CONF'!$A85,'Upload AXI - CONF'!$B85),"")</f>
        <v>Object.RAM[Z1K3].FlexAO400</v>
      </c>
      <c r="D85" s="867">
        <f>ROUND('uitgebreide raming'!$F$14,2)</f>
        <v>0</v>
      </c>
      <c r="E85" s="868" t="s">
        <v>1004</v>
      </c>
      <c r="F85" s="868" t="s">
        <v>967</v>
      </c>
      <c r="G85" s="868"/>
      <c r="H85" s="870" t="s">
        <v>957</v>
      </c>
      <c r="I85" s="767"/>
      <c r="P85" s="700"/>
    </row>
    <row r="86" spans="1:16" x14ac:dyDescent="0.3">
      <c r="A86" s="973" t="s">
        <v>969</v>
      </c>
      <c r="B86" s="872" t="s">
        <v>1001</v>
      </c>
      <c r="C86" s="872" t="str">
        <f>IF(AND('Overzicht BTA'!$C$39=FALSE,'Overzicht BTA'!$C$42= FALSE),_xlfn.CONCAT('Upload AXI - CONF'!$A86,'Upload AXI - CONF'!$B86),"")</f>
        <v>Object.RAM[Z1K3].FlexAO001</v>
      </c>
      <c r="D86" s="871">
        <f>ROUND('uitgebreide raming'!$F$22,2)</f>
        <v>0</v>
      </c>
      <c r="E86" s="872" t="s">
        <v>1002</v>
      </c>
      <c r="F86" s="872" t="s">
        <v>967</v>
      </c>
      <c r="G86" s="872"/>
      <c r="H86" s="874" t="s">
        <v>957</v>
      </c>
      <c r="I86" s="767"/>
      <c r="P86" s="700"/>
    </row>
    <row r="87" spans="1:16" x14ac:dyDescent="0.3">
      <c r="A87" s="889" t="s">
        <v>969</v>
      </c>
      <c r="B87" s="868" t="s">
        <v>1005</v>
      </c>
      <c r="C87" s="872" t="str">
        <f>IF(AND('Overzicht BTA'!$C$39=FALSE,'Overzicht BTA'!$C$42= FALSE),_xlfn.CONCAT('Upload AXI - CONF'!$A87,'Upload AXI - CONF'!$B87),"")</f>
        <v>Object.RAM[Z1K3].FlexA062</v>
      </c>
      <c r="D87" s="878">
        <f>'uitgebreide raming'!$G$19</f>
        <v>0.21</v>
      </c>
      <c r="E87" s="868" t="s">
        <v>1006</v>
      </c>
      <c r="F87" s="868" t="s">
        <v>967</v>
      </c>
      <c r="G87" s="868"/>
      <c r="H87" s="870"/>
      <c r="I87" s="595"/>
      <c r="P87" s="700"/>
    </row>
    <row r="88" spans="1:16" x14ac:dyDescent="0.3">
      <c r="A88" s="973" t="s">
        <v>969</v>
      </c>
      <c r="B88" s="872" t="s">
        <v>1007</v>
      </c>
      <c r="C88" s="872" t="str">
        <f>IF(AND('Overzicht BTA'!$C$39=FALSE,'Overzicht BTA'!$C$42= FALSE),_xlfn.CONCAT('Upload AXI - CONF'!$A88,'Upload AXI - CONF'!$B88),"")</f>
        <v>Object.RAM[Z1K3].FlexAO002</v>
      </c>
      <c r="D88" s="871">
        <f>ROUND('uitgebreide raming'!$F$24,2)</f>
        <v>0</v>
      </c>
      <c r="E88" s="872" t="s">
        <v>1008</v>
      </c>
      <c r="F88" s="872" t="s">
        <v>967</v>
      </c>
      <c r="G88" s="872"/>
      <c r="H88" s="874"/>
      <c r="I88" s="767"/>
      <c r="P88" s="700"/>
    </row>
    <row r="89" spans="1:16" x14ac:dyDescent="0.3">
      <c r="A89" s="889" t="s">
        <v>969</v>
      </c>
      <c r="B89" s="868" t="s">
        <v>1009</v>
      </c>
      <c r="C89" s="872" t="str">
        <f>IF(AND('Overzicht BTA'!$C$39=FALSE,'Overzicht BTA'!$C$42= FALSE),_xlfn.CONCAT('Upload AXI - CONF'!$A89,'Upload AXI - CONF'!$B89),"")</f>
        <v>Object.RAM[Z1K3].FlexAO003</v>
      </c>
      <c r="D89" s="867">
        <f>ROUND('uitgebreide raming'!$F$26,2)</f>
        <v>0</v>
      </c>
      <c r="E89" s="868" t="s">
        <v>1010</v>
      </c>
      <c r="F89" s="868" t="s">
        <v>967</v>
      </c>
      <c r="G89" s="868"/>
      <c r="H89" s="870" t="s">
        <v>960</v>
      </c>
      <c r="I89" s="767"/>
      <c r="P89" s="700"/>
    </row>
    <row r="90" spans="1:16" x14ac:dyDescent="0.3">
      <c r="A90" s="973" t="s">
        <v>969</v>
      </c>
      <c r="B90" s="872" t="s">
        <v>1011</v>
      </c>
      <c r="C90" s="872" t="str">
        <f>IF(AND('Overzicht BTA'!$C$39=FALSE,'Overzicht BTA'!$C$42= FALSE),_xlfn.CONCAT('Upload AXI - CONF'!$A90,'Upload AXI - CONF'!$B90),"")</f>
        <v>Object.RAM[Z1K3].FlexA101</v>
      </c>
      <c r="D90" s="882">
        <f>ROUND('Overzicht BTA'!$C$9,2)</f>
        <v>0</v>
      </c>
      <c r="E90" s="872" t="s">
        <v>1012</v>
      </c>
      <c r="F90" s="872" t="s">
        <v>967</v>
      </c>
      <c r="G90" s="872"/>
      <c r="H90" s="874"/>
      <c r="I90" s="772"/>
      <c r="P90" s="700"/>
    </row>
    <row r="91" spans="1:16" x14ac:dyDescent="0.3">
      <c r="A91" s="889" t="s">
        <v>969</v>
      </c>
      <c r="B91" s="868" t="s">
        <v>1013</v>
      </c>
      <c r="C91" s="872" t="str">
        <f>IF(AND('Overzicht BTA'!$C$39=FALSE,'Overzicht BTA'!$C$42= FALSE),_xlfn.CONCAT('Upload AXI - CONF'!$A91,'Upload AXI - CONF'!$B91),"")</f>
        <v>Object.RAM[Z1K3].FlexAO004</v>
      </c>
      <c r="D91" s="883">
        <f>ROUND('Overzicht BTA'!$D$9,2)</f>
        <v>0</v>
      </c>
      <c r="E91" s="868" t="s">
        <v>1014</v>
      </c>
      <c r="F91" s="868" t="s">
        <v>967</v>
      </c>
      <c r="G91" s="868"/>
      <c r="H91" s="870"/>
      <c r="I91" s="772"/>
      <c r="P91" s="700"/>
    </row>
    <row r="92" spans="1:16" x14ac:dyDescent="0.3">
      <c r="A92" s="973" t="s">
        <v>969</v>
      </c>
      <c r="B92" s="872" t="s">
        <v>1015</v>
      </c>
      <c r="C92" s="872" t="str">
        <f>IF(AND('Overzicht BTA'!$C$39=FALSE,'Overzicht BTA'!$C$42= FALSE),_xlfn.CONCAT('Upload AXI - CONF'!$A92,'Upload AXI - CONF'!$B92),"")</f>
        <v>Object.RAM[Z1K3].FlexAO005</v>
      </c>
      <c r="D92" s="881">
        <f>IFERROR(ROUND('analyse bij belofte 1'!$F$25,2),0)</f>
        <v>0</v>
      </c>
      <c r="E92" s="872" t="s">
        <v>1016</v>
      </c>
      <c r="F92" s="872" t="s">
        <v>967</v>
      </c>
      <c r="G92" s="872"/>
      <c r="H92" s="874"/>
      <c r="I92" s="595"/>
      <c r="P92" s="700"/>
    </row>
    <row r="93" spans="1:16" x14ac:dyDescent="0.3">
      <c r="A93" s="889" t="s">
        <v>970</v>
      </c>
      <c r="B93" s="868" t="s">
        <v>984</v>
      </c>
      <c r="C93" s="872" t="str">
        <f>IF(AND('Overzicht BTA'!$C$39=FALSE,'Overzicht BTA'!$C$42= FALSE),_xlfn.CONCAT('Upload AXI - CONF'!$A93,'Upload AXI - CONF'!$B93),"")</f>
        <v>Object.RAM[Z1K4].FlexA098</v>
      </c>
      <c r="D93" s="867">
        <f>ROUND('uitgebreide raming'!$H$5,2)</f>
        <v>0</v>
      </c>
      <c r="E93" s="868" t="s">
        <v>985</v>
      </c>
      <c r="F93" s="868" t="s">
        <v>967</v>
      </c>
      <c r="G93" s="868"/>
      <c r="H93" s="870" t="s">
        <v>957</v>
      </c>
      <c r="I93" s="767"/>
      <c r="P93" s="700"/>
    </row>
    <row r="94" spans="1:16" x14ac:dyDescent="0.3">
      <c r="A94" s="973" t="s">
        <v>970</v>
      </c>
      <c r="B94" s="872" t="s">
        <v>986</v>
      </c>
      <c r="C94" s="872" t="str">
        <f>IF(AND('Overzicht BTA'!$C$39=FALSE,'Overzicht BTA'!$C$42= FALSE),_xlfn.CONCAT('Upload AXI - CONF'!$A94,'Upload AXI - CONF'!$B94),"")</f>
        <v>Object.RAM[Z1K4].FlexA087</v>
      </c>
      <c r="D94" s="871">
        <f>ROUND('uitgebreide raming'!$H$6,2)</f>
        <v>0</v>
      </c>
      <c r="E94" s="872" t="s">
        <v>987</v>
      </c>
      <c r="F94" s="872" t="s">
        <v>967</v>
      </c>
      <c r="G94" s="872"/>
      <c r="H94" s="874" t="s">
        <v>957</v>
      </c>
      <c r="I94" s="767"/>
      <c r="P94" s="700"/>
    </row>
    <row r="95" spans="1:16" x14ac:dyDescent="0.3">
      <c r="A95" s="889" t="s">
        <v>970</v>
      </c>
      <c r="B95" s="868" t="s">
        <v>988</v>
      </c>
      <c r="C95" s="872" t="str">
        <f>IF(AND('Overzicht BTA'!$C$39=FALSE,'Overzicht BTA'!$C$42= FALSE),_xlfn.CONCAT('Upload AXI - CONF'!$A95,'Upload AXI - CONF'!$B95),"")</f>
        <v>Object.RAM[Z1K4].FlexA088</v>
      </c>
      <c r="D95" s="867">
        <f>ROUND('uitgebreide raming'!$H$7,2)</f>
        <v>0</v>
      </c>
      <c r="E95" s="868" t="s">
        <v>989</v>
      </c>
      <c r="F95" s="868" t="s">
        <v>967</v>
      </c>
      <c r="G95" s="868"/>
      <c r="H95" s="870" t="s">
        <v>957</v>
      </c>
      <c r="I95" s="767"/>
      <c r="P95" s="700"/>
    </row>
    <row r="96" spans="1:16" x14ac:dyDescent="0.3">
      <c r="A96" s="973" t="s">
        <v>970</v>
      </c>
      <c r="B96" s="872" t="s">
        <v>990</v>
      </c>
      <c r="C96" s="872" t="str">
        <f>IF(AND('Overzicht BTA'!$C$39=FALSE,'Overzicht BTA'!$C$42= FALSE),_xlfn.CONCAT('Upload AXI - CONF'!$A96,'Upload AXI - CONF'!$B96),"")</f>
        <v>Object.RAM[Z1K4].FlexA089</v>
      </c>
      <c r="D96" s="871">
        <f>ROUND('uitgebreide raming'!$H$8,2)</f>
        <v>0</v>
      </c>
      <c r="E96" s="872" t="s">
        <v>991</v>
      </c>
      <c r="F96" s="872" t="s">
        <v>967</v>
      </c>
      <c r="G96" s="872"/>
      <c r="H96" s="874" t="s">
        <v>957</v>
      </c>
      <c r="I96" s="767"/>
      <c r="P96" s="700"/>
    </row>
    <row r="97" spans="1:16" x14ac:dyDescent="0.3">
      <c r="A97" s="889" t="s">
        <v>970</v>
      </c>
      <c r="B97" s="868" t="s">
        <v>992</v>
      </c>
      <c r="C97" s="872" t="str">
        <f>IF(AND('Overzicht BTA'!$C$39=FALSE,'Overzicht BTA'!$C$42= FALSE),_xlfn.CONCAT('Upload AXI - CONF'!$A97,'Upload AXI - CONF'!$B97),"")</f>
        <v>Object.RAM[Z1K4].FlexA102</v>
      </c>
      <c r="D97" s="867">
        <f>'uitgebreide raming'!$H$9</f>
        <v>0</v>
      </c>
      <c r="E97" s="868" t="s">
        <v>994</v>
      </c>
      <c r="F97" s="868" t="s">
        <v>967</v>
      </c>
      <c r="G97" s="868"/>
      <c r="H97" s="870" t="s">
        <v>957</v>
      </c>
      <c r="I97" s="767"/>
      <c r="P97" s="700"/>
    </row>
    <row r="98" spans="1:16" x14ac:dyDescent="0.3">
      <c r="A98" s="973" t="s">
        <v>970</v>
      </c>
      <c r="B98" s="872" t="s">
        <v>995</v>
      </c>
      <c r="C98" s="872" t="str">
        <f>IF(AND('Overzicht BTA'!$C$39=FALSE,'Overzicht BTA'!$C$42= FALSE),_xlfn.CONCAT('Upload AXI - CONF'!$A98,'Upload AXI - CONF'!$B98),"")</f>
        <v>Object.RAM[Z1K4].FlexA090</v>
      </c>
      <c r="D98" s="871">
        <f>ROUND('uitgebreide raming'!$H$10,2)</f>
        <v>0</v>
      </c>
      <c r="E98" s="872" t="s">
        <v>996</v>
      </c>
      <c r="F98" s="872" t="s">
        <v>967</v>
      </c>
      <c r="G98" s="872"/>
      <c r="H98" s="874" t="s">
        <v>957</v>
      </c>
      <c r="I98" s="767"/>
      <c r="P98" s="700"/>
    </row>
    <row r="99" spans="1:16" x14ac:dyDescent="0.3">
      <c r="A99" s="889" t="s">
        <v>970</v>
      </c>
      <c r="B99" s="868" t="s">
        <v>997</v>
      </c>
      <c r="C99" s="872" t="str">
        <f>IF(AND('Overzicht BTA'!$C$39=FALSE,'Overzicht BTA'!$C$42= FALSE),_xlfn.CONCAT('Upload AXI - CONF'!$A99,'Upload AXI - CONF'!$B99),"")</f>
        <v>Object.RAM[Z1K4].FlexA091</v>
      </c>
      <c r="D99" s="867">
        <f>'uitgebreide raming'!$H$11</f>
        <v>0</v>
      </c>
      <c r="E99" s="868" t="s">
        <v>998</v>
      </c>
      <c r="F99" s="868" t="s">
        <v>967</v>
      </c>
      <c r="G99" s="868"/>
      <c r="H99" s="870" t="s">
        <v>957</v>
      </c>
      <c r="I99" s="767"/>
      <c r="P99" s="700"/>
    </row>
    <row r="100" spans="1:16" x14ac:dyDescent="0.3">
      <c r="A100" s="973" t="s">
        <v>970</v>
      </c>
      <c r="B100" s="872" t="s">
        <v>999</v>
      </c>
      <c r="C100" s="872" t="str">
        <f>IF(AND('Overzicht BTA'!$C$39=FALSE,'Overzicht BTA'!$C$42= FALSE),_xlfn.CONCAT('Upload AXI - CONF'!$A100,'Upload AXI - CONF'!$B100),"")</f>
        <v>Object.RAM[Z1K4].FlexA097</v>
      </c>
      <c r="D100" s="871">
        <f>ROUND('uitgebreide raming'!$H$13,2)</f>
        <v>0</v>
      </c>
      <c r="E100" s="872" t="s">
        <v>1000</v>
      </c>
      <c r="F100" s="872" t="s">
        <v>967</v>
      </c>
      <c r="G100" s="872"/>
      <c r="H100" s="874" t="s">
        <v>957</v>
      </c>
      <c r="I100" s="767"/>
      <c r="P100" s="700"/>
    </row>
    <row r="101" spans="1:16" x14ac:dyDescent="0.3">
      <c r="A101" s="889" t="s">
        <v>970</v>
      </c>
      <c r="B101" s="868" t="s">
        <v>1003</v>
      </c>
      <c r="C101" s="872" t="str">
        <f>IF(AND('Overzicht BTA'!$C$39=FALSE,'Overzicht BTA'!$C$42= FALSE),_xlfn.CONCAT('Upload AXI - CONF'!$A101,'Upload AXI - CONF'!$B101),"")</f>
        <v>Object.RAM[Z1K4].FlexAO400</v>
      </c>
      <c r="D101" s="867">
        <f>ROUND('uitgebreide raming'!$H$14,2)</f>
        <v>0</v>
      </c>
      <c r="E101" s="868" t="s">
        <v>1004</v>
      </c>
      <c r="F101" s="868" t="s">
        <v>967</v>
      </c>
      <c r="G101" s="868"/>
      <c r="H101" s="870" t="s">
        <v>957</v>
      </c>
      <c r="I101" s="767"/>
      <c r="P101" s="700"/>
    </row>
    <row r="102" spans="1:16" x14ac:dyDescent="0.3">
      <c r="A102" s="973" t="s">
        <v>970</v>
      </c>
      <c r="B102" s="872" t="s">
        <v>1001</v>
      </c>
      <c r="C102" s="872" t="str">
        <f>IF(AND('Overzicht BTA'!$C$39=FALSE,'Overzicht BTA'!$C$42= FALSE),_xlfn.CONCAT('Upload AXI - CONF'!$A102,'Upload AXI - CONF'!$B102),"")</f>
        <v>Object.RAM[Z1K4].FlexAO001</v>
      </c>
      <c r="D102" s="871">
        <f>ROUND('uitgebreide raming'!$H$22,2)</f>
        <v>0</v>
      </c>
      <c r="E102" s="872" t="s">
        <v>1002</v>
      </c>
      <c r="F102" s="872" t="s">
        <v>967</v>
      </c>
      <c r="G102" s="872"/>
      <c r="H102" s="874" t="s">
        <v>957</v>
      </c>
      <c r="I102" s="767"/>
      <c r="P102" s="700"/>
    </row>
    <row r="103" spans="1:16" x14ac:dyDescent="0.3">
      <c r="A103" s="889" t="s">
        <v>970</v>
      </c>
      <c r="B103" s="868" t="s">
        <v>1005</v>
      </c>
      <c r="C103" s="872" t="str">
        <f>IF(AND('Overzicht BTA'!$C$39=FALSE,'Overzicht BTA'!$C$42= FALSE),_xlfn.CONCAT('Upload AXI - CONF'!$A103,'Upload AXI - CONF'!$B103),"")</f>
        <v>Object.RAM[Z1K4].FlexA062</v>
      </c>
      <c r="D103" s="878">
        <f>ROUND('uitgebreide raming'!$I$19,2)</f>
        <v>0.21</v>
      </c>
      <c r="E103" s="868" t="s">
        <v>1006</v>
      </c>
      <c r="F103" s="868" t="s">
        <v>967</v>
      </c>
      <c r="G103" s="868"/>
      <c r="H103" s="870"/>
      <c r="I103" s="595"/>
      <c r="P103" s="700"/>
    </row>
    <row r="104" spans="1:16" x14ac:dyDescent="0.3">
      <c r="A104" s="973" t="s">
        <v>970</v>
      </c>
      <c r="B104" s="872" t="s">
        <v>1007</v>
      </c>
      <c r="C104" s="872" t="str">
        <f>IF(AND('Overzicht BTA'!$C$39=FALSE,'Overzicht BTA'!$C$42= FALSE),_xlfn.CONCAT('Upload AXI - CONF'!$A104,'Upload AXI - CONF'!$B104),"")</f>
        <v>Object.RAM[Z1K4].FlexAO002</v>
      </c>
      <c r="D104" s="871">
        <f>ROUND('uitgebreide raming'!$H$24,2)</f>
        <v>0</v>
      </c>
      <c r="E104" s="872" t="s">
        <v>1008</v>
      </c>
      <c r="F104" s="872" t="s">
        <v>967</v>
      </c>
      <c r="G104" s="872"/>
      <c r="H104" s="874"/>
      <c r="I104" s="767"/>
      <c r="P104" s="700"/>
    </row>
    <row r="105" spans="1:16" x14ac:dyDescent="0.3">
      <c r="A105" s="889" t="s">
        <v>970</v>
      </c>
      <c r="B105" s="868" t="s">
        <v>1009</v>
      </c>
      <c r="C105" s="872" t="str">
        <f>IF(AND('Overzicht BTA'!$C$39=FALSE,'Overzicht BTA'!$C$42= FALSE),_xlfn.CONCAT('Upload AXI - CONF'!$A105,'Upload AXI - CONF'!$B105),"")</f>
        <v>Object.RAM[Z1K4].FlexAO003</v>
      </c>
      <c r="D105" s="867">
        <f>ROUND('uitgebreide raming'!$H$26,2)</f>
        <v>0</v>
      </c>
      <c r="E105" s="868" t="s">
        <v>1010</v>
      </c>
      <c r="F105" s="868" t="s">
        <v>967</v>
      </c>
      <c r="G105" s="868"/>
      <c r="H105" s="870" t="s">
        <v>960</v>
      </c>
      <c r="I105" s="767"/>
      <c r="P105" s="700"/>
    </row>
    <row r="106" spans="1:16" x14ac:dyDescent="0.3">
      <c r="A106" s="973" t="s">
        <v>970</v>
      </c>
      <c r="B106" s="872" t="s">
        <v>1011</v>
      </c>
      <c r="C106" s="872" t="str">
        <f>IF(AND('Overzicht BTA'!$C$39=FALSE,'Overzicht BTA'!$C$42= FALSE),_xlfn.CONCAT('Upload AXI - CONF'!$A106,'Upload AXI - CONF'!$B106),"")</f>
        <v>Object.RAM[Z1K4].FlexA101</v>
      </c>
      <c r="D106" s="879">
        <f>ROUND('Overzicht BTA'!$C$10,2)</f>
        <v>0</v>
      </c>
      <c r="E106" s="872" t="s">
        <v>1012</v>
      </c>
      <c r="F106" s="872" t="s">
        <v>967</v>
      </c>
      <c r="G106" s="872"/>
      <c r="H106" s="874"/>
      <c r="I106" s="768"/>
      <c r="P106" s="700"/>
    </row>
    <row r="107" spans="1:16" x14ac:dyDescent="0.3">
      <c r="A107" s="889" t="s">
        <v>970</v>
      </c>
      <c r="B107" s="868" t="s">
        <v>1013</v>
      </c>
      <c r="C107" s="872" t="str">
        <f>IF(AND('Overzicht BTA'!$C$39=FALSE,'Overzicht BTA'!$C$42= FALSE),_xlfn.CONCAT('Upload AXI - CONF'!$A107,'Upload AXI - CONF'!$B107),"")</f>
        <v>Object.RAM[Z1K4].FlexAO004</v>
      </c>
      <c r="D107" s="880">
        <f>ROUND('Overzicht BTA'!$D$10,2)</f>
        <v>0</v>
      </c>
      <c r="E107" s="868" t="s">
        <v>1014</v>
      </c>
      <c r="F107" s="868" t="s">
        <v>967</v>
      </c>
      <c r="G107" s="868"/>
      <c r="H107" s="870"/>
      <c r="I107" s="768"/>
      <c r="P107" s="700"/>
    </row>
    <row r="108" spans="1:16" x14ac:dyDescent="0.3">
      <c r="A108" s="973" t="s">
        <v>970</v>
      </c>
      <c r="B108" s="872" t="s">
        <v>1015</v>
      </c>
      <c r="C108" s="872" t="str">
        <f>IF(AND('Overzicht BTA'!$C$39=FALSE,'Overzicht BTA'!$C$42= FALSE),_xlfn.CONCAT('Upload AXI - CONF'!$A108,'Upload AXI - CONF'!$B108),"")</f>
        <v>Object.RAM[Z1K4].FlexAO005</v>
      </c>
      <c r="D108" s="881">
        <f>IFERROR(ROUND('analyse bij belofte 1'!$H$25,2),0)</f>
        <v>0</v>
      </c>
      <c r="E108" s="872" t="s">
        <v>1016</v>
      </c>
      <c r="F108" s="872" t="s">
        <v>967</v>
      </c>
      <c r="G108" s="872"/>
      <c r="H108" s="874"/>
      <c r="I108" s="595"/>
      <c r="P108" s="700"/>
    </row>
    <row r="109" spans="1:16" x14ac:dyDescent="0.3">
      <c r="A109" s="889" t="s">
        <v>971</v>
      </c>
      <c r="B109" s="868" t="s">
        <v>984</v>
      </c>
      <c r="C109" s="872" t="str">
        <f>IF(AND('Overzicht BTA'!$C$39=FALSE,'Overzicht BTA'!$C$42= FALSE),_xlfn.CONCAT('Upload AXI - CONF'!$A109,'Upload AXI - CONF'!$B109),"")</f>
        <v>Object.RAM[Z2K1].FlexA098</v>
      </c>
      <c r="D109" s="867">
        <f>ROUND('uitgebreide raming'!$B$32,2)</f>
        <v>0</v>
      </c>
      <c r="E109" s="868" t="s">
        <v>985</v>
      </c>
      <c r="F109" s="868" t="s">
        <v>967</v>
      </c>
      <c r="G109" s="868"/>
      <c r="H109" s="870" t="s">
        <v>957</v>
      </c>
      <c r="I109" s="767"/>
      <c r="P109" s="700"/>
    </row>
    <row r="110" spans="1:16" x14ac:dyDescent="0.3">
      <c r="A110" s="973" t="s">
        <v>971</v>
      </c>
      <c r="B110" s="872" t="s">
        <v>986</v>
      </c>
      <c r="C110" s="872" t="str">
        <f>IF(AND('Overzicht BTA'!$C$39=FALSE,'Overzicht BTA'!$C$42= FALSE),_xlfn.CONCAT('Upload AXI - CONF'!$A110,'Upload AXI - CONF'!$B110),"")</f>
        <v>Object.RAM[Z2K1].FlexA087</v>
      </c>
      <c r="D110" s="871">
        <f>ROUND('uitgebreide raming'!$B$33,2)</f>
        <v>0</v>
      </c>
      <c r="E110" s="872" t="s">
        <v>987</v>
      </c>
      <c r="F110" s="872" t="s">
        <v>967</v>
      </c>
      <c r="G110" s="872"/>
      <c r="H110" s="874" t="s">
        <v>957</v>
      </c>
      <c r="I110" s="767"/>
      <c r="P110" s="700"/>
    </row>
    <row r="111" spans="1:16" x14ac:dyDescent="0.3">
      <c r="A111" s="889" t="s">
        <v>971</v>
      </c>
      <c r="B111" s="868" t="s">
        <v>988</v>
      </c>
      <c r="C111" s="872" t="str">
        <f>IF(AND('Overzicht BTA'!$C$39=FALSE,'Overzicht BTA'!$C$42= FALSE),_xlfn.CONCAT('Upload AXI - CONF'!$A111,'Upload AXI - CONF'!$B111),"")</f>
        <v>Object.RAM[Z2K1].FlexA088</v>
      </c>
      <c r="D111" s="867">
        <f>ROUND('uitgebreide raming'!$B$34,2)</f>
        <v>0</v>
      </c>
      <c r="E111" s="868" t="s">
        <v>989</v>
      </c>
      <c r="F111" s="868" t="s">
        <v>967</v>
      </c>
      <c r="G111" s="868"/>
      <c r="H111" s="870" t="s">
        <v>957</v>
      </c>
      <c r="I111" s="767"/>
      <c r="P111" s="700"/>
    </row>
    <row r="112" spans="1:16" x14ac:dyDescent="0.3">
      <c r="A112" s="973" t="s">
        <v>971</v>
      </c>
      <c r="B112" s="872" t="s">
        <v>990</v>
      </c>
      <c r="C112" s="872" t="str">
        <f>IF(AND('Overzicht BTA'!$C$39=FALSE,'Overzicht BTA'!$C$42= FALSE),_xlfn.CONCAT('Upload AXI - CONF'!$A112,'Upload AXI - CONF'!$B112),"")</f>
        <v>Object.RAM[Z2K1].FlexA089</v>
      </c>
      <c r="D112" s="871">
        <f>ROUND('uitgebreide raming'!$B$35,2)</f>
        <v>0</v>
      </c>
      <c r="E112" s="872" t="s">
        <v>991</v>
      </c>
      <c r="F112" s="872" t="s">
        <v>967</v>
      </c>
      <c r="G112" s="872"/>
      <c r="H112" s="874" t="s">
        <v>957</v>
      </c>
      <c r="I112" s="767"/>
      <c r="P112" s="700"/>
    </row>
    <row r="113" spans="1:16" x14ac:dyDescent="0.3">
      <c r="A113" s="889" t="s">
        <v>971</v>
      </c>
      <c r="B113" s="868" t="s">
        <v>992</v>
      </c>
      <c r="C113" s="872" t="str">
        <f>IF(AND('Overzicht BTA'!$C$39=FALSE,'Overzicht BTA'!$C$42= FALSE),_xlfn.CONCAT('Upload AXI - CONF'!$A113,'Upload AXI - CONF'!$B113),"")</f>
        <v>Object.RAM[Z2K1].FlexA102</v>
      </c>
      <c r="D113" s="867">
        <f>ROUND('uitgebreide raming'!$B$36,2)</f>
        <v>0</v>
      </c>
      <c r="E113" s="868" t="s">
        <v>994</v>
      </c>
      <c r="F113" s="868" t="s">
        <v>967</v>
      </c>
      <c r="G113" s="868"/>
      <c r="H113" s="870" t="s">
        <v>957</v>
      </c>
      <c r="I113" s="767"/>
      <c r="P113" s="700"/>
    </row>
    <row r="114" spans="1:16" x14ac:dyDescent="0.3">
      <c r="A114" s="973" t="s">
        <v>971</v>
      </c>
      <c r="B114" s="872" t="s">
        <v>995</v>
      </c>
      <c r="C114" s="872" t="str">
        <f>IF(AND('Overzicht BTA'!$C$39=FALSE,'Overzicht BTA'!$C$42= FALSE),_xlfn.CONCAT('Upload AXI - CONF'!$A114,'Upload AXI - CONF'!$B114),"")</f>
        <v>Object.RAM[Z2K1].FlexA090</v>
      </c>
      <c r="D114" s="871">
        <f>ROUND('uitgebreide raming'!$B$37,2)</f>
        <v>0</v>
      </c>
      <c r="E114" s="872" t="s">
        <v>996</v>
      </c>
      <c r="F114" s="872" t="s">
        <v>967</v>
      </c>
      <c r="G114" s="872"/>
      <c r="H114" s="874" t="s">
        <v>957</v>
      </c>
      <c r="I114" s="767"/>
      <c r="P114" s="700"/>
    </row>
    <row r="115" spans="1:16" x14ac:dyDescent="0.3">
      <c r="A115" s="889" t="s">
        <v>971</v>
      </c>
      <c r="B115" s="868" t="s">
        <v>997</v>
      </c>
      <c r="C115" s="872" t="str">
        <f>IF(AND('Overzicht BTA'!$C$39=FALSE,'Overzicht BTA'!$C$42= FALSE),_xlfn.CONCAT('Upload AXI - CONF'!$A115,'Upload AXI - CONF'!$B115),"")</f>
        <v>Object.RAM[Z2K1].FlexA091</v>
      </c>
      <c r="D115" s="867">
        <f>'uitgebreide raming'!$B$38</f>
        <v>0</v>
      </c>
      <c r="E115" s="868" t="s">
        <v>998</v>
      </c>
      <c r="F115" s="868" t="s">
        <v>967</v>
      </c>
      <c r="G115" s="868"/>
      <c r="H115" s="870" t="s">
        <v>957</v>
      </c>
      <c r="I115" s="767"/>
      <c r="P115" s="700"/>
    </row>
    <row r="116" spans="1:16" x14ac:dyDescent="0.3">
      <c r="A116" s="973" t="s">
        <v>971</v>
      </c>
      <c r="B116" s="872" t="s">
        <v>999</v>
      </c>
      <c r="C116" s="872" t="str">
        <f>IF(AND('Overzicht BTA'!$C$39=FALSE,'Overzicht BTA'!$C$42= FALSE),_xlfn.CONCAT('Upload AXI - CONF'!$A116,'Upload AXI - CONF'!$B116),"")</f>
        <v>Object.RAM[Z2K1].FlexA097</v>
      </c>
      <c r="D116" s="871">
        <f>ROUND('uitgebreide raming'!$B$40,2)</f>
        <v>0</v>
      </c>
      <c r="E116" s="872" t="s">
        <v>1000</v>
      </c>
      <c r="F116" s="872" t="s">
        <v>967</v>
      </c>
      <c r="G116" s="872"/>
      <c r="H116" s="874" t="s">
        <v>957</v>
      </c>
      <c r="I116" s="767"/>
      <c r="P116" s="700"/>
    </row>
    <row r="117" spans="1:16" x14ac:dyDescent="0.3">
      <c r="A117" s="889" t="s">
        <v>971</v>
      </c>
      <c r="B117" s="868" t="s">
        <v>1003</v>
      </c>
      <c r="C117" s="872" t="str">
        <f>IF(AND('Overzicht BTA'!$C$39=FALSE,'Overzicht BTA'!$C$42= FALSE),_xlfn.CONCAT('Upload AXI - CONF'!$A117,'Upload AXI - CONF'!$B117),"")</f>
        <v>Object.RAM[Z2K1].FlexAO400</v>
      </c>
      <c r="D117" s="867">
        <f>ROUND('uitgebreide raming'!$B$41,2)</f>
        <v>0</v>
      </c>
      <c r="E117" s="868" t="s">
        <v>1004</v>
      </c>
      <c r="F117" s="868" t="s">
        <v>967</v>
      </c>
      <c r="G117" s="868"/>
      <c r="H117" s="870" t="s">
        <v>957</v>
      </c>
      <c r="I117" s="767"/>
      <c r="P117" s="700"/>
    </row>
    <row r="118" spans="1:16" x14ac:dyDescent="0.3">
      <c r="A118" s="973" t="s">
        <v>971</v>
      </c>
      <c r="B118" s="872" t="s">
        <v>1001</v>
      </c>
      <c r="C118" s="872" t="str">
        <f>IF(AND('Overzicht BTA'!$C$39=FALSE,'Overzicht BTA'!$C$42= FALSE),_xlfn.CONCAT('Upload AXI - CONF'!$A118,'Upload AXI - CONF'!$B118),"")</f>
        <v>Object.RAM[Z2K1].FlexAO001</v>
      </c>
      <c r="D118" s="871">
        <f>ROUND('uitgebreide raming'!$B$49,2)</f>
        <v>0</v>
      </c>
      <c r="E118" s="872" t="s">
        <v>1002</v>
      </c>
      <c r="F118" s="872" t="s">
        <v>967</v>
      </c>
      <c r="G118" s="872"/>
      <c r="H118" s="874" t="s">
        <v>957</v>
      </c>
      <c r="I118" s="767"/>
      <c r="P118" s="700"/>
    </row>
    <row r="119" spans="1:16" x14ac:dyDescent="0.3">
      <c r="A119" s="889" t="s">
        <v>971</v>
      </c>
      <c r="B119" s="868" t="s">
        <v>1005</v>
      </c>
      <c r="C119" s="872" t="str">
        <f>IF(AND('Overzicht BTA'!$C$39=FALSE,'Overzicht BTA'!$C$42= FALSE),_xlfn.CONCAT('Upload AXI - CONF'!$A119,'Upload AXI - CONF'!$B119),"")</f>
        <v>Object.RAM[Z2K1].FlexA062</v>
      </c>
      <c r="D119" s="878">
        <f>ROUND('uitgebreide raming'!$C$46,0)</f>
        <v>0</v>
      </c>
      <c r="E119" s="868" t="s">
        <v>1006</v>
      </c>
      <c r="F119" s="868" t="s">
        <v>967</v>
      </c>
      <c r="G119" s="868"/>
      <c r="H119" s="870"/>
      <c r="I119" s="595"/>
      <c r="P119" s="700"/>
    </row>
    <row r="120" spans="1:16" x14ac:dyDescent="0.3">
      <c r="A120" s="973" t="s">
        <v>971</v>
      </c>
      <c r="B120" s="872" t="s">
        <v>1007</v>
      </c>
      <c r="C120" s="872" t="str">
        <f>IF(AND('Overzicht BTA'!$C$39=FALSE,'Overzicht BTA'!$C$42= FALSE),_xlfn.CONCAT('Upload AXI - CONF'!$A120,'Upload AXI - CONF'!$B120),"")</f>
        <v>Object.RAM[Z2K1].FlexAO002</v>
      </c>
      <c r="D120" s="871">
        <f>ROUND('uitgebreide raming'!$B$51,2)</f>
        <v>0</v>
      </c>
      <c r="E120" s="872" t="s">
        <v>1008</v>
      </c>
      <c r="F120" s="872" t="s">
        <v>967</v>
      </c>
      <c r="G120" s="872"/>
      <c r="H120" s="874"/>
      <c r="I120" s="767"/>
      <c r="P120" s="700"/>
    </row>
    <row r="121" spans="1:16" x14ac:dyDescent="0.3">
      <c r="A121" s="889" t="s">
        <v>971</v>
      </c>
      <c r="B121" s="868" t="s">
        <v>1009</v>
      </c>
      <c r="C121" s="872" t="str">
        <f>IF(AND('Overzicht BTA'!$C$39=FALSE,'Overzicht BTA'!$C$42= FALSE),_xlfn.CONCAT('Upload AXI - CONF'!$A121,'Upload AXI - CONF'!$B121),"")</f>
        <v>Object.RAM[Z2K1].FlexAO003</v>
      </c>
      <c r="D121" s="867">
        <f>ROUND('uitgebreide raming'!$B$53,2)</f>
        <v>0</v>
      </c>
      <c r="E121" s="868" t="s">
        <v>1010</v>
      </c>
      <c r="F121" s="868" t="s">
        <v>967</v>
      </c>
      <c r="G121" s="868"/>
      <c r="H121" s="870" t="s">
        <v>960</v>
      </c>
      <c r="I121" s="767"/>
      <c r="P121" s="700"/>
    </row>
    <row r="122" spans="1:16" x14ac:dyDescent="0.3">
      <c r="A122" s="973" t="s">
        <v>971</v>
      </c>
      <c r="B122" s="872" t="s">
        <v>1011</v>
      </c>
      <c r="C122" s="872" t="str">
        <f>IF(AND('Overzicht BTA'!$C$39=FALSE,'Overzicht BTA'!$C$42= FALSE),_xlfn.CONCAT('Upload AXI - CONF'!$A122,'Upload AXI - CONF'!$B122),"")</f>
        <v>Object.RAM[Z2K1].FlexA101</v>
      </c>
      <c r="D122" s="879">
        <f>ROUND('Overzicht BTA'!$I$7,2)</f>
        <v>0</v>
      </c>
      <c r="E122" s="872" t="s">
        <v>1012</v>
      </c>
      <c r="F122" s="872" t="s">
        <v>967</v>
      </c>
      <c r="G122" s="872"/>
      <c r="H122" s="874"/>
      <c r="I122" s="768"/>
      <c r="P122" s="700"/>
    </row>
    <row r="123" spans="1:16" x14ac:dyDescent="0.3">
      <c r="A123" s="889" t="s">
        <v>971</v>
      </c>
      <c r="B123" s="868" t="s">
        <v>1013</v>
      </c>
      <c r="C123" s="872" t="str">
        <f>IF(AND('Overzicht BTA'!$C$39=FALSE,'Overzicht BTA'!$C$42= FALSE),_xlfn.CONCAT('Upload AXI - CONF'!$A123,'Upload AXI - CONF'!$B123),"")</f>
        <v>Object.RAM[Z2K1].FlexAO004</v>
      </c>
      <c r="D123" s="880">
        <f>ROUND('Overzicht BTA'!$J$7,2)</f>
        <v>0</v>
      </c>
      <c r="E123" s="868" t="s">
        <v>1014</v>
      </c>
      <c r="F123" s="868" t="s">
        <v>967</v>
      </c>
      <c r="G123" s="868"/>
      <c r="H123" s="870"/>
      <c r="I123" s="768"/>
      <c r="P123" s="700"/>
    </row>
    <row r="124" spans="1:16" x14ac:dyDescent="0.3">
      <c r="A124" s="973" t="s">
        <v>971</v>
      </c>
      <c r="B124" s="872" t="s">
        <v>1015</v>
      </c>
      <c r="C124" s="872" t="str">
        <f>IF(AND('Overzicht BTA'!$C$39=FALSE,'Overzicht BTA'!$C$42= FALSE),_xlfn.CONCAT('Upload AXI - CONF'!$A124,'Upload AXI - CONF'!$B124),"")</f>
        <v>Object.RAM[Z2K1].FlexAO005</v>
      </c>
      <c r="D124" s="881">
        <f>IFERROR(ROUND('analyse bij belofte 2'!$B$25,2),0)</f>
        <v>0</v>
      </c>
      <c r="E124" s="872" t="s">
        <v>1016</v>
      </c>
      <c r="F124" s="872" t="s">
        <v>967</v>
      </c>
      <c r="G124" s="872"/>
      <c r="H124" s="874"/>
      <c r="I124" s="595"/>
      <c r="P124" s="700"/>
    </row>
    <row r="125" spans="1:16" x14ac:dyDescent="0.3">
      <c r="A125" s="889" t="s">
        <v>972</v>
      </c>
      <c r="B125" s="868" t="s">
        <v>984</v>
      </c>
      <c r="C125" s="872" t="str">
        <f>IF(AND('Overzicht BTA'!$C$39=FALSE,'Overzicht BTA'!$C$42= FALSE),_xlfn.CONCAT('Upload AXI - CONF'!$A125,'Upload AXI - CONF'!$B125),"")</f>
        <v>Object.RAM[Z2K2].FlexA098</v>
      </c>
      <c r="D125" s="867">
        <f>ROUND('uitgebreide raming'!$D$32,2)</f>
        <v>0</v>
      </c>
      <c r="E125" s="868" t="s">
        <v>985</v>
      </c>
      <c r="F125" s="868" t="s">
        <v>967</v>
      </c>
      <c r="G125" s="868"/>
      <c r="H125" s="870" t="s">
        <v>957</v>
      </c>
      <c r="I125" s="767"/>
      <c r="P125" s="700"/>
    </row>
    <row r="126" spans="1:16" x14ac:dyDescent="0.3">
      <c r="A126" s="973" t="s">
        <v>972</v>
      </c>
      <c r="B126" s="872" t="s">
        <v>986</v>
      </c>
      <c r="C126" s="872" t="str">
        <f>IF(AND('Overzicht BTA'!$C$39=FALSE,'Overzicht BTA'!$C$42= FALSE),_xlfn.CONCAT('Upload AXI - CONF'!$A126,'Upload AXI - CONF'!$B126),"")</f>
        <v>Object.RAM[Z2K2].FlexA087</v>
      </c>
      <c r="D126" s="871">
        <f>ROUND('uitgebreide raming'!$D$33,2)</f>
        <v>0</v>
      </c>
      <c r="E126" s="872" t="s">
        <v>987</v>
      </c>
      <c r="F126" s="872" t="s">
        <v>967</v>
      </c>
      <c r="G126" s="872"/>
      <c r="H126" s="874" t="s">
        <v>957</v>
      </c>
      <c r="I126" s="767"/>
      <c r="P126" s="700"/>
    </row>
    <row r="127" spans="1:16" x14ac:dyDescent="0.3">
      <c r="A127" s="889" t="s">
        <v>972</v>
      </c>
      <c r="B127" s="868" t="s">
        <v>988</v>
      </c>
      <c r="C127" s="872" t="str">
        <f>IF(AND('Overzicht BTA'!$C$39=FALSE,'Overzicht BTA'!$C$42= FALSE),_xlfn.CONCAT('Upload AXI - CONF'!$A127,'Upload AXI - CONF'!$B127),"")</f>
        <v>Object.RAM[Z2K2].FlexA088</v>
      </c>
      <c r="D127" s="867">
        <f>ROUND('uitgebreide raming'!$D$34,2)</f>
        <v>0</v>
      </c>
      <c r="E127" s="868" t="s">
        <v>989</v>
      </c>
      <c r="F127" s="868" t="s">
        <v>967</v>
      </c>
      <c r="G127" s="868"/>
      <c r="H127" s="870" t="s">
        <v>957</v>
      </c>
      <c r="I127" s="767"/>
      <c r="P127" s="700"/>
    </row>
    <row r="128" spans="1:16" x14ac:dyDescent="0.3">
      <c r="A128" s="973" t="s">
        <v>972</v>
      </c>
      <c r="B128" s="872" t="s">
        <v>990</v>
      </c>
      <c r="C128" s="872" t="str">
        <f>IF(AND('Overzicht BTA'!$C$39=FALSE,'Overzicht BTA'!$C$42= FALSE),_xlfn.CONCAT('Upload AXI - CONF'!$A128,'Upload AXI - CONF'!$B128),"")</f>
        <v>Object.RAM[Z2K2].FlexA089</v>
      </c>
      <c r="D128" s="871">
        <f>ROUND('uitgebreide raming'!$D$35,2)</f>
        <v>0</v>
      </c>
      <c r="E128" s="872" t="s">
        <v>991</v>
      </c>
      <c r="F128" s="872" t="s">
        <v>967</v>
      </c>
      <c r="G128" s="872"/>
      <c r="H128" s="874" t="s">
        <v>957</v>
      </c>
      <c r="I128" s="767"/>
      <c r="P128" s="700"/>
    </row>
    <row r="129" spans="1:16" x14ac:dyDescent="0.3">
      <c r="A129" s="889" t="s">
        <v>972</v>
      </c>
      <c r="B129" s="868" t="s">
        <v>992</v>
      </c>
      <c r="C129" s="872" t="str">
        <f>IF(AND('Overzicht BTA'!$C$39=FALSE,'Overzicht BTA'!$C$42= FALSE),_xlfn.CONCAT('Upload AXI - CONF'!$A129,'Upload AXI - CONF'!$B129),"")</f>
        <v>Object.RAM[Z2K2].FlexA102</v>
      </c>
      <c r="D129" s="867">
        <f>ROUND('uitgebreide raming'!$D$36,2)</f>
        <v>0</v>
      </c>
      <c r="E129" s="868" t="s">
        <v>994</v>
      </c>
      <c r="F129" s="868" t="s">
        <v>967</v>
      </c>
      <c r="G129" s="868"/>
      <c r="H129" s="870" t="s">
        <v>957</v>
      </c>
      <c r="I129" s="767"/>
      <c r="P129" s="700"/>
    </row>
    <row r="130" spans="1:16" x14ac:dyDescent="0.3">
      <c r="A130" s="973" t="s">
        <v>972</v>
      </c>
      <c r="B130" s="872" t="s">
        <v>995</v>
      </c>
      <c r="C130" s="872" t="str">
        <f>IF(AND('Overzicht BTA'!$C$39=FALSE,'Overzicht BTA'!$C$42= FALSE),_xlfn.CONCAT('Upload AXI - CONF'!$A130,'Upload AXI - CONF'!$B130),"")</f>
        <v>Object.RAM[Z2K2].FlexA090</v>
      </c>
      <c r="D130" s="871">
        <f>ROUND('uitgebreide raming'!$D$37,2)</f>
        <v>0</v>
      </c>
      <c r="E130" s="872" t="s">
        <v>996</v>
      </c>
      <c r="F130" s="872" t="s">
        <v>967</v>
      </c>
      <c r="G130" s="872"/>
      <c r="H130" s="874" t="s">
        <v>957</v>
      </c>
      <c r="I130" s="767"/>
      <c r="P130" s="700"/>
    </row>
    <row r="131" spans="1:16" x14ac:dyDescent="0.3">
      <c r="A131" s="889" t="s">
        <v>972</v>
      </c>
      <c r="B131" s="868" t="s">
        <v>997</v>
      </c>
      <c r="C131" s="872" t="str">
        <f>IF(AND('Overzicht BTA'!$C$39=FALSE,'Overzicht BTA'!$C$42= FALSE),_xlfn.CONCAT('Upload AXI - CONF'!$A131,'Upload AXI - CONF'!$B131),"")</f>
        <v>Object.RAM[Z2K2].FlexA091</v>
      </c>
      <c r="D131" s="867">
        <f>ROUND('uitgebreide raming'!$D$38,2)</f>
        <v>0</v>
      </c>
      <c r="E131" s="868" t="s">
        <v>998</v>
      </c>
      <c r="F131" s="868" t="s">
        <v>967</v>
      </c>
      <c r="G131" s="868"/>
      <c r="H131" s="870" t="s">
        <v>957</v>
      </c>
      <c r="I131" s="767"/>
      <c r="P131" s="700"/>
    </row>
    <row r="132" spans="1:16" x14ac:dyDescent="0.3">
      <c r="A132" s="973" t="s">
        <v>972</v>
      </c>
      <c r="B132" s="872" t="s">
        <v>999</v>
      </c>
      <c r="C132" s="872" t="str">
        <f>IF(AND('Overzicht BTA'!$C$39=FALSE,'Overzicht BTA'!$C$42= FALSE),_xlfn.CONCAT('Upload AXI - CONF'!$A132,'Upload AXI - CONF'!$B132),"")</f>
        <v>Object.RAM[Z2K2].FlexA097</v>
      </c>
      <c r="D132" s="871">
        <f>ROUND('uitgebreide raming'!$D$40,2)</f>
        <v>0</v>
      </c>
      <c r="E132" s="872" t="s">
        <v>1000</v>
      </c>
      <c r="F132" s="872" t="s">
        <v>967</v>
      </c>
      <c r="G132" s="872"/>
      <c r="H132" s="874" t="s">
        <v>957</v>
      </c>
      <c r="I132" s="767"/>
      <c r="P132" s="700"/>
    </row>
    <row r="133" spans="1:16" x14ac:dyDescent="0.3">
      <c r="A133" s="889" t="s">
        <v>972</v>
      </c>
      <c r="B133" s="868" t="s">
        <v>1003</v>
      </c>
      <c r="C133" s="872" t="str">
        <f>IF(AND('Overzicht BTA'!$C$39=FALSE,'Overzicht BTA'!$C$42= FALSE),_xlfn.CONCAT('Upload AXI - CONF'!$A133,'Upload AXI - CONF'!$B133),"")</f>
        <v>Object.RAM[Z2K2].FlexAO400</v>
      </c>
      <c r="D133" s="867">
        <f>ROUND('uitgebreide raming'!$D$41,2)</f>
        <v>0</v>
      </c>
      <c r="E133" s="868" t="s">
        <v>1004</v>
      </c>
      <c r="F133" s="868" t="s">
        <v>967</v>
      </c>
      <c r="G133" s="868"/>
      <c r="H133" s="870" t="s">
        <v>957</v>
      </c>
      <c r="I133" s="767"/>
      <c r="P133" s="700"/>
    </row>
    <row r="134" spans="1:16" x14ac:dyDescent="0.3">
      <c r="A134" s="973" t="s">
        <v>972</v>
      </c>
      <c r="B134" s="872" t="s">
        <v>1001</v>
      </c>
      <c r="C134" s="872" t="str">
        <f>IF(AND('Overzicht BTA'!$C$39=FALSE,'Overzicht BTA'!$C$42= FALSE),_xlfn.CONCAT('Upload AXI - CONF'!$A134,'Upload AXI - CONF'!$B134),"")</f>
        <v>Object.RAM[Z2K2].FlexAO001</v>
      </c>
      <c r="D134" s="871">
        <f>ROUND('uitgebreide raming'!$D$49,2)</f>
        <v>0</v>
      </c>
      <c r="E134" s="872" t="s">
        <v>1002</v>
      </c>
      <c r="F134" s="872" t="s">
        <v>967</v>
      </c>
      <c r="G134" s="872"/>
      <c r="H134" s="874" t="s">
        <v>957</v>
      </c>
      <c r="I134" s="767"/>
      <c r="P134" s="700"/>
    </row>
    <row r="135" spans="1:16" x14ac:dyDescent="0.3">
      <c r="A135" s="889" t="s">
        <v>972</v>
      </c>
      <c r="B135" s="868" t="s">
        <v>1005</v>
      </c>
      <c r="C135" s="872" t="str">
        <f>IF(AND('Overzicht BTA'!$C$39=FALSE,'Overzicht BTA'!$C$42= FALSE),_xlfn.CONCAT('Upload AXI - CONF'!$A135,'Upload AXI - CONF'!$B135),"")</f>
        <v>Object.RAM[Z2K2].FlexA062</v>
      </c>
      <c r="D135" s="878">
        <f>ROUND('uitgebreide raming'!$E$46,2)</f>
        <v>0.21</v>
      </c>
      <c r="E135" s="868" t="s">
        <v>1006</v>
      </c>
      <c r="F135" s="868" t="s">
        <v>967</v>
      </c>
      <c r="G135" s="868"/>
      <c r="H135" s="870"/>
      <c r="I135" s="595"/>
      <c r="P135" s="700"/>
    </row>
    <row r="136" spans="1:16" x14ac:dyDescent="0.3">
      <c r="A136" s="973" t="s">
        <v>972</v>
      </c>
      <c r="B136" s="872" t="s">
        <v>1007</v>
      </c>
      <c r="C136" s="872" t="str">
        <f>IF(AND('Overzicht BTA'!$C$39=FALSE,'Overzicht BTA'!$C$42= FALSE),_xlfn.CONCAT('Upload AXI - CONF'!$A136,'Upload AXI - CONF'!$B136),"")</f>
        <v>Object.RAM[Z2K2].FlexAO002</v>
      </c>
      <c r="D136" s="871">
        <f>ROUND('uitgebreide raming'!$D$51,2)</f>
        <v>0</v>
      </c>
      <c r="E136" s="872" t="s">
        <v>1008</v>
      </c>
      <c r="F136" s="872" t="s">
        <v>967</v>
      </c>
      <c r="G136" s="872"/>
      <c r="H136" s="874"/>
      <c r="I136" s="767"/>
      <c r="P136" s="700"/>
    </row>
    <row r="137" spans="1:16" x14ac:dyDescent="0.3">
      <c r="A137" s="889" t="s">
        <v>972</v>
      </c>
      <c r="B137" s="868" t="s">
        <v>1009</v>
      </c>
      <c r="C137" s="872" t="str">
        <f>IF(AND('Overzicht BTA'!$C$39=FALSE,'Overzicht BTA'!$C$42= FALSE),_xlfn.CONCAT('Upload AXI - CONF'!$A137,'Upload AXI - CONF'!$B137),"")</f>
        <v>Object.RAM[Z2K2].FlexAO003</v>
      </c>
      <c r="D137" s="867">
        <f>ROUND('uitgebreide raming'!$D$53,2)</f>
        <v>0</v>
      </c>
      <c r="E137" s="868" t="s">
        <v>1010</v>
      </c>
      <c r="F137" s="868" t="s">
        <v>967</v>
      </c>
      <c r="G137" s="868"/>
      <c r="H137" s="870" t="s">
        <v>960</v>
      </c>
      <c r="I137" s="767"/>
      <c r="P137" s="700"/>
    </row>
    <row r="138" spans="1:16" x14ac:dyDescent="0.3">
      <c r="A138" s="973" t="s">
        <v>972</v>
      </c>
      <c r="B138" s="872" t="s">
        <v>1011</v>
      </c>
      <c r="C138" s="872" t="str">
        <f>IF(AND('Overzicht BTA'!$C$39=FALSE,'Overzicht BTA'!$C$42= FALSE),_xlfn.CONCAT('Upload AXI - CONF'!$A138,'Upload AXI - CONF'!$B138),"")</f>
        <v>Object.RAM[Z2K2].FlexA101</v>
      </c>
      <c r="D138" s="879">
        <f>ROUND('Overzicht BTA'!$I$8,2)</f>
        <v>0</v>
      </c>
      <c r="E138" s="872" t="s">
        <v>1012</v>
      </c>
      <c r="F138" s="872" t="s">
        <v>967</v>
      </c>
      <c r="G138" s="872"/>
      <c r="H138" s="874"/>
      <c r="I138" s="768"/>
      <c r="P138" s="700"/>
    </row>
    <row r="139" spans="1:16" x14ac:dyDescent="0.3">
      <c r="A139" s="889" t="s">
        <v>972</v>
      </c>
      <c r="B139" s="868" t="s">
        <v>1013</v>
      </c>
      <c r="C139" s="872" t="str">
        <f>IF(AND('Overzicht BTA'!$C$39=FALSE,'Overzicht BTA'!$C$42= FALSE),_xlfn.CONCAT('Upload AXI - CONF'!$A139,'Upload AXI - CONF'!$B139),"")</f>
        <v>Object.RAM[Z2K2].FlexAO004</v>
      </c>
      <c r="D139" s="880">
        <f>ROUND('Overzicht BTA'!$J$8,2)</f>
        <v>0</v>
      </c>
      <c r="E139" s="868" t="s">
        <v>1014</v>
      </c>
      <c r="F139" s="868" t="s">
        <v>967</v>
      </c>
      <c r="G139" s="868"/>
      <c r="H139" s="870"/>
      <c r="I139" s="768"/>
      <c r="P139" s="700"/>
    </row>
    <row r="140" spans="1:16" x14ac:dyDescent="0.3">
      <c r="A140" s="973" t="s">
        <v>972</v>
      </c>
      <c r="B140" s="872" t="s">
        <v>1015</v>
      </c>
      <c r="C140" s="872" t="str">
        <f>IF(AND('Overzicht BTA'!$C$39=FALSE,'Overzicht BTA'!$C$42= FALSE),_xlfn.CONCAT('Upload AXI - CONF'!$A140,'Upload AXI - CONF'!$B140),"")</f>
        <v>Object.RAM[Z2K2].FlexAO005</v>
      </c>
      <c r="D140" s="881">
        <f>IFERROR(ROUND('analyse bij belofte 2'!$D$25,2),0)</f>
        <v>0</v>
      </c>
      <c r="E140" s="872" t="s">
        <v>1016</v>
      </c>
      <c r="F140" s="872" t="s">
        <v>967</v>
      </c>
      <c r="G140" s="872"/>
      <c r="H140" s="874"/>
      <c r="I140" s="595"/>
      <c r="P140" s="700"/>
    </row>
    <row r="141" spans="1:16" x14ac:dyDescent="0.3">
      <c r="A141" s="889" t="s">
        <v>973</v>
      </c>
      <c r="B141" s="868" t="s">
        <v>984</v>
      </c>
      <c r="C141" s="872" t="str">
        <f>IF(AND('Overzicht BTA'!$C$39=FALSE,'Overzicht BTA'!$C$42= FALSE),_xlfn.CONCAT('Upload AXI - CONF'!$A141,'Upload AXI - CONF'!$B141),"")</f>
        <v>Object.RAM[Z2K3].FlexA098</v>
      </c>
      <c r="D141" s="867">
        <f>ROUND('uitgebreide raming'!$F$32,2)</f>
        <v>0</v>
      </c>
      <c r="E141" s="868" t="s">
        <v>985</v>
      </c>
      <c r="F141" s="868" t="s">
        <v>967</v>
      </c>
      <c r="G141" s="868"/>
      <c r="H141" s="870" t="s">
        <v>957</v>
      </c>
      <c r="I141" s="767"/>
      <c r="P141" s="700"/>
    </row>
    <row r="142" spans="1:16" x14ac:dyDescent="0.3">
      <c r="A142" s="973" t="s">
        <v>973</v>
      </c>
      <c r="B142" s="872" t="s">
        <v>986</v>
      </c>
      <c r="C142" s="872" t="str">
        <f>IF(AND('Overzicht BTA'!$C$39=FALSE,'Overzicht BTA'!$C$42= FALSE),_xlfn.CONCAT('Upload AXI - CONF'!$A142,'Upload AXI - CONF'!$B142),"")</f>
        <v>Object.RAM[Z2K3].FlexA087</v>
      </c>
      <c r="D142" s="871">
        <f>ROUND('uitgebreide raming'!$F$33,2)</f>
        <v>0</v>
      </c>
      <c r="E142" s="872" t="s">
        <v>987</v>
      </c>
      <c r="F142" s="872" t="s">
        <v>967</v>
      </c>
      <c r="G142" s="872"/>
      <c r="H142" s="874" t="s">
        <v>957</v>
      </c>
      <c r="I142" s="767"/>
      <c r="P142" s="700"/>
    </row>
    <row r="143" spans="1:16" x14ac:dyDescent="0.3">
      <c r="A143" s="889" t="s">
        <v>973</v>
      </c>
      <c r="B143" s="868" t="s">
        <v>988</v>
      </c>
      <c r="C143" s="872" t="str">
        <f>IF(AND('Overzicht BTA'!$C$39=FALSE,'Overzicht BTA'!$C$42= FALSE),_xlfn.CONCAT('Upload AXI - CONF'!$A143,'Upload AXI - CONF'!$B143),"")</f>
        <v>Object.RAM[Z2K3].FlexA088</v>
      </c>
      <c r="D143" s="867">
        <f>ROUND('uitgebreide raming'!$F$34,2)</f>
        <v>0</v>
      </c>
      <c r="E143" s="868" t="s">
        <v>989</v>
      </c>
      <c r="F143" s="868" t="s">
        <v>967</v>
      </c>
      <c r="G143" s="868"/>
      <c r="H143" s="870" t="s">
        <v>957</v>
      </c>
      <c r="I143" s="767"/>
      <c r="P143" s="700"/>
    </row>
    <row r="144" spans="1:16" x14ac:dyDescent="0.3">
      <c r="A144" s="973" t="s">
        <v>973</v>
      </c>
      <c r="B144" s="872" t="s">
        <v>990</v>
      </c>
      <c r="C144" s="872" t="str">
        <f>IF(AND('Overzicht BTA'!$C$39=FALSE,'Overzicht BTA'!$C$42= FALSE),_xlfn.CONCAT('Upload AXI - CONF'!$A144,'Upload AXI - CONF'!$B144),"")</f>
        <v>Object.RAM[Z2K3].FlexA089</v>
      </c>
      <c r="D144" s="871">
        <f>ROUND('uitgebreide raming'!$F$35,2)</f>
        <v>0</v>
      </c>
      <c r="E144" s="872" t="s">
        <v>991</v>
      </c>
      <c r="F144" s="872" t="s">
        <v>967</v>
      </c>
      <c r="G144" s="872"/>
      <c r="H144" s="874" t="s">
        <v>957</v>
      </c>
      <c r="I144" s="767"/>
      <c r="P144" s="700"/>
    </row>
    <row r="145" spans="1:16" x14ac:dyDescent="0.3">
      <c r="A145" s="889" t="s">
        <v>973</v>
      </c>
      <c r="B145" s="868" t="s">
        <v>992</v>
      </c>
      <c r="C145" s="872" t="str">
        <f>IF(AND('Overzicht BTA'!$C$39=FALSE,'Overzicht BTA'!$C$42= FALSE),_xlfn.CONCAT('Upload AXI - CONF'!$A145,'Upload AXI - CONF'!$B145),"")</f>
        <v>Object.RAM[Z2K3].FlexA102</v>
      </c>
      <c r="D145" s="867">
        <f>'uitgebreide raming'!$F$36</f>
        <v>0</v>
      </c>
      <c r="E145" s="868" t="s">
        <v>994</v>
      </c>
      <c r="F145" s="868" t="s">
        <v>967</v>
      </c>
      <c r="G145" s="868"/>
      <c r="H145" s="870" t="s">
        <v>957</v>
      </c>
      <c r="I145" s="767"/>
      <c r="P145" s="700"/>
    </row>
    <row r="146" spans="1:16" x14ac:dyDescent="0.3">
      <c r="A146" s="973" t="s">
        <v>973</v>
      </c>
      <c r="B146" s="872" t="s">
        <v>995</v>
      </c>
      <c r="C146" s="872" t="str">
        <f>IF(AND('Overzicht BTA'!$C$39=FALSE,'Overzicht BTA'!$C$42= FALSE),_xlfn.CONCAT('Upload AXI - CONF'!$A146,'Upload AXI - CONF'!$B146),"")</f>
        <v>Object.RAM[Z2K3].FlexA090</v>
      </c>
      <c r="D146" s="871">
        <f>ROUND('uitgebreide raming'!$F$37,2)</f>
        <v>0</v>
      </c>
      <c r="E146" s="872" t="s">
        <v>996</v>
      </c>
      <c r="F146" s="872" t="s">
        <v>967</v>
      </c>
      <c r="G146" s="872"/>
      <c r="H146" s="874" t="s">
        <v>957</v>
      </c>
      <c r="I146" s="767"/>
      <c r="P146" s="700"/>
    </row>
    <row r="147" spans="1:16" x14ac:dyDescent="0.3">
      <c r="A147" s="889" t="s">
        <v>973</v>
      </c>
      <c r="B147" s="868" t="s">
        <v>997</v>
      </c>
      <c r="C147" s="872" t="str">
        <f>IF(AND('Overzicht BTA'!$C$39=FALSE,'Overzicht BTA'!$C$42= FALSE),_xlfn.CONCAT('Upload AXI - CONF'!$A147,'Upload AXI - CONF'!$B147),"")</f>
        <v>Object.RAM[Z2K3].FlexA091</v>
      </c>
      <c r="D147" s="867">
        <f>'uitgebreide raming'!$F$38</f>
        <v>0</v>
      </c>
      <c r="E147" s="868" t="s">
        <v>998</v>
      </c>
      <c r="F147" s="868" t="s">
        <v>967</v>
      </c>
      <c r="G147" s="868"/>
      <c r="H147" s="870" t="s">
        <v>957</v>
      </c>
      <c r="I147" s="767"/>
      <c r="P147" s="700"/>
    </row>
    <row r="148" spans="1:16" x14ac:dyDescent="0.3">
      <c r="A148" s="973" t="s">
        <v>973</v>
      </c>
      <c r="B148" s="872" t="s">
        <v>999</v>
      </c>
      <c r="C148" s="872" t="str">
        <f>IF(AND('Overzicht BTA'!$C$39=FALSE,'Overzicht BTA'!$C$42= FALSE),_xlfn.CONCAT('Upload AXI - CONF'!$A148,'Upload AXI - CONF'!$B148),"")</f>
        <v>Object.RAM[Z2K3].FlexA097</v>
      </c>
      <c r="D148" s="871">
        <f>ROUND('uitgebreide raming'!$F$40,2)</f>
        <v>0</v>
      </c>
      <c r="E148" s="872" t="s">
        <v>1000</v>
      </c>
      <c r="F148" s="872" t="s">
        <v>967</v>
      </c>
      <c r="G148" s="872"/>
      <c r="H148" s="874" t="s">
        <v>957</v>
      </c>
      <c r="I148" s="767"/>
      <c r="P148" s="700"/>
    </row>
    <row r="149" spans="1:16" x14ac:dyDescent="0.3">
      <c r="A149" s="889" t="s">
        <v>973</v>
      </c>
      <c r="B149" s="868" t="s">
        <v>1003</v>
      </c>
      <c r="C149" s="872" t="str">
        <f>IF(AND('Overzicht BTA'!$C$39=FALSE,'Overzicht BTA'!$C$42= FALSE),_xlfn.CONCAT('Upload AXI - CONF'!$A149,'Upload AXI - CONF'!$B149),"")</f>
        <v>Object.RAM[Z2K3].FlexAO400</v>
      </c>
      <c r="D149" s="867">
        <f>ROUND('uitgebreide raming'!$F$41,2)</f>
        <v>0</v>
      </c>
      <c r="E149" s="868" t="s">
        <v>1004</v>
      </c>
      <c r="F149" s="868" t="s">
        <v>967</v>
      </c>
      <c r="G149" s="868"/>
      <c r="H149" s="870" t="s">
        <v>957</v>
      </c>
      <c r="I149" s="767"/>
      <c r="P149" s="700"/>
    </row>
    <row r="150" spans="1:16" x14ac:dyDescent="0.3">
      <c r="A150" s="973" t="s">
        <v>973</v>
      </c>
      <c r="B150" s="872" t="s">
        <v>1001</v>
      </c>
      <c r="C150" s="872" t="str">
        <f>IF(AND('Overzicht BTA'!$C$39=FALSE,'Overzicht BTA'!$C$42= FALSE),_xlfn.CONCAT('Upload AXI - CONF'!$A150,'Upload AXI - CONF'!$B150),"")</f>
        <v>Object.RAM[Z2K3].FlexAO001</v>
      </c>
      <c r="D150" s="871">
        <f>ROUND('uitgebreide raming'!$F$49,2)</f>
        <v>0</v>
      </c>
      <c r="E150" s="872" t="s">
        <v>1002</v>
      </c>
      <c r="F150" s="872" t="s">
        <v>967</v>
      </c>
      <c r="G150" s="872"/>
      <c r="H150" s="874" t="s">
        <v>957</v>
      </c>
      <c r="I150" s="767"/>
      <c r="P150" s="700"/>
    </row>
    <row r="151" spans="1:16" x14ac:dyDescent="0.3">
      <c r="A151" s="889" t="s">
        <v>973</v>
      </c>
      <c r="B151" s="868" t="s">
        <v>1005</v>
      </c>
      <c r="C151" s="872" t="str">
        <f>IF(AND('Overzicht BTA'!$C$39=FALSE,'Overzicht BTA'!$C$42= FALSE),_xlfn.CONCAT('Upload AXI - CONF'!$A151,'Upload AXI - CONF'!$B151),"")</f>
        <v>Object.RAM[Z2K3].FlexA062</v>
      </c>
      <c r="D151" s="878">
        <f>ROUND('uitgebreide raming'!$G$46,2)</f>
        <v>0.21</v>
      </c>
      <c r="E151" s="868" t="s">
        <v>1006</v>
      </c>
      <c r="F151" s="868" t="s">
        <v>967</v>
      </c>
      <c r="G151" s="868"/>
      <c r="H151" s="870"/>
      <c r="I151" s="595"/>
      <c r="P151" s="700"/>
    </row>
    <row r="152" spans="1:16" x14ac:dyDescent="0.3">
      <c r="A152" s="973" t="s">
        <v>973</v>
      </c>
      <c r="B152" s="872" t="s">
        <v>1007</v>
      </c>
      <c r="C152" s="872" t="str">
        <f>IF(AND('Overzicht BTA'!$C$39=FALSE,'Overzicht BTA'!$C$42= FALSE),_xlfn.CONCAT('Upload AXI - CONF'!$A152,'Upload AXI - CONF'!$B152),"")</f>
        <v>Object.RAM[Z2K3].FlexAO002</v>
      </c>
      <c r="D152" s="871">
        <f>ROUND('uitgebreide raming'!$F$51,2)</f>
        <v>0</v>
      </c>
      <c r="E152" s="872" t="s">
        <v>1008</v>
      </c>
      <c r="F152" s="872" t="s">
        <v>967</v>
      </c>
      <c r="G152" s="872"/>
      <c r="H152" s="874"/>
      <c r="I152" s="767"/>
      <c r="P152" s="700"/>
    </row>
    <row r="153" spans="1:16" x14ac:dyDescent="0.3">
      <c r="A153" s="889" t="s">
        <v>973</v>
      </c>
      <c r="B153" s="868" t="s">
        <v>1009</v>
      </c>
      <c r="C153" s="872" t="str">
        <f>IF(AND('Overzicht BTA'!$C$39=FALSE,'Overzicht BTA'!$C$42= FALSE),_xlfn.CONCAT('Upload AXI - CONF'!$A153,'Upload AXI - CONF'!$B153),"")</f>
        <v>Object.RAM[Z2K3].FlexAO003</v>
      </c>
      <c r="D153" s="867">
        <f>ROUND('uitgebreide raming'!$F$53,2)</f>
        <v>0</v>
      </c>
      <c r="E153" s="868" t="s">
        <v>1010</v>
      </c>
      <c r="F153" s="868" t="s">
        <v>967</v>
      </c>
      <c r="G153" s="868"/>
      <c r="H153" s="870" t="s">
        <v>960</v>
      </c>
      <c r="I153" s="767"/>
      <c r="P153" s="700"/>
    </row>
    <row r="154" spans="1:16" x14ac:dyDescent="0.3">
      <c r="A154" s="973" t="s">
        <v>973</v>
      </c>
      <c r="B154" s="872" t="s">
        <v>1011</v>
      </c>
      <c r="C154" s="872" t="str">
        <f>IF(AND('Overzicht BTA'!$C$39=FALSE,'Overzicht BTA'!$C$42= FALSE),_xlfn.CONCAT('Upload AXI - CONF'!$A154,'Upload AXI - CONF'!$B154),"")</f>
        <v>Object.RAM[Z2K3].FlexA101</v>
      </c>
      <c r="D154" s="879">
        <f>ROUND('Overzicht BTA'!$I$9,2)</f>
        <v>0</v>
      </c>
      <c r="E154" s="872" t="s">
        <v>1012</v>
      </c>
      <c r="F154" s="872" t="s">
        <v>967</v>
      </c>
      <c r="G154" s="872"/>
      <c r="H154" s="874"/>
      <c r="I154" s="768"/>
      <c r="P154" s="700"/>
    </row>
    <row r="155" spans="1:16" x14ac:dyDescent="0.3">
      <c r="A155" s="889" t="s">
        <v>973</v>
      </c>
      <c r="B155" s="868" t="s">
        <v>1013</v>
      </c>
      <c r="C155" s="872" t="str">
        <f>IF(AND('Overzicht BTA'!$C$39=FALSE,'Overzicht BTA'!$C$42= FALSE),_xlfn.CONCAT('Upload AXI - CONF'!$A155,'Upload AXI - CONF'!$B155),"")</f>
        <v>Object.RAM[Z2K3].FlexAO004</v>
      </c>
      <c r="D155" s="880">
        <f>ROUND('Overzicht BTA'!$J$9,2)</f>
        <v>0</v>
      </c>
      <c r="E155" s="868" t="s">
        <v>1014</v>
      </c>
      <c r="F155" s="868" t="s">
        <v>967</v>
      </c>
      <c r="G155" s="868"/>
      <c r="H155" s="870"/>
      <c r="I155" s="768"/>
      <c r="P155" s="700"/>
    </row>
    <row r="156" spans="1:16" x14ac:dyDescent="0.3">
      <c r="A156" s="973" t="s">
        <v>973</v>
      </c>
      <c r="B156" s="872" t="s">
        <v>1015</v>
      </c>
      <c r="C156" s="872" t="str">
        <f>IF(AND('Overzicht BTA'!$C$39=FALSE,'Overzicht BTA'!$C$42= FALSE),_xlfn.CONCAT('Upload AXI - CONF'!$A156,'Upload AXI - CONF'!$B156),"")</f>
        <v>Object.RAM[Z2K3].FlexAO005</v>
      </c>
      <c r="D156" s="881">
        <f>IFERROR('analyse bij belofte 2'!$F$25,0)</f>
        <v>0</v>
      </c>
      <c r="E156" s="872" t="s">
        <v>1016</v>
      </c>
      <c r="F156" s="872" t="s">
        <v>967</v>
      </c>
      <c r="G156" s="872"/>
      <c r="H156" s="874"/>
      <c r="I156" s="595"/>
      <c r="P156" s="700"/>
    </row>
    <row r="157" spans="1:16" x14ac:dyDescent="0.3">
      <c r="A157" s="889" t="s">
        <v>974</v>
      </c>
      <c r="B157" s="868" t="s">
        <v>984</v>
      </c>
      <c r="C157" s="872" t="str">
        <f>IF(AND('Overzicht BTA'!$C$39=FALSE,'Overzicht BTA'!$C$42= FALSE),_xlfn.CONCAT('Upload AXI - CONF'!$A157,'Upload AXI - CONF'!$B157),"")</f>
        <v>Object.RAM[Z2K4].FlexA098</v>
      </c>
      <c r="D157" s="867">
        <f>ROUND('uitgebreide raming'!$H$32,2)</f>
        <v>0</v>
      </c>
      <c r="E157" s="868" t="s">
        <v>985</v>
      </c>
      <c r="F157" s="868" t="s">
        <v>967</v>
      </c>
      <c r="G157" s="868"/>
      <c r="H157" s="870" t="s">
        <v>957</v>
      </c>
      <c r="I157" s="767"/>
      <c r="P157" s="700"/>
    </row>
    <row r="158" spans="1:16" x14ac:dyDescent="0.3">
      <c r="A158" s="973" t="s">
        <v>974</v>
      </c>
      <c r="B158" s="872" t="s">
        <v>986</v>
      </c>
      <c r="C158" s="872" t="str">
        <f>IF(AND('Overzicht BTA'!$C$39=FALSE,'Overzicht BTA'!$C$42= FALSE),_xlfn.CONCAT('Upload AXI - CONF'!$A158,'Upload AXI - CONF'!$B158),"")</f>
        <v>Object.RAM[Z2K4].FlexA087</v>
      </c>
      <c r="D158" s="871">
        <f>ROUND('uitgebreide raming'!$H$33,2)</f>
        <v>0</v>
      </c>
      <c r="E158" s="872" t="s">
        <v>987</v>
      </c>
      <c r="F158" s="872" t="s">
        <v>967</v>
      </c>
      <c r="G158" s="872"/>
      <c r="H158" s="874" t="s">
        <v>957</v>
      </c>
      <c r="I158" s="767"/>
      <c r="P158" s="700"/>
    </row>
    <row r="159" spans="1:16" x14ac:dyDescent="0.3">
      <c r="A159" s="889" t="s">
        <v>974</v>
      </c>
      <c r="B159" s="868" t="s">
        <v>988</v>
      </c>
      <c r="C159" s="872" t="str">
        <f>IF(AND('Overzicht BTA'!$C$39=FALSE,'Overzicht BTA'!$C$42= FALSE),_xlfn.CONCAT('Upload AXI - CONF'!$A159,'Upload AXI - CONF'!$B159),"")</f>
        <v>Object.RAM[Z2K4].FlexA088</v>
      </c>
      <c r="D159" s="867">
        <f>ROUND('uitgebreide raming'!$H$34,2)</f>
        <v>0</v>
      </c>
      <c r="E159" s="868" t="s">
        <v>989</v>
      </c>
      <c r="F159" s="868" t="s">
        <v>967</v>
      </c>
      <c r="G159" s="868"/>
      <c r="H159" s="870" t="s">
        <v>957</v>
      </c>
      <c r="I159" s="767"/>
      <c r="P159" s="700"/>
    </row>
    <row r="160" spans="1:16" x14ac:dyDescent="0.3">
      <c r="A160" s="973" t="s">
        <v>974</v>
      </c>
      <c r="B160" s="872" t="s">
        <v>990</v>
      </c>
      <c r="C160" s="872" t="str">
        <f>IF(AND('Overzicht BTA'!$C$39=FALSE,'Overzicht BTA'!$C$42= FALSE),_xlfn.CONCAT('Upload AXI - CONF'!$A160,'Upload AXI - CONF'!$B160),"")</f>
        <v>Object.RAM[Z2K4].FlexA089</v>
      </c>
      <c r="D160" s="871">
        <f>ROUND('uitgebreide raming'!$H$35,2)</f>
        <v>0</v>
      </c>
      <c r="E160" s="872" t="s">
        <v>991</v>
      </c>
      <c r="F160" s="872" t="s">
        <v>967</v>
      </c>
      <c r="G160" s="872"/>
      <c r="H160" s="874" t="s">
        <v>957</v>
      </c>
      <c r="I160" s="767"/>
      <c r="P160" s="700"/>
    </row>
    <row r="161" spans="1:16" x14ac:dyDescent="0.3">
      <c r="A161" s="889" t="s">
        <v>974</v>
      </c>
      <c r="B161" s="868" t="s">
        <v>992</v>
      </c>
      <c r="C161" s="872" t="str">
        <f>IF(AND('Overzicht BTA'!$C$39=FALSE,'Overzicht BTA'!$C$42= FALSE),_xlfn.CONCAT('Upload AXI - CONF'!$A161,'Upload AXI - CONF'!$B161),"")</f>
        <v>Object.RAM[Z2K4].FlexA102</v>
      </c>
      <c r="D161" s="867">
        <f>ROUND('uitgebreide raming'!$H$36,2)</f>
        <v>0</v>
      </c>
      <c r="E161" s="868" t="s">
        <v>994</v>
      </c>
      <c r="F161" s="868" t="s">
        <v>967</v>
      </c>
      <c r="G161" s="868"/>
      <c r="H161" s="870" t="s">
        <v>957</v>
      </c>
      <c r="I161" s="767"/>
      <c r="P161" s="700"/>
    </row>
    <row r="162" spans="1:16" x14ac:dyDescent="0.3">
      <c r="A162" s="973" t="s">
        <v>974</v>
      </c>
      <c r="B162" s="872" t="s">
        <v>995</v>
      </c>
      <c r="C162" s="872" t="str">
        <f>IF(AND('Overzicht BTA'!$C$39=FALSE,'Overzicht BTA'!$C$42= FALSE),_xlfn.CONCAT('Upload AXI - CONF'!$A162,'Upload AXI - CONF'!$B162),"")</f>
        <v>Object.RAM[Z2K4].FlexA090</v>
      </c>
      <c r="D162" s="871">
        <f>ROUND('uitgebreide raming'!$H$37,2)</f>
        <v>0</v>
      </c>
      <c r="E162" s="872" t="s">
        <v>996</v>
      </c>
      <c r="F162" s="872" t="s">
        <v>967</v>
      </c>
      <c r="G162" s="872"/>
      <c r="H162" s="874" t="s">
        <v>957</v>
      </c>
      <c r="I162" s="767"/>
      <c r="P162" s="700"/>
    </row>
    <row r="163" spans="1:16" x14ac:dyDescent="0.3">
      <c r="A163" s="889" t="s">
        <v>974</v>
      </c>
      <c r="B163" s="868" t="s">
        <v>997</v>
      </c>
      <c r="C163" s="872" t="str">
        <f>IF(AND('Overzicht BTA'!$C$39=FALSE,'Overzicht BTA'!$C$42= FALSE),_xlfn.CONCAT('Upload AXI - CONF'!$A163,'Upload AXI - CONF'!$B163),"")</f>
        <v>Object.RAM[Z2K4].FlexA091</v>
      </c>
      <c r="D163" s="867">
        <f>ROUND('uitgebreide raming'!$H$38,2)</f>
        <v>0</v>
      </c>
      <c r="E163" s="868" t="s">
        <v>998</v>
      </c>
      <c r="F163" s="868" t="s">
        <v>967</v>
      </c>
      <c r="G163" s="868"/>
      <c r="H163" s="870" t="s">
        <v>957</v>
      </c>
      <c r="I163" s="767"/>
      <c r="P163" s="700"/>
    </row>
    <row r="164" spans="1:16" x14ac:dyDescent="0.3">
      <c r="A164" s="973" t="s">
        <v>974</v>
      </c>
      <c r="B164" s="872" t="s">
        <v>999</v>
      </c>
      <c r="C164" s="872" t="str">
        <f>IF(AND('Overzicht BTA'!$C$39=FALSE,'Overzicht BTA'!$C$42= FALSE),_xlfn.CONCAT('Upload AXI - CONF'!$A164,'Upload AXI - CONF'!$B164),"")</f>
        <v>Object.RAM[Z2K4].FlexA097</v>
      </c>
      <c r="D164" s="871">
        <f>ROUND('uitgebreide raming'!$H$40,2)</f>
        <v>0</v>
      </c>
      <c r="E164" s="872" t="s">
        <v>1000</v>
      </c>
      <c r="F164" s="872" t="s">
        <v>967</v>
      </c>
      <c r="G164" s="872"/>
      <c r="H164" s="874" t="s">
        <v>957</v>
      </c>
      <c r="I164" s="767"/>
      <c r="P164" s="700"/>
    </row>
    <row r="165" spans="1:16" x14ac:dyDescent="0.3">
      <c r="A165" s="889" t="s">
        <v>974</v>
      </c>
      <c r="B165" s="868" t="s">
        <v>1003</v>
      </c>
      <c r="C165" s="872" t="str">
        <f>IF(AND('Overzicht BTA'!$C$39=FALSE,'Overzicht BTA'!$C$42= FALSE),_xlfn.CONCAT('Upload AXI - CONF'!$A165,'Upload AXI - CONF'!$B165),"")</f>
        <v>Object.RAM[Z2K4].FlexAO400</v>
      </c>
      <c r="D165" s="867">
        <f>ROUND('uitgebreide raming'!$H$41,2)</f>
        <v>0</v>
      </c>
      <c r="E165" s="868" t="s">
        <v>1004</v>
      </c>
      <c r="F165" s="868" t="s">
        <v>967</v>
      </c>
      <c r="G165" s="868"/>
      <c r="H165" s="870" t="s">
        <v>957</v>
      </c>
      <c r="I165" s="767"/>
      <c r="P165" s="700"/>
    </row>
    <row r="166" spans="1:16" x14ac:dyDescent="0.3">
      <c r="A166" s="973" t="s">
        <v>974</v>
      </c>
      <c r="B166" s="872" t="s">
        <v>1001</v>
      </c>
      <c r="C166" s="872" t="str">
        <f>IF(AND('Overzicht BTA'!$C$39=FALSE,'Overzicht BTA'!$C$42= FALSE),_xlfn.CONCAT('Upload AXI - CONF'!$A166,'Upload AXI - CONF'!$B166),"")</f>
        <v>Object.RAM[Z2K4].FlexAO001</v>
      </c>
      <c r="D166" s="871">
        <f>ROUND('uitgebreide raming'!$H$49,2)</f>
        <v>0</v>
      </c>
      <c r="E166" s="872" t="s">
        <v>1002</v>
      </c>
      <c r="F166" s="872" t="s">
        <v>967</v>
      </c>
      <c r="G166" s="872"/>
      <c r="H166" s="874" t="s">
        <v>957</v>
      </c>
      <c r="I166" s="767"/>
      <c r="P166" s="700"/>
    </row>
    <row r="167" spans="1:16" x14ac:dyDescent="0.3">
      <c r="A167" s="889" t="s">
        <v>974</v>
      </c>
      <c r="B167" s="868" t="s">
        <v>1005</v>
      </c>
      <c r="C167" s="872" t="str">
        <f>IF(AND('Overzicht BTA'!$C$39=FALSE,'Overzicht BTA'!$C$42= FALSE),_xlfn.CONCAT('Upload AXI - CONF'!$A167,'Upload AXI - CONF'!$B167),"")</f>
        <v>Object.RAM[Z2K4].FlexA062</v>
      </c>
      <c r="D167" s="878">
        <f>ROUND('uitgebreide raming'!$I$46,2)</f>
        <v>0.21</v>
      </c>
      <c r="E167" s="868" t="s">
        <v>1006</v>
      </c>
      <c r="F167" s="868" t="s">
        <v>967</v>
      </c>
      <c r="G167" s="868"/>
      <c r="H167" s="870"/>
      <c r="I167" s="595"/>
      <c r="P167" s="700"/>
    </row>
    <row r="168" spans="1:16" x14ac:dyDescent="0.3">
      <c r="A168" s="973" t="s">
        <v>974</v>
      </c>
      <c r="B168" s="872" t="s">
        <v>1007</v>
      </c>
      <c r="C168" s="872" t="str">
        <f>IF(AND('Overzicht BTA'!$C$39=FALSE,'Overzicht BTA'!$C$42= FALSE),_xlfn.CONCAT('Upload AXI - CONF'!$A168,'Upload AXI - CONF'!$B168),"")</f>
        <v>Object.RAM[Z2K4].FlexAO002</v>
      </c>
      <c r="D168" s="871">
        <f>ROUND('uitgebreide raming'!$H$51,2)</f>
        <v>0</v>
      </c>
      <c r="E168" s="872" t="s">
        <v>1008</v>
      </c>
      <c r="F168" s="872" t="s">
        <v>967</v>
      </c>
      <c r="G168" s="872"/>
      <c r="H168" s="874"/>
      <c r="I168" s="767"/>
      <c r="P168" s="700"/>
    </row>
    <row r="169" spans="1:16" x14ac:dyDescent="0.3">
      <c r="A169" s="889" t="s">
        <v>974</v>
      </c>
      <c r="B169" s="868" t="s">
        <v>1009</v>
      </c>
      <c r="C169" s="872" t="str">
        <f>IF(AND('Overzicht BTA'!$C$39=FALSE,'Overzicht BTA'!$C$42= FALSE),_xlfn.CONCAT('Upload AXI - CONF'!$A169,'Upload AXI - CONF'!$B169),"")</f>
        <v>Object.RAM[Z2K4].FlexAO003</v>
      </c>
      <c r="D169" s="867">
        <f>ROUND('uitgebreide raming'!$H$53,2)</f>
        <v>0</v>
      </c>
      <c r="E169" s="868" t="s">
        <v>1010</v>
      </c>
      <c r="F169" s="868" t="s">
        <v>967</v>
      </c>
      <c r="G169" s="868"/>
      <c r="H169" s="870" t="s">
        <v>960</v>
      </c>
      <c r="I169" s="767"/>
      <c r="P169" s="700"/>
    </row>
    <row r="170" spans="1:16" x14ac:dyDescent="0.3">
      <c r="A170" s="973" t="s">
        <v>974</v>
      </c>
      <c r="B170" s="872" t="s">
        <v>1011</v>
      </c>
      <c r="C170" s="872" t="str">
        <f>IF(AND('Overzicht BTA'!$C$39=FALSE,'Overzicht BTA'!$C$42= FALSE),_xlfn.CONCAT('Upload AXI - CONF'!$A170,'Upload AXI - CONF'!$B170),"")</f>
        <v>Object.RAM[Z2K4].FlexA101</v>
      </c>
      <c r="D170" s="879">
        <f>ROUND('Overzicht BTA'!$I$10,2)</f>
        <v>0</v>
      </c>
      <c r="E170" s="872" t="s">
        <v>1012</v>
      </c>
      <c r="F170" s="872" t="s">
        <v>967</v>
      </c>
      <c r="G170" s="872"/>
      <c r="H170" s="874"/>
      <c r="I170" s="768"/>
      <c r="P170" s="700"/>
    </row>
    <row r="171" spans="1:16" x14ac:dyDescent="0.3">
      <c r="A171" s="889" t="s">
        <v>974</v>
      </c>
      <c r="B171" s="868" t="s">
        <v>1013</v>
      </c>
      <c r="C171" s="872" t="str">
        <f>IF(AND('Overzicht BTA'!$C$39=FALSE,'Overzicht BTA'!$C$42= FALSE),_xlfn.CONCAT('Upload AXI - CONF'!$A171,'Upload AXI - CONF'!$B171),"")</f>
        <v>Object.RAM[Z2K4].FlexAO004</v>
      </c>
      <c r="D171" s="880">
        <f>ROUND('Overzicht BTA'!$J$10,2)</f>
        <v>0</v>
      </c>
      <c r="E171" s="868" t="s">
        <v>1014</v>
      </c>
      <c r="F171" s="868" t="s">
        <v>967</v>
      </c>
      <c r="G171" s="868"/>
      <c r="H171" s="870"/>
      <c r="I171" s="768"/>
      <c r="P171" s="700"/>
    </row>
    <row r="172" spans="1:16" x14ac:dyDescent="0.3">
      <c r="A172" s="973" t="s">
        <v>974</v>
      </c>
      <c r="B172" s="872" t="s">
        <v>1015</v>
      </c>
      <c r="C172" s="872" t="str">
        <f>IF(AND('Overzicht BTA'!$C$39=FALSE,'Overzicht BTA'!$C$42= FALSE),_xlfn.CONCAT('Upload AXI - CONF'!$A172,'Upload AXI - CONF'!$B172),"")</f>
        <v>Object.RAM[Z2K4].FlexAO005</v>
      </c>
      <c r="D172" s="881">
        <f>ROUND(IFERROR('analyse bij belofte 2'!H25,0),2)</f>
        <v>0</v>
      </c>
      <c r="E172" s="872" t="s">
        <v>1016</v>
      </c>
      <c r="F172" s="872" t="s">
        <v>967</v>
      </c>
      <c r="G172" s="872"/>
      <c r="H172" s="874"/>
      <c r="I172" s="595"/>
      <c r="P172" s="700"/>
    </row>
    <row r="173" spans="1:16" x14ac:dyDescent="0.3">
      <c r="A173" s="889" t="s">
        <v>975</v>
      </c>
      <c r="B173" s="868" t="s">
        <v>984</v>
      </c>
      <c r="C173" s="872" t="str">
        <f>IF(AND('Overzicht BTA'!$C$39=FALSE,'Overzicht BTA'!$C$42= FALSE),_xlfn.CONCAT('Upload AXI - CONF'!$A173,'Upload AXI - CONF'!$B173),"")</f>
        <v>Object.RAM[Z3K1].FlexA098</v>
      </c>
      <c r="D173" s="867">
        <f>ROUND('uitgebreide raming'!$B$59,2)</f>
        <v>0</v>
      </c>
      <c r="E173" s="868" t="s">
        <v>985</v>
      </c>
      <c r="F173" s="868" t="s">
        <v>967</v>
      </c>
      <c r="G173" s="868"/>
      <c r="H173" s="870" t="s">
        <v>957</v>
      </c>
      <c r="I173" s="767"/>
      <c r="P173" s="700"/>
    </row>
    <row r="174" spans="1:16" x14ac:dyDescent="0.3">
      <c r="A174" s="973" t="s">
        <v>975</v>
      </c>
      <c r="B174" s="872" t="s">
        <v>986</v>
      </c>
      <c r="C174" s="872" t="str">
        <f>IF(AND('Overzicht BTA'!$C$39=FALSE,'Overzicht BTA'!$C$42= FALSE),_xlfn.CONCAT('Upload AXI - CONF'!$A174,'Upload AXI - CONF'!$B174),"")</f>
        <v>Object.RAM[Z3K1].FlexA087</v>
      </c>
      <c r="D174" s="871">
        <f>ROUND('uitgebreide raming'!$B$60,2)</f>
        <v>0</v>
      </c>
      <c r="E174" s="872" t="s">
        <v>987</v>
      </c>
      <c r="F174" s="872" t="s">
        <v>967</v>
      </c>
      <c r="G174" s="872"/>
      <c r="H174" s="874" t="s">
        <v>957</v>
      </c>
      <c r="I174" s="767"/>
      <c r="P174" s="700"/>
    </row>
    <row r="175" spans="1:16" x14ac:dyDescent="0.3">
      <c r="A175" s="889" t="s">
        <v>975</v>
      </c>
      <c r="B175" s="868" t="s">
        <v>988</v>
      </c>
      <c r="C175" s="872" t="str">
        <f>IF(AND('Overzicht BTA'!$C$39=FALSE,'Overzicht BTA'!$C$42= FALSE),_xlfn.CONCAT('Upload AXI - CONF'!$A175,'Upload AXI - CONF'!$B175),"")</f>
        <v>Object.RAM[Z3K1].FlexA088</v>
      </c>
      <c r="D175" s="867">
        <f>ROUND('uitgebreide raming'!$B$61,2)</f>
        <v>0</v>
      </c>
      <c r="E175" s="868" t="s">
        <v>989</v>
      </c>
      <c r="F175" s="868" t="s">
        <v>967</v>
      </c>
      <c r="G175" s="868"/>
      <c r="H175" s="870" t="s">
        <v>957</v>
      </c>
      <c r="I175" s="767"/>
      <c r="P175" s="700"/>
    </row>
    <row r="176" spans="1:16" x14ac:dyDescent="0.3">
      <c r="A176" s="973" t="s">
        <v>975</v>
      </c>
      <c r="B176" s="872" t="s">
        <v>990</v>
      </c>
      <c r="C176" s="872" t="str">
        <f>IF(AND('Overzicht BTA'!$C$39=FALSE,'Overzicht BTA'!$C$42= FALSE),_xlfn.CONCAT('Upload AXI - CONF'!$A176,'Upload AXI - CONF'!$B176),"")</f>
        <v>Object.RAM[Z3K1].FlexA089</v>
      </c>
      <c r="D176" s="871">
        <f>ROUND('uitgebreide raming'!$B$62,2)</f>
        <v>0</v>
      </c>
      <c r="E176" s="872" t="s">
        <v>991</v>
      </c>
      <c r="F176" s="872" t="s">
        <v>967</v>
      </c>
      <c r="G176" s="872"/>
      <c r="H176" s="874" t="s">
        <v>957</v>
      </c>
      <c r="I176" s="767"/>
      <c r="P176" s="700"/>
    </row>
    <row r="177" spans="1:16" x14ac:dyDescent="0.3">
      <c r="A177" s="889" t="s">
        <v>975</v>
      </c>
      <c r="B177" s="868" t="s">
        <v>992</v>
      </c>
      <c r="C177" s="872" t="str">
        <f>IF(AND('Overzicht BTA'!$C$39=FALSE,'Overzicht BTA'!$C$42= FALSE),_xlfn.CONCAT('Upload AXI - CONF'!$A177,'Upload AXI - CONF'!$B177),"")</f>
        <v>Object.RAM[Z3K1].FlexA102</v>
      </c>
      <c r="D177" s="867">
        <f>'uitgebreide raming'!$B$63</f>
        <v>0</v>
      </c>
      <c r="E177" s="868" t="s">
        <v>994</v>
      </c>
      <c r="F177" s="868" t="s">
        <v>967</v>
      </c>
      <c r="G177" s="868"/>
      <c r="H177" s="870" t="s">
        <v>957</v>
      </c>
      <c r="I177" s="767"/>
      <c r="P177" s="700"/>
    </row>
    <row r="178" spans="1:16" x14ac:dyDescent="0.3">
      <c r="A178" s="973" t="s">
        <v>975</v>
      </c>
      <c r="B178" s="872" t="s">
        <v>995</v>
      </c>
      <c r="C178" s="872" t="str">
        <f>IF(AND('Overzicht BTA'!$C$39=FALSE,'Overzicht BTA'!$C$42= FALSE),_xlfn.CONCAT('Upload AXI - CONF'!$A178,'Upload AXI - CONF'!$B178),"")</f>
        <v>Object.RAM[Z3K1].FlexA090</v>
      </c>
      <c r="D178" s="871">
        <f>ROUND('uitgebreide raming'!$B$64,2)</f>
        <v>0</v>
      </c>
      <c r="E178" s="872" t="s">
        <v>996</v>
      </c>
      <c r="F178" s="872" t="s">
        <v>967</v>
      </c>
      <c r="G178" s="872"/>
      <c r="H178" s="874" t="s">
        <v>957</v>
      </c>
      <c r="I178" s="767"/>
      <c r="P178" s="700"/>
    </row>
    <row r="179" spans="1:16" x14ac:dyDescent="0.3">
      <c r="A179" s="889" t="s">
        <v>975</v>
      </c>
      <c r="B179" s="868" t="s">
        <v>997</v>
      </c>
      <c r="C179" s="872" t="str">
        <f>IF(AND('Overzicht BTA'!$C$39=FALSE,'Overzicht BTA'!$C$42= FALSE),_xlfn.CONCAT('Upload AXI - CONF'!$A179,'Upload AXI - CONF'!$B179),"")</f>
        <v>Object.RAM[Z3K1].FlexA091</v>
      </c>
      <c r="D179" s="867">
        <f>ROUND('uitgebreide raming'!$B$65,2)</f>
        <v>0</v>
      </c>
      <c r="E179" s="868" t="s">
        <v>998</v>
      </c>
      <c r="F179" s="868" t="s">
        <v>967</v>
      </c>
      <c r="G179" s="868"/>
      <c r="H179" s="870" t="s">
        <v>957</v>
      </c>
      <c r="I179" s="767"/>
      <c r="P179" s="700"/>
    </row>
    <row r="180" spans="1:16" x14ac:dyDescent="0.3">
      <c r="A180" s="973" t="s">
        <v>975</v>
      </c>
      <c r="B180" s="872" t="s">
        <v>999</v>
      </c>
      <c r="C180" s="872" t="str">
        <f>IF(AND('Overzicht BTA'!$C$39=FALSE,'Overzicht BTA'!$C$42= FALSE),_xlfn.CONCAT('Upload AXI - CONF'!$A180,'Upload AXI - CONF'!$B180),"")</f>
        <v>Object.RAM[Z3K1].FlexA097</v>
      </c>
      <c r="D180" s="871">
        <f>ROUND('uitgebreide raming'!$B$67,2)</f>
        <v>0</v>
      </c>
      <c r="E180" s="872" t="s">
        <v>1000</v>
      </c>
      <c r="F180" s="872" t="s">
        <v>967</v>
      </c>
      <c r="G180" s="872"/>
      <c r="H180" s="874" t="s">
        <v>957</v>
      </c>
      <c r="I180" s="767"/>
      <c r="P180" s="700"/>
    </row>
    <row r="181" spans="1:16" x14ac:dyDescent="0.3">
      <c r="A181" s="889" t="s">
        <v>975</v>
      </c>
      <c r="B181" s="868" t="s">
        <v>1003</v>
      </c>
      <c r="C181" s="872" t="str">
        <f>IF(AND('Overzicht BTA'!$C$39=FALSE,'Overzicht BTA'!$C$42= FALSE),_xlfn.CONCAT('Upload AXI - CONF'!$A181,'Upload AXI - CONF'!$B181),"")</f>
        <v>Object.RAM[Z3K1].FlexAO400</v>
      </c>
      <c r="D181" s="867">
        <f>ROUND('uitgebreide raming'!$B$68,2)</f>
        <v>0</v>
      </c>
      <c r="E181" s="868" t="s">
        <v>1004</v>
      </c>
      <c r="F181" s="868" t="s">
        <v>967</v>
      </c>
      <c r="G181" s="868"/>
      <c r="H181" s="870" t="s">
        <v>957</v>
      </c>
      <c r="I181" s="767"/>
      <c r="P181" s="700"/>
    </row>
    <row r="182" spans="1:16" x14ac:dyDescent="0.3">
      <c r="A182" s="973" t="s">
        <v>975</v>
      </c>
      <c r="B182" s="872" t="s">
        <v>1001</v>
      </c>
      <c r="C182" s="872" t="str">
        <f>IF(AND('Overzicht BTA'!$C$39=FALSE,'Overzicht BTA'!$C$42= FALSE),_xlfn.CONCAT('Upload AXI - CONF'!$A182,'Upload AXI - CONF'!$B182),"")</f>
        <v>Object.RAM[Z3K1].FlexAO001</v>
      </c>
      <c r="D182" s="871">
        <f>ROUND('uitgebreide raming'!$B$76,2)</f>
        <v>0</v>
      </c>
      <c r="E182" s="872" t="s">
        <v>1002</v>
      </c>
      <c r="F182" s="872" t="s">
        <v>967</v>
      </c>
      <c r="G182" s="872"/>
      <c r="H182" s="874" t="s">
        <v>957</v>
      </c>
      <c r="I182" s="767"/>
      <c r="P182" s="700"/>
    </row>
    <row r="183" spans="1:16" x14ac:dyDescent="0.3">
      <c r="A183" s="889" t="s">
        <v>975</v>
      </c>
      <c r="B183" s="868" t="s">
        <v>1005</v>
      </c>
      <c r="C183" s="872" t="str">
        <f>IF(AND('Overzicht BTA'!$C$39=FALSE,'Overzicht BTA'!$C$42= FALSE),_xlfn.CONCAT('Upload AXI - CONF'!$A183,'Upload AXI - CONF'!$B183),"")</f>
        <v>Object.RAM[Z3K1].FlexA062</v>
      </c>
      <c r="D183" s="878">
        <f>ROUND('uitgebreide raming'!$E$73,2)</f>
        <v>0.21</v>
      </c>
      <c r="E183" s="868" t="s">
        <v>1006</v>
      </c>
      <c r="F183" s="868" t="s">
        <v>967</v>
      </c>
      <c r="G183" s="868"/>
      <c r="H183" s="870"/>
      <c r="I183" s="595"/>
      <c r="P183" s="700"/>
    </row>
    <row r="184" spans="1:16" x14ac:dyDescent="0.3">
      <c r="A184" s="973" t="s">
        <v>975</v>
      </c>
      <c r="B184" s="872" t="s">
        <v>1007</v>
      </c>
      <c r="C184" s="872" t="str">
        <f>IF(AND('Overzicht BTA'!$C$39=FALSE,'Overzicht BTA'!$C$42= FALSE),_xlfn.CONCAT('Upload AXI - CONF'!$A184,'Upload AXI - CONF'!$B184),"")</f>
        <v>Object.RAM[Z3K1].FlexAO002</v>
      </c>
      <c r="D184" s="871">
        <f>ROUND('uitgebreide raming'!$B$73,2)</f>
        <v>0</v>
      </c>
      <c r="E184" s="872" t="s">
        <v>1008</v>
      </c>
      <c r="F184" s="872" t="s">
        <v>967</v>
      </c>
      <c r="G184" s="872"/>
      <c r="H184" s="874"/>
      <c r="I184" s="767"/>
      <c r="P184" s="700"/>
    </row>
    <row r="185" spans="1:16" x14ac:dyDescent="0.3">
      <c r="A185" s="889" t="s">
        <v>975</v>
      </c>
      <c r="B185" s="868" t="s">
        <v>1009</v>
      </c>
      <c r="C185" s="872" t="str">
        <f>IF(AND('Overzicht BTA'!$C$39=FALSE,'Overzicht BTA'!$C$42= FALSE),_xlfn.CONCAT('Upload AXI - CONF'!$A185,'Upload AXI - CONF'!$B185),"")</f>
        <v>Object.RAM[Z3K1].FlexAO003</v>
      </c>
      <c r="D185" s="867">
        <f>ROUND('uitgebreide raming'!$B$80,2)</f>
        <v>0</v>
      </c>
      <c r="E185" s="868" t="s">
        <v>1010</v>
      </c>
      <c r="F185" s="868" t="s">
        <v>967</v>
      </c>
      <c r="G185" s="868"/>
      <c r="H185" s="870" t="s">
        <v>960</v>
      </c>
      <c r="I185" s="767"/>
      <c r="P185" s="700"/>
    </row>
    <row r="186" spans="1:16" x14ac:dyDescent="0.3">
      <c r="A186" s="973" t="s">
        <v>975</v>
      </c>
      <c r="B186" s="872" t="s">
        <v>1011</v>
      </c>
      <c r="C186" s="872" t="str">
        <f>IF(AND('Overzicht BTA'!$C$39=FALSE,'Overzicht BTA'!$C$42= FALSE),_xlfn.CONCAT('Upload AXI - CONF'!$A186,'Upload AXI - CONF'!$B186),"")</f>
        <v>Object.RAM[Z3K1].FlexA101</v>
      </c>
      <c r="D186" s="879">
        <f>ROUND('Overzicht BTA'!$O$7,2)</f>
        <v>0</v>
      </c>
      <c r="E186" s="872" t="s">
        <v>1012</v>
      </c>
      <c r="F186" s="872" t="s">
        <v>967</v>
      </c>
      <c r="G186" s="872"/>
      <c r="H186" s="874"/>
      <c r="I186" s="768"/>
      <c r="P186" s="700"/>
    </row>
    <row r="187" spans="1:16" x14ac:dyDescent="0.3">
      <c r="A187" s="889" t="s">
        <v>975</v>
      </c>
      <c r="B187" s="868" t="s">
        <v>1013</v>
      </c>
      <c r="C187" s="872" t="str">
        <f>IF(AND('Overzicht BTA'!$C$39=FALSE,'Overzicht BTA'!$C$42= FALSE),_xlfn.CONCAT('Upload AXI - CONF'!$A187,'Upload AXI - CONF'!$B187),"")</f>
        <v>Object.RAM[Z3K1].FlexAO004</v>
      </c>
      <c r="D187" s="880">
        <f>ROUND('Overzicht BTA'!$P$7,2)</f>
        <v>0</v>
      </c>
      <c r="E187" s="868" t="s">
        <v>1014</v>
      </c>
      <c r="F187" s="868" t="s">
        <v>967</v>
      </c>
      <c r="G187" s="868"/>
      <c r="H187" s="870"/>
      <c r="I187" s="768"/>
      <c r="P187" s="700"/>
    </row>
    <row r="188" spans="1:16" x14ac:dyDescent="0.3">
      <c r="A188" s="973" t="s">
        <v>975</v>
      </c>
      <c r="B188" s="872" t="s">
        <v>1015</v>
      </c>
      <c r="C188" s="872" t="str">
        <f>IF(AND('Overzicht BTA'!$C$39=FALSE,'Overzicht BTA'!$C$42= FALSE),_xlfn.CONCAT('Upload AXI - CONF'!$A188,'Upload AXI - CONF'!$B188),"")</f>
        <v>Object.RAM[Z3K1].FlexAO005</v>
      </c>
      <c r="D188" s="881">
        <f>ROUND(IFERROR('analyse bij belofte 3'!$B$25,0),2)</f>
        <v>0</v>
      </c>
      <c r="E188" s="872" t="s">
        <v>1016</v>
      </c>
      <c r="F188" s="872" t="s">
        <v>967</v>
      </c>
      <c r="G188" s="872"/>
      <c r="H188" s="874"/>
      <c r="I188" s="595"/>
      <c r="P188" s="700"/>
    </row>
    <row r="189" spans="1:16" x14ac:dyDescent="0.3">
      <c r="A189" s="889" t="s">
        <v>976</v>
      </c>
      <c r="B189" s="868" t="s">
        <v>984</v>
      </c>
      <c r="C189" s="872" t="str">
        <f>IF(AND('Overzicht BTA'!$C$39=FALSE,'Overzicht BTA'!$C$42= FALSE),_xlfn.CONCAT('Upload AXI - CONF'!$A189,'Upload AXI - CONF'!$B189),"")</f>
        <v>Object.RAM[Z3K2].FlexA098</v>
      </c>
      <c r="D189" s="867">
        <f>ROUND('uitgebreide raming'!$D$59,2)</f>
        <v>0</v>
      </c>
      <c r="E189" s="868" t="s">
        <v>985</v>
      </c>
      <c r="F189" s="868" t="s">
        <v>967</v>
      </c>
      <c r="G189" s="868"/>
      <c r="H189" s="870" t="s">
        <v>957</v>
      </c>
      <c r="I189" s="767"/>
      <c r="P189" s="700"/>
    </row>
    <row r="190" spans="1:16" x14ac:dyDescent="0.3">
      <c r="A190" s="973" t="s">
        <v>976</v>
      </c>
      <c r="B190" s="872" t="s">
        <v>986</v>
      </c>
      <c r="C190" s="872" t="str">
        <f>IF(AND('Overzicht BTA'!$C$39=FALSE,'Overzicht BTA'!$C$42= FALSE),_xlfn.CONCAT('Upload AXI - CONF'!$A190,'Upload AXI - CONF'!$B190),"")</f>
        <v>Object.RAM[Z3K2].FlexA087</v>
      </c>
      <c r="D190" s="871">
        <f>ROUND('uitgebreide raming'!$D$60,2)</f>
        <v>0</v>
      </c>
      <c r="E190" s="872" t="s">
        <v>987</v>
      </c>
      <c r="F190" s="872" t="s">
        <v>967</v>
      </c>
      <c r="G190" s="872"/>
      <c r="H190" s="874" t="s">
        <v>957</v>
      </c>
      <c r="I190" s="767"/>
      <c r="P190" s="700"/>
    </row>
    <row r="191" spans="1:16" x14ac:dyDescent="0.3">
      <c r="A191" s="889" t="s">
        <v>976</v>
      </c>
      <c r="B191" s="868" t="s">
        <v>988</v>
      </c>
      <c r="C191" s="872" t="str">
        <f>IF(AND('Overzicht BTA'!$C$39=FALSE,'Overzicht BTA'!$C$42= FALSE),_xlfn.CONCAT('Upload AXI - CONF'!$A191,'Upload AXI - CONF'!$B191),"")</f>
        <v>Object.RAM[Z3K2].FlexA088</v>
      </c>
      <c r="D191" s="867">
        <f>ROUND('uitgebreide raming'!$D$61,2)</f>
        <v>0</v>
      </c>
      <c r="E191" s="868" t="s">
        <v>989</v>
      </c>
      <c r="F191" s="868" t="s">
        <v>967</v>
      </c>
      <c r="G191" s="868"/>
      <c r="H191" s="870" t="s">
        <v>957</v>
      </c>
      <c r="I191" s="767"/>
      <c r="P191" s="700"/>
    </row>
    <row r="192" spans="1:16" x14ac:dyDescent="0.3">
      <c r="A192" s="973" t="s">
        <v>976</v>
      </c>
      <c r="B192" s="872" t="s">
        <v>990</v>
      </c>
      <c r="C192" s="872" t="str">
        <f>IF(AND('Overzicht BTA'!$C$39=FALSE,'Overzicht BTA'!$C$42= FALSE),_xlfn.CONCAT('Upload AXI - CONF'!$A192,'Upload AXI - CONF'!$B192),"")</f>
        <v>Object.RAM[Z3K2].FlexA089</v>
      </c>
      <c r="D192" s="871">
        <f>ROUND('uitgebreide raming'!$D$62,2)</f>
        <v>0</v>
      </c>
      <c r="E192" s="872" t="s">
        <v>991</v>
      </c>
      <c r="F192" s="872" t="s">
        <v>967</v>
      </c>
      <c r="G192" s="872"/>
      <c r="H192" s="874" t="s">
        <v>957</v>
      </c>
      <c r="I192" s="767"/>
      <c r="P192" s="700"/>
    </row>
    <row r="193" spans="1:16" x14ac:dyDescent="0.3">
      <c r="A193" s="889" t="s">
        <v>976</v>
      </c>
      <c r="B193" s="868" t="s">
        <v>992</v>
      </c>
      <c r="C193" s="872" t="str">
        <f>IF(AND('Overzicht BTA'!$C$39=FALSE,'Overzicht BTA'!$C$42= FALSE),_xlfn.CONCAT('Upload AXI - CONF'!$A193,'Upload AXI - CONF'!$B193),"")</f>
        <v>Object.RAM[Z3K2].FlexA102</v>
      </c>
      <c r="D193" s="867">
        <f>'uitgebreide raming'!$D$63</f>
        <v>0</v>
      </c>
      <c r="E193" s="868" t="s">
        <v>994</v>
      </c>
      <c r="F193" s="868" t="s">
        <v>967</v>
      </c>
      <c r="G193" s="868"/>
      <c r="H193" s="870" t="s">
        <v>957</v>
      </c>
      <c r="I193" s="767"/>
      <c r="P193" s="700"/>
    </row>
    <row r="194" spans="1:16" x14ac:dyDescent="0.3">
      <c r="A194" s="973" t="s">
        <v>976</v>
      </c>
      <c r="B194" s="872" t="s">
        <v>995</v>
      </c>
      <c r="C194" s="872" t="str">
        <f>IF(AND('Overzicht BTA'!$C$39=FALSE,'Overzicht BTA'!$C$42= FALSE),_xlfn.CONCAT('Upload AXI - CONF'!$A194,'Upload AXI - CONF'!$B194),"")</f>
        <v>Object.RAM[Z3K2].FlexA090</v>
      </c>
      <c r="D194" s="871">
        <f>ROUND('uitgebreide raming'!$D$64,2)</f>
        <v>0</v>
      </c>
      <c r="E194" s="872" t="s">
        <v>996</v>
      </c>
      <c r="F194" s="872" t="s">
        <v>967</v>
      </c>
      <c r="G194" s="872"/>
      <c r="H194" s="874" t="s">
        <v>957</v>
      </c>
      <c r="I194" s="767"/>
      <c r="P194" s="700"/>
    </row>
    <row r="195" spans="1:16" x14ac:dyDescent="0.3">
      <c r="A195" s="889" t="s">
        <v>976</v>
      </c>
      <c r="B195" s="868" t="s">
        <v>997</v>
      </c>
      <c r="C195" s="872" t="str">
        <f>IF(AND('Overzicht BTA'!$C$39=FALSE,'Overzicht BTA'!$C$42= FALSE),_xlfn.CONCAT('Upload AXI - CONF'!$A195,'Upload AXI - CONF'!$B195),"")</f>
        <v>Object.RAM[Z3K2].FlexA091</v>
      </c>
      <c r="D195" s="867">
        <f>ROUND('uitgebreide raming'!$D$65,2)</f>
        <v>0</v>
      </c>
      <c r="E195" s="868" t="s">
        <v>998</v>
      </c>
      <c r="F195" s="868" t="s">
        <v>967</v>
      </c>
      <c r="G195" s="868"/>
      <c r="H195" s="870" t="s">
        <v>957</v>
      </c>
      <c r="I195" s="767"/>
      <c r="P195" s="700"/>
    </row>
    <row r="196" spans="1:16" x14ac:dyDescent="0.3">
      <c r="A196" s="973" t="s">
        <v>976</v>
      </c>
      <c r="B196" s="872" t="s">
        <v>999</v>
      </c>
      <c r="C196" s="872" t="str">
        <f>IF(AND('Overzicht BTA'!$C$39=FALSE,'Overzicht BTA'!$C$42= FALSE),_xlfn.CONCAT('Upload AXI - CONF'!$A196,'Upload AXI - CONF'!$B196),"")</f>
        <v>Object.RAM[Z3K2].FlexA097</v>
      </c>
      <c r="D196" s="871">
        <f>ROUND('uitgebreide raming'!$D$67,2)</f>
        <v>0</v>
      </c>
      <c r="E196" s="872" t="s">
        <v>1000</v>
      </c>
      <c r="F196" s="872" t="s">
        <v>967</v>
      </c>
      <c r="G196" s="872"/>
      <c r="H196" s="874" t="s">
        <v>957</v>
      </c>
      <c r="I196" s="767"/>
      <c r="P196" s="700"/>
    </row>
    <row r="197" spans="1:16" x14ac:dyDescent="0.3">
      <c r="A197" s="889" t="s">
        <v>976</v>
      </c>
      <c r="B197" s="868" t="s">
        <v>1003</v>
      </c>
      <c r="C197" s="872" t="str">
        <f>IF(AND('Overzicht BTA'!$C$39=FALSE,'Overzicht BTA'!$C$42= FALSE),_xlfn.CONCAT('Upload AXI - CONF'!$A197,'Upload AXI - CONF'!$B197),"")</f>
        <v>Object.RAM[Z3K2].FlexAO400</v>
      </c>
      <c r="D197" s="867">
        <f>ROUND('uitgebreide raming'!$D$68,2)</f>
        <v>0</v>
      </c>
      <c r="E197" s="868" t="s">
        <v>1004</v>
      </c>
      <c r="F197" s="868" t="s">
        <v>967</v>
      </c>
      <c r="G197" s="868"/>
      <c r="H197" s="870" t="s">
        <v>957</v>
      </c>
      <c r="I197" s="767"/>
      <c r="P197" s="700"/>
    </row>
    <row r="198" spans="1:16" x14ac:dyDescent="0.3">
      <c r="A198" s="973" t="s">
        <v>976</v>
      </c>
      <c r="B198" s="872" t="s">
        <v>1001</v>
      </c>
      <c r="C198" s="872" t="str">
        <f>IF(AND('Overzicht BTA'!$C$39=FALSE,'Overzicht BTA'!$C$42= FALSE),_xlfn.CONCAT('Upload AXI - CONF'!$A198,'Upload AXI - CONF'!$B198),"")</f>
        <v>Object.RAM[Z3K2].FlexAO001</v>
      </c>
      <c r="D198" s="871">
        <f>ROUND('uitgebreide raming'!$D$76,2)</f>
        <v>0</v>
      </c>
      <c r="E198" s="872" t="s">
        <v>1002</v>
      </c>
      <c r="F198" s="872" t="s">
        <v>967</v>
      </c>
      <c r="G198" s="872"/>
      <c r="H198" s="874" t="s">
        <v>957</v>
      </c>
      <c r="I198" s="767"/>
      <c r="P198" s="700"/>
    </row>
    <row r="199" spans="1:16" x14ac:dyDescent="0.3">
      <c r="A199" s="889" t="s">
        <v>976</v>
      </c>
      <c r="B199" s="868" t="s">
        <v>1005</v>
      </c>
      <c r="C199" s="872" t="str">
        <f>IF(AND('Overzicht BTA'!$C$39=FALSE,'Overzicht BTA'!$C$42= FALSE),_xlfn.CONCAT('Upload AXI - CONF'!$A199,'Upload AXI - CONF'!$B199),"")</f>
        <v>Object.RAM[Z3K2].FlexA062</v>
      </c>
      <c r="D199" s="878">
        <f>ROUND('uitgebreide raming'!$E$73,2)</f>
        <v>0.21</v>
      </c>
      <c r="E199" s="868" t="s">
        <v>1006</v>
      </c>
      <c r="F199" s="868" t="s">
        <v>967</v>
      </c>
      <c r="G199" s="868"/>
      <c r="H199" s="870"/>
      <c r="I199" s="595"/>
      <c r="P199" s="700"/>
    </row>
    <row r="200" spans="1:16" x14ac:dyDescent="0.3">
      <c r="A200" s="973" t="s">
        <v>976</v>
      </c>
      <c r="B200" s="872" t="s">
        <v>1007</v>
      </c>
      <c r="C200" s="872" t="str">
        <f>IF(AND('Overzicht BTA'!$C$39=FALSE,'Overzicht BTA'!$C$42= FALSE),_xlfn.CONCAT('Upload AXI - CONF'!$A200,'Upload AXI - CONF'!$B200),"")</f>
        <v>Object.RAM[Z3K2].FlexAO002</v>
      </c>
      <c r="D200" s="871">
        <f>ROUND('uitgebreide raming'!$D$73,2)</f>
        <v>0</v>
      </c>
      <c r="E200" s="872" t="s">
        <v>1008</v>
      </c>
      <c r="F200" s="872" t="s">
        <v>967</v>
      </c>
      <c r="G200" s="872"/>
      <c r="H200" s="874"/>
      <c r="I200" s="767"/>
      <c r="P200" s="700"/>
    </row>
    <row r="201" spans="1:16" x14ac:dyDescent="0.3">
      <c r="A201" s="889" t="s">
        <v>976</v>
      </c>
      <c r="B201" s="868" t="s">
        <v>1009</v>
      </c>
      <c r="C201" s="872" t="str">
        <f>IF(AND('Overzicht BTA'!$C$39=FALSE,'Overzicht BTA'!$C$42= FALSE),_xlfn.CONCAT('Upload AXI - CONF'!$A201,'Upload AXI - CONF'!$B201),"")</f>
        <v>Object.RAM[Z3K2].FlexAO003</v>
      </c>
      <c r="D201" s="867">
        <f>ROUND('uitgebreide raming'!$D$80,2)</f>
        <v>0</v>
      </c>
      <c r="E201" s="868" t="s">
        <v>1010</v>
      </c>
      <c r="F201" s="868" t="s">
        <v>967</v>
      </c>
      <c r="G201" s="868"/>
      <c r="H201" s="870" t="s">
        <v>960</v>
      </c>
      <c r="I201" s="767"/>
      <c r="P201" s="700"/>
    </row>
    <row r="202" spans="1:16" x14ac:dyDescent="0.3">
      <c r="A202" s="973" t="s">
        <v>976</v>
      </c>
      <c r="B202" s="872" t="s">
        <v>1011</v>
      </c>
      <c r="C202" s="872" t="str">
        <f>IF(AND('Overzicht BTA'!$C$39=FALSE,'Overzicht BTA'!$C$42= FALSE),_xlfn.CONCAT('Upload AXI - CONF'!$A202,'Upload AXI - CONF'!$B202),"")</f>
        <v>Object.RAM[Z3K2].FlexA101</v>
      </c>
      <c r="D202" s="879">
        <f>ROUND('Overzicht BTA'!$O$8,2)</f>
        <v>0</v>
      </c>
      <c r="E202" s="872" t="s">
        <v>1012</v>
      </c>
      <c r="F202" s="872" t="s">
        <v>967</v>
      </c>
      <c r="G202" s="872"/>
      <c r="H202" s="874"/>
      <c r="I202" s="768"/>
      <c r="P202" s="700"/>
    </row>
    <row r="203" spans="1:16" x14ac:dyDescent="0.3">
      <c r="A203" s="889" t="s">
        <v>976</v>
      </c>
      <c r="B203" s="868" t="s">
        <v>1013</v>
      </c>
      <c r="C203" s="872" t="str">
        <f>IF(AND('Overzicht BTA'!$C$39=FALSE,'Overzicht BTA'!$C$42= FALSE),_xlfn.CONCAT('Upload AXI - CONF'!$A203,'Upload AXI - CONF'!$B203),"")</f>
        <v>Object.RAM[Z3K2].FlexAO004</v>
      </c>
      <c r="D203" s="880">
        <f>ROUND('Overzicht BTA'!$P$8,2)</f>
        <v>0</v>
      </c>
      <c r="E203" s="868" t="s">
        <v>1014</v>
      </c>
      <c r="F203" s="868" t="s">
        <v>967</v>
      </c>
      <c r="G203" s="868"/>
      <c r="H203" s="870"/>
      <c r="I203" s="768"/>
      <c r="P203" s="700"/>
    </row>
    <row r="204" spans="1:16" x14ac:dyDescent="0.3">
      <c r="A204" s="973" t="s">
        <v>976</v>
      </c>
      <c r="B204" s="872" t="s">
        <v>1015</v>
      </c>
      <c r="C204" s="872" t="str">
        <f>IF(AND('Overzicht BTA'!$C$39=FALSE,'Overzicht BTA'!$C$42= FALSE),_xlfn.CONCAT('Upload AXI - CONF'!$A204,'Upload AXI - CONF'!$B204),"")</f>
        <v>Object.RAM[Z3K2].FlexAO005</v>
      </c>
      <c r="D204" s="881">
        <f>ROUND(IFERROR('analyse bij belofte 3'!$D$25,0),2)</f>
        <v>0</v>
      </c>
      <c r="E204" s="872" t="s">
        <v>1016</v>
      </c>
      <c r="F204" s="872" t="s">
        <v>967</v>
      </c>
      <c r="G204" s="872"/>
      <c r="H204" s="874"/>
      <c r="I204" s="595"/>
      <c r="P204" s="700"/>
    </row>
    <row r="205" spans="1:16" x14ac:dyDescent="0.3">
      <c r="A205" s="889" t="s">
        <v>977</v>
      </c>
      <c r="B205" s="868" t="s">
        <v>984</v>
      </c>
      <c r="C205" s="872" t="str">
        <f>IF(AND('Overzicht BTA'!$C$39=FALSE,'Overzicht BTA'!$C$42= FALSE),_xlfn.CONCAT('Upload AXI - CONF'!$A205,'Upload AXI - CONF'!$B205),"")</f>
        <v>Object.RAM[Z3K3].FlexA098</v>
      </c>
      <c r="D205" s="867">
        <f>ROUND('uitgebreide raming'!$F$59,2)</f>
        <v>0</v>
      </c>
      <c r="E205" s="868" t="s">
        <v>985</v>
      </c>
      <c r="F205" s="868" t="s">
        <v>967</v>
      </c>
      <c r="G205" s="868"/>
      <c r="H205" s="870" t="s">
        <v>957</v>
      </c>
      <c r="I205" s="767"/>
      <c r="P205" s="700"/>
    </row>
    <row r="206" spans="1:16" x14ac:dyDescent="0.3">
      <c r="A206" s="973" t="s">
        <v>977</v>
      </c>
      <c r="B206" s="872" t="s">
        <v>986</v>
      </c>
      <c r="C206" s="872" t="str">
        <f>IF(AND('Overzicht BTA'!$C$39=FALSE,'Overzicht BTA'!$C$42= FALSE),_xlfn.CONCAT('Upload AXI - CONF'!$A206,'Upload AXI - CONF'!$B206),"")</f>
        <v>Object.RAM[Z3K3].FlexA087</v>
      </c>
      <c r="D206" s="871">
        <f>ROUND('uitgebreide raming'!$F$60,2)</f>
        <v>0</v>
      </c>
      <c r="E206" s="872" t="s">
        <v>987</v>
      </c>
      <c r="F206" s="872" t="s">
        <v>967</v>
      </c>
      <c r="G206" s="872"/>
      <c r="H206" s="874" t="s">
        <v>957</v>
      </c>
      <c r="I206" s="767"/>
      <c r="P206" s="700"/>
    </row>
    <row r="207" spans="1:16" x14ac:dyDescent="0.3">
      <c r="A207" s="889" t="s">
        <v>977</v>
      </c>
      <c r="B207" s="868" t="s">
        <v>988</v>
      </c>
      <c r="C207" s="872" t="str">
        <f>IF(AND('Overzicht BTA'!$C$39=FALSE,'Overzicht BTA'!$C$42= FALSE),_xlfn.CONCAT('Upload AXI - CONF'!$A207,'Upload AXI - CONF'!$B207),"")</f>
        <v>Object.RAM[Z3K3].FlexA088</v>
      </c>
      <c r="D207" s="867">
        <f>ROUND('uitgebreide raming'!$F$61,2)</f>
        <v>0</v>
      </c>
      <c r="E207" s="868" t="s">
        <v>989</v>
      </c>
      <c r="F207" s="868" t="s">
        <v>967</v>
      </c>
      <c r="G207" s="868"/>
      <c r="H207" s="870" t="s">
        <v>957</v>
      </c>
      <c r="I207" s="767"/>
      <c r="P207" s="700"/>
    </row>
    <row r="208" spans="1:16" x14ac:dyDescent="0.3">
      <c r="A208" s="973" t="s">
        <v>977</v>
      </c>
      <c r="B208" s="872" t="s">
        <v>990</v>
      </c>
      <c r="C208" s="872" t="str">
        <f>IF(AND('Overzicht BTA'!$C$39=FALSE,'Overzicht BTA'!$C$42= FALSE),_xlfn.CONCAT('Upload AXI - CONF'!$A208,'Upload AXI - CONF'!$B208),"")</f>
        <v>Object.RAM[Z3K3].FlexA089</v>
      </c>
      <c r="D208" s="871">
        <f>ROUND('uitgebreide raming'!$F$62,2)</f>
        <v>0</v>
      </c>
      <c r="E208" s="872" t="s">
        <v>991</v>
      </c>
      <c r="F208" s="872" t="s">
        <v>967</v>
      </c>
      <c r="G208" s="872"/>
      <c r="H208" s="874" t="s">
        <v>957</v>
      </c>
      <c r="I208" s="767"/>
      <c r="P208" s="700"/>
    </row>
    <row r="209" spans="1:16" x14ac:dyDescent="0.3">
      <c r="A209" s="889" t="s">
        <v>977</v>
      </c>
      <c r="B209" s="868" t="s">
        <v>992</v>
      </c>
      <c r="C209" s="872" t="str">
        <f>IF(AND('Overzicht BTA'!$C$39=FALSE,'Overzicht BTA'!$C$42= FALSE),_xlfn.CONCAT('Upload AXI - CONF'!$A209,'Upload AXI - CONF'!$B209),"")</f>
        <v>Object.RAM[Z3K3].FlexA102</v>
      </c>
      <c r="D209" s="867">
        <f>'uitgebreide raming'!$F$63</f>
        <v>0</v>
      </c>
      <c r="E209" s="868" t="s">
        <v>994</v>
      </c>
      <c r="F209" s="868" t="s">
        <v>967</v>
      </c>
      <c r="G209" s="868"/>
      <c r="H209" s="870" t="s">
        <v>957</v>
      </c>
      <c r="I209" s="767"/>
      <c r="P209" s="700"/>
    </row>
    <row r="210" spans="1:16" x14ac:dyDescent="0.3">
      <c r="A210" s="973" t="s">
        <v>977</v>
      </c>
      <c r="B210" s="872" t="s">
        <v>995</v>
      </c>
      <c r="C210" s="872" t="str">
        <f>IF(AND('Overzicht BTA'!$C$39=FALSE,'Overzicht BTA'!$C$42= FALSE),_xlfn.CONCAT('Upload AXI - CONF'!$A210,'Upload AXI - CONF'!$B210),"")</f>
        <v>Object.RAM[Z3K3].FlexA090</v>
      </c>
      <c r="D210" s="871">
        <f>ROUND('uitgebreide raming'!$F$64,2)</f>
        <v>0</v>
      </c>
      <c r="E210" s="872" t="s">
        <v>996</v>
      </c>
      <c r="F210" s="872" t="s">
        <v>967</v>
      </c>
      <c r="G210" s="872"/>
      <c r="H210" s="874" t="s">
        <v>957</v>
      </c>
      <c r="I210" s="767"/>
      <c r="P210" s="700"/>
    </row>
    <row r="211" spans="1:16" x14ac:dyDescent="0.3">
      <c r="A211" s="889" t="s">
        <v>977</v>
      </c>
      <c r="B211" s="868" t="s">
        <v>997</v>
      </c>
      <c r="C211" s="872" t="str">
        <f>IF(AND('Overzicht BTA'!$C$39=FALSE,'Overzicht BTA'!$C$42= FALSE),_xlfn.CONCAT('Upload AXI - CONF'!$A211,'Upload AXI - CONF'!$B211),"")</f>
        <v>Object.RAM[Z3K3].FlexA091</v>
      </c>
      <c r="D211" s="867">
        <f>'uitgebreide raming'!$F$65</f>
        <v>0</v>
      </c>
      <c r="E211" s="868" t="s">
        <v>998</v>
      </c>
      <c r="F211" s="868" t="s">
        <v>967</v>
      </c>
      <c r="G211" s="868"/>
      <c r="H211" s="870" t="s">
        <v>957</v>
      </c>
      <c r="I211" s="767"/>
      <c r="P211" s="700"/>
    </row>
    <row r="212" spans="1:16" x14ac:dyDescent="0.3">
      <c r="A212" s="973" t="s">
        <v>977</v>
      </c>
      <c r="B212" s="872" t="s">
        <v>999</v>
      </c>
      <c r="C212" s="872" t="str">
        <f>IF(AND('Overzicht BTA'!$C$39=FALSE,'Overzicht BTA'!$C$42= FALSE),_xlfn.CONCAT('Upload AXI - CONF'!$A212,'Upload AXI - CONF'!$B212),"")</f>
        <v>Object.RAM[Z3K3].FlexA097</v>
      </c>
      <c r="D212" s="871">
        <f>ROUND('uitgebreide raming'!$F$67,2)</f>
        <v>0</v>
      </c>
      <c r="E212" s="872" t="s">
        <v>1000</v>
      </c>
      <c r="F212" s="872" t="s">
        <v>967</v>
      </c>
      <c r="G212" s="872"/>
      <c r="H212" s="874" t="s">
        <v>957</v>
      </c>
      <c r="I212" s="767"/>
      <c r="P212" s="700"/>
    </row>
    <row r="213" spans="1:16" x14ac:dyDescent="0.3">
      <c r="A213" s="889" t="s">
        <v>977</v>
      </c>
      <c r="B213" s="868" t="s">
        <v>1003</v>
      </c>
      <c r="C213" s="872" t="str">
        <f>IF(AND('Overzicht BTA'!$C$39=FALSE,'Overzicht BTA'!$C$42= FALSE),_xlfn.CONCAT('Upload AXI - CONF'!$A213,'Upload AXI - CONF'!$B213),"")</f>
        <v>Object.RAM[Z3K3].FlexAO400</v>
      </c>
      <c r="D213" s="867">
        <f>ROUND('uitgebreide raming'!$F$68,2)</f>
        <v>0</v>
      </c>
      <c r="E213" s="868" t="s">
        <v>1004</v>
      </c>
      <c r="F213" s="868" t="s">
        <v>967</v>
      </c>
      <c r="G213" s="868"/>
      <c r="H213" s="870" t="s">
        <v>957</v>
      </c>
      <c r="I213" s="767"/>
      <c r="P213" s="700"/>
    </row>
    <row r="214" spans="1:16" x14ac:dyDescent="0.3">
      <c r="A214" s="973" t="s">
        <v>977</v>
      </c>
      <c r="B214" s="872" t="s">
        <v>1001</v>
      </c>
      <c r="C214" s="872" t="str">
        <f>IF(AND('Overzicht BTA'!$C$39=FALSE,'Overzicht BTA'!$C$42= FALSE),_xlfn.CONCAT('Upload AXI - CONF'!$A214,'Upload AXI - CONF'!$B214),"")</f>
        <v>Object.RAM[Z3K3].FlexAO001</v>
      </c>
      <c r="D214" s="871">
        <f>ROUND('uitgebreide raming'!$F$76,2)</f>
        <v>0</v>
      </c>
      <c r="E214" s="872" t="s">
        <v>1002</v>
      </c>
      <c r="F214" s="872" t="s">
        <v>967</v>
      </c>
      <c r="G214" s="872"/>
      <c r="H214" s="874" t="s">
        <v>957</v>
      </c>
      <c r="I214" s="767"/>
      <c r="P214" s="700"/>
    </row>
    <row r="215" spans="1:16" x14ac:dyDescent="0.3">
      <c r="A215" s="889" t="s">
        <v>977</v>
      </c>
      <c r="B215" s="868" t="s">
        <v>1005</v>
      </c>
      <c r="C215" s="872" t="str">
        <f>IF(AND('Overzicht BTA'!$C$39=FALSE,'Overzicht BTA'!$C$42= FALSE),_xlfn.CONCAT('Upload AXI - CONF'!$A215,'Upload AXI - CONF'!$B215),"")</f>
        <v>Object.RAM[Z3K3].FlexA062</v>
      </c>
      <c r="D215" s="878">
        <f>ROUND('uitgebreide raming'!$G$73,2)</f>
        <v>0.21</v>
      </c>
      <c r="E215" s="868" t="s">
        <v>1006</v>
      </c>
      <c r="F215" s="868" t="s">
        <v>967</v>
      </c>
      <c r="G215" s="868"/>
      <c r="H215" s="870"/>
      <c r="I215" s="595"/>
      <c r="P215" s="700"/>
    </row>
    <row r="216" spans="1:16" x14ac:dyDescent="0.3">
      <c r="A216" s="973" t="s">
        <v>977</v>
      </c>
      <c r="B216" s="872" t="s">
        <v>1007</v>
      </c>
      <c r="C216" s="872" t="str">
        <f>IF(AND('Overzicht BTA'!$C$39=FALSE,'Overzicht BTA'!$C$42= FALSE),_xlfn.CONCAT('Upload AXI - CONF'!$A216,'Upload AXI - CONF'!$B216),"")</f>
        <v>Object.RAM[Z3K3].FlexAO002</v>
      </c>
      <c r="D216" s="871">
        <f>ROUND('uitgebreide raming'!$F$73,2)</f>
        <v>0</v>
      </c>
      <c r="E216" s="872" t="s">
        <v>1008</v>
      </c>
      <c r="F216" s="872" t="s">
        <v>967</v>
      </c>
      <c r="G216" s="872"/>
      <c r="H216" s="874"/>
      <c r="I216" s="767"/>
      <c r="P216" s="700"/>
    </row>
    <row r="217" spans="1:16" x14ac:dyDescent="0.3">
      <c r="A217" s="889" t="s">
        <v>977</v>
      </c>
      <c r="B217" s="868" t="s">
        <v>1009</v>
      </c>
      <c r="C217" s="872" t="str">
        <f>IF(AND('Overzicht BTA'!$C$39=FALSE,'Overzicht BTA'!$C$42= FALSE),_xlfn.CONCAT('Upload AXI - CONF'!$A217,'Upload AXI - CONF'!$B217),"")</f>
        <v>Object.RAM[Z3K3].FlexAO003</v>
      </c>
      <c r="D217" s="867">
        <f>ROUND('uitgebreide raming'!$F$80,2)</f>
        <v>0</v>
      </c>
      <c r="E217" s="868" t="s">
        <v>1010</v>
      </c>
      <c r="F217" s="868" t="s">
        <v>967</v>
      </c>
      <c r="G217" s="868"/>
      <c r="H217" s="870" t="s">
        <v>960</v>
      </c>
      <c r="I217" s="767"/>
      <c r="P217" s="700"/>
    </row>
    <row r="218" spans="1:16" x14ac:dyDescent="0.3">
      <c r="A218" s="973" t="s">
        <v>977</v>
      </c>
      <c r="B218" s="872" t="s">
        <v>1011</v>
      </c>
      <c r="C218" s="872" t="str">
        <f>IF(AND('Overzicht BTA'!$C$39=FALSE,'Overzicht BTA'!$C$42= FALSE),_xlfn.CONCAT('Upload AXI - CONF'!$A218,'Upload AXI - CONF'!$B218),"")</f>
        <v>Object.RAM[Z3K3].FlexA101</v>
      </c>
      <c r="D218" s="879">
        <f>ROUND('Overzicht BTA'!$O$9,2)</f>
        <v>0</v>
      </c>
      <c r="E218" s="872" t="s">
        <v>1012</v>
      </c>
      <c r="F218" s="872" t="s">
        <v>967</v>
      </c>
      <c r="G218" s="872"/>
      <c r="H218" s="874"/>
      <c r="I218" s="768"/>
      <c r="P218" s="700"/>
    </row>
    <row r="219" spans="1:16" x14ac:dyDescent="0.3">
      <c r="A219" s="889" t="s">
        <v>977</v>
      </c>
      <c r="B219" s="868" t="s">
        <v>1013</v>
      </c>
      <c r="C219" s="872" t="str">
        <f>IF(AND('Overzicht BTA'!$C$39=FALSE,'Overzicht BTA'!$C$42= FALSE),_xlfn.CONCAT('Upload AXI - CONF'!$A219,'Upload AXI - CONF'!$B219),"")</f>
        <v>Object.RAM[Z3K3].FlexAO004</v>
      </c>
      <c r="D219" s="880">
        <f>ROUND('Overzicht BTA'!$P$9,2)</f>
        <v>0</v>
      </c>
      <c r="E219" s="868" t="s">
        <v>1014</v>
      </c>
      <c r="F219" s="868" t="s">
        <v>967</v>
      </c>
      <c r="G219" s="868"/>
      <c r="H219" s="870"/>
      <c r="I219" s="768"/>
      <c r="P219" s="700"/>
    </row>
    <row r="220" spans="1:16" x14ac:dyDescent="0.3">
      <c r="A220" s="973" t="s">
        <v>977</v>
      </c>
      <c r="B220" s="872" t="s">
        <v>1015</v>
      </c>
      <c r="C220" s="872" t="str">
        <f>IF(AND('Overzicht BTA'!$C$39=FALSE,'Overzicht BTA'!$C$42= FALSE),_xlfn.CONCAT('Upload AXI - CONF'!$A220,'Upload AXI - CONF'!$B220),"")</f>
        <v>Object.RAM[Z3K3].FlexAO005</v>
      </c>
      <c r="D220" s="881">
        <f>ROUND(IFERROR('analyse bij belofte 3'!$F$25,0),2)</f>
        <v>0</v>
      </c>
      <c r="E220" s="872" t="s">
        <v>1016</v>
      </c>
      <c r="F220" s="872" t="s">
        <v>967</v>
      </c>
      <c r="G220" s="872"/>
      <c r="H220" s="874"/>
      <c r="I220" s="595"/>
      <c r="P220" s="700"/>
    </row>
    <row r="221" spans="1:16" x14ac:dyDescent="0.3">
      <c r="A221" s="889" t="s">
        <v>978</v>
      </c>
      <c r="B221" s="868" t="s">
        <v>984</v>
      </c>
      <c r="C221" s="872" t="str">
        <f>IF(AND('Overzicht BTA'!$C$39=FALSE,'Overzicht BTA'!$C$42= FALSE),_xlfn.CONCAT('Upload AXI - CONF'!$A221,'Upload AXI - CONF'!$B221),"")</f>
        <v>Object.RAM[Z3K4].FlexA098</v>
      </c>
      <c r="D221" s="867">
        <f>ROUND('uitgebreide raming'!$H$59,2)</f>
        <v>0</v>
      </c>
      <c r="E221" s="868" t="s">
        <v>985</v>
      </c>
      <c r="F221" s="868" t="s">
        <v>967</v>
      </c>
      <c r="G221" s="868"/>
      <c r="H221" s="870" t="s">
        <v>957</v>
      </c>
      <c r="I221" s="767"/>
      <c r="P221" s="700"/>
    </row>
    <row r="222" spans="1:16" x14ac:dyDescent="0.3">
      <c r="A222" s="973" t="s">
        <v>978</v>
      </c>
      <c r="B222" s="872" t="s">
        <v>986</v>
      </c>
      <c r="C222" s="872" t="str">
        <f>IF(AND('Overzicht BTA'!$C$39=FALSE,'Overzicht BTA'!$C$42= FALSE),_xlfn.CONCAT('Upload AXI - CONF'!$A222,'Upload AXI - CONF'!$B222),"")</f>
        <v>Object.RAM[Z3K4].FlexA087</v>
      </c>
      <c r="D222" s="871">
        <f>ROUND('uitgebreide raming'!$H$60,2)</f>
        <v>0</v>
      </c>
      <c r="E222" s="872" t="s">
        <v>987</v>
      </c>
      <c r="F222" s="872" t="s">
        <v>967</v>
      </c>
      <c r="G222" s="872"/>
      <c r="H222" s="874" t="s">
        <v>957</v>
      </c>
      <c r="I222" s="767"/>
      <c r="P222" s="700"/>
    </row>
    <row r="223" spans="1:16" x14ac:dyDescent="0.3">
      <c r="A223" s="889" t="s">
        <v>978</v>
      </c>
      <c r="B223" s="868" t="s">
        <v>988</v>
      </c>
      <c r="C223" s="872" t="str">
        <f>IF(AND('Overzicht BTA'!$C$39=FALSE,'Overzicht BTA'!$C$42= FALSE),_xlfn.CONCAT('Upload AXI - CONF'!$A223,'Upload AXI - CONF'!$B223),"")</f>
        <v>Object.RAM[Z3K4].FlexA088</v>
      </c>
      <c r="D223" s="867">
        <f>ROUND('uitgebreide raming'!$H$61,2)</f>
        <v>0</v>
      </c>
      <c r="E223" s="868" t="s">
        <v>989</v>
      </c>
      <c r="F223" s="868" t="s">
        <v>967</v>
      </c>
      <c r="G223" s="868"/>
      <c r="H223" s="870" t="s">
        <v>957</v>
      </c>
      <c r="I223" s="767"/>
      <c r="P223" s="700"/>
    </row>
    <row r="224" spans="1:16" x14ac:dyDescent="0.3">
      <c r="A224" s="973" t="s">
        <v>978</v>
      </c>
      <c r="B224" s="872" t="s">
        <v>990</v>
      </c>
      <c r="C224" s="872" t="str">
        <f>IF(AND('Overzicht BTA'!$C$39=FALSE,'Overzicht BTA'!$C$42= FALSE),_xlfn.CONCAT('Upload AXI - CONF'!$A224,'Upload AXI - CONF'!$B224),"")</f>
        <v>Object.RAM[Z3K4].FlexA089</v>
      </c>
      <c r="D224" s="871">
        <f>ROUND('uitgebreide raming'!$H$62,2)</f>
        <v>0</v>
      </c>
      <c r="E224" s="872" t="s">
        <v>991</v>
      </c>
      <c r="F224" s="872" t="s">
        <v>967</v>
      </c>
      <c r="G224" s="872"/>
      <c r="H224" s="874" t="s">
        <v>957</v>
      </c>
      <c r="I224" s="767"/>
      <c r="P224" s="700"/>
    </row>
    <row r="225" spans="1:16" x14ac:dyDescent="0.3">
      <c r="A225" s="889" t="s">
        <v>978</v>
      </c>
      <c r="B225" s="868" t="s">
        <v>992</v>
      </c>
      <c r="C225" s="872" t="str">
        <f>IF(AND('Overzicht BTA'!$C$39=FALSE,'Overzicht BTA'!$C$42= FALSE),_xlfn.CONCAT('Upload AXI - CONF'!$A225,'Upload AXI - CONF'!$B225),"")</f>
        <v>Object.RAM[Z3K4].FlexA102</v>
      </c>
      <c r="D225" s="867">
        <f>'uitgebreide raming'!$H$63</f>
        <v>0</v>
      </c>
      <c r="E225" s="868" t="s">
        <v>994</v>
      </c>
      <c r="F225" s="868" t="s">
        <v>967</v>
      </c>
      <c r="G225" s="868"/>
      <c r="H225" s="870" t="s">
        <v>957</v>
      </c>
      <c r="I225" s="767"/>
      <c r="P225" s="700"/>
    </row>
    <row r="226" spans="1:16" x14ac:dyDescent="0.3">
      <c r="A226" s="973" t="s">
        <v>978</v>
      </c>
      <c r="B226" s="872" t="s">
        <v>995</v>
      </c>
      <c r="C226" s="872" t="str">
        <f>IF(AND('Overzicht BTA'!$C$39=FALSE,'Overzicht BTA'!$C$42= FALSE),_xlfn.CONCAT('Upload AXI - CONF'!$A226,'Upload AXI - CONF'!$B226),"")</f>
        <v>Object.RAM[Z3K4].FlexA090</v>
      </c>
      <c r="D226" s="871">
        <f>ROUND('uitgebreide raming'!$H$64,2)</f>
        <v>0</v>
      </c>
      <c r="E226" s="872" t="s">
        <v>996</v>
      </c>
      <c r="F226" s="872" t="s">
        <v>967</v>
      </c>
      <c r="G226" s="872"/>
      <c r="H226" s="874" t="s">
        <v>957</v>
      </c>
      <c r="I226" s="767"/>
      <c r="P226" s="700"/>
    </row>
    <row r="227" spans="1:16" x14ac:dyDescent="0.3">
      <c r="A227" s="889" t="s">
        <v>978</v>
      </c>
      <c r="B227" s="868" t="s">
        <v>997</v>
      </c>
      <c r="C227" s="872" t="str">
        <f>IF(AND('Overzicht BTA'!$C$39=FALSE,'Overzicht BTA'!$C$42= FALSE),_xlfn.CONCAT('Upload AXI - CONF'!$A227,'Upload AXI - CONF'!$B227),"")</f>
        <v>Object.RAM[Z3K4].FlexA091</v>
      </c>
      <c r="D227" s="867">
        <f>'uitgebreide raming'!$H$65</f>
        <v>0</v>
      </c>
      <c r="E227" s="868" t="s">
        <v>998</v>
      </c>
      <c r="F227" s="868" t="s">
        <v>967</v>
      </c>
      <c r="G227" s="868"/>
      <c r="H227" s="870" t="s">
        <v>957</v>
      </c>
      <c r="I227" s="767"/>
      <c r="P227" s="700"/>
    </row>
    <row r="228" spans="1:16" x14ac:dyDescent="0.3">
      <c r="A228" s="973" t="s">
        <v>978</v>
      </c>
      <c r="B228" s="872" t="s">
        <v>999</v>
      </c>
      <c r="C228" s="872" t="str">
        <f>IF(AND('Overzicht BTA'!$C$39=FALSE,'Overzicht BTA'!$C$42= FALSE),_xlfn.CONCAT('Upload AXI - CONF'!$A228,'Upload AXI - CONF'!$B228),"")</f>
        <v>Object.RAM[Z3K4].FlexA097</v>
      </c>
      <c r="D228" s="871">
        <f>ROUND('uitgebreide raming'!$H$67,2)</f>
        <v>0</v>
      </c>
      <c r="E228" s="872" t="s">
        <v>1000</v>
      </c>
      <c r="F228" s="872" t="s">
        <v>967</v>
      </c>
      <c r="G228" s="872"/>
      <c r="H228" s="874" t="s">
        <v>957</v>
      </c>
      <c r="I228" s="767"/>
      <c r="P228" s="700"/>
    </row>
    <row r="229" spans="1:16" x14ac:dyDescent="0.3">
      <c r="A229" s="889" t="s">
        <v>978</v>
      </c>
      <c r="B229" s="868" t="s">
        <v>1003</v>
      </c>
      <c r="C229" s="872" t="str">
        <f>IF(AND('Overzicht BTA'!$C$39=FALSE,'Overzicht BTA'!$C$42= FALSE),_xlfn.CONCAT('Upload AXI - CONF'!$A229,'Upload AXI - CONF'!$B229),"")</f>
        <v>Object.RAM[Z3K4].FlexAO400</v>
      </c>
      <c r="D229" s="867">
        <f>ROUND('uitgebreide raming'!$H$68,2)</f>
        <v>0</v>
      </c>
      <c r="E229" s="868" t="s">
        <v>1004</v>
      </c>
      <c r="F229" s="868" t="s">
        <v>967</v>
      </c>
      <c r="G229" s="868"/>
      <c r="H229" s="870" t="s">
        <v>957</v>
      </c>
      <c r="I229" s="767"/>
      <c r="P229" s="700"/>
    </row>
    <row r="230" spans="1:16" x14ac:dyDescent="0.3">
      <c r="A230" s="973" t="s">
        <v>978</v>
      </c>
      <c r="B230" s="872" t="s">
        <v>1001</v>
      </c>
      <c r="C230" s="872" t="str">
        <f>IF(AND('Overzicht BTA'!$C$39=FALSE,'Overzicht BTA'!$C$42= FALSE),_xlfn.CONCAT('Upload AXI - CONF'!$A230,'Upload AXI - CONF'!$B230),"")</f>
        <v>Object.RAM[Z3K4].FlexAO001</v>
      </c>
      <c r="D230" s="871">
        <f>ROUND('uitgebreide raming'!$H$76,2)</f>
        <v>0</v>
      </c>
      <c r="E230" s="872" t="s">
        <v>1002</v>
      </c>
      <c r="F230" s="872" t="s">
        <v>967</v>
      </c>
      <c r="G230" s="872"/>
      <c r="H230" s="874" t="s">
        <v>957</v>
      </c>
      <c r="I230" s="767"/>
      <c r="P230" s="700"/>
    </row>
    <row r="231" spans="1:16" x14ac:dyDescent="0.3">
      <c r="A231" s="889" t="s">
        <v>978</v>
      </c>
      <c r="B231" s="868" t="s">
        <v>1005</v>
      </c>
      <c r="C231" s="872" t="str">
        <f>IF(AND('Overzicht BTA'!$C$39=FALSE,'Overzicht BTA'!$C$42= FALSE),_xlfn.CONCAT('Upload AXI - CONF'!$A231,'Upload AXI - CONF'!$B231),"")</f>
        <v>Object.RAM[Z3K4].FlexA062</v>
      </c>
      <c r="D231" s="878">
        <f>ROUND('uitgebreide raming'!$I$73,2)</f>
        <v>0.21</v>
      </c>
      <c r="E231" s="868" t="s">
        <v>1006</v>
      </c>
      <c r="F231" s="868" t="s">
        <v>967</v>
      </c>
      <c r="G231" s="868"/>
      <c r="H231" s="870"/>
      <c r="I231" s="595"/>
      <c r="P231" s="700"/>
    </row>
    <row r="232" spans="1:16" x14ac:dyDescent="0.3">
      <c r="A232" s="973" t="s">
        <v>978</v>
      </c>
      <c r="B232" s="872" t="s">
        <v>1007</v>
      </c>
      <c r="C232" s="872" t="str">
        <f>IF(AND('Overzicht BTA'!$C$39=FALSE,'Overzicht BTA'!$C$42= FALSE),_xlfn.CONCAT('Upload AXI - CONF'!$A232,'Upload AXI - CONF'!$B232),"")</f>
        <v>Object.RAM[Z3K4].FlexAO002</v>
      </c>
      <c r="D232" s="871">
        <f>ROUND('uitgebreide raming'!$H$73,2)</f>
        <v>0</v>
      </c>
      <c r="E232" s="872" t="s">
        <v>1008</v>
      </c>
      <c r="F232" s="872" t="s">
        <v>967</v>
      </c>
      <c r="G232" s="872"/>
      <c r="H232" s="874"/>
      <c r="I232" s="767"/>
      <c r="P232" s="700"/>
    </row>
    <row r="233" spans="1:16" x14ac:dyDescent="0.3">
      <c r="A233" s="889" t="s">
        <v>978</v>
      </c>
      <c r="B233" s="868" t="s">
        <v>1009</v>
      </c>
      <c r="C233" s="872" t="str">
        <f>IF(AND('Overzicht BTA'!$C$39=FALSE,'Overzicht BTA'!$C$42= FALSE),_xlfn.CONCAT('Upload AXI - CONF'!$A233,'Upload AXI - CONF'!$B233),"")</f>
        <v>Object.RAM[Z3K4].FlexAO003</v>
      </c>
      <c r="D233" s="867">
        <f>ROUND('uitgebreide raming'!$H$80,2)</f>
        <v>0</v>
      </c>
      <c r="E233" s="868" t="s">
        <v>1010</v>
      </c>
      <c r="F233" s="868" t="s">
        <v>967</v>
      </c>
      <c r="G233" s="868"/>
      <c r="H233" s="870" t="s">
        <v>960</v>
      </c>
      <c r="I233" s="767"/>
      <c r="P233" s="700"/>
    </row>
    <row r="234" spans="1:16" x14ac:dyDescent="0.3">
      <c r="A234" s="973" t="s">
        <v>978</v>
      </c>
      <c r="B234" s="872" t="s">
        <v>1011</v>
      </c>
      <c r="C234" s="872" t="str">
        <f>IF(AND('Overzicht BTA'!$C$39=FALSE,'Overzicht BTA'!$C$42= FALSE),_xlfn.CONCAT('Upload AXI - CONF'!$A234,'Upload AXI - CONF'!$B234),"")</f>
        <v>Object.RAM[Z3K4].FlexA101</v>
      </c>
      <c r="D234" s="879">
        <f>ROUND('Overzicht BTA'!$O$10,2)</f>
        <v>0</v>
      </c>
      <c r="E234" s="872" t="s">
        <v>1012</v>
      </c>
      <c r="F234" s="872" t="s">
        <v>967</v>
      </c>
      <c r="G234" s="872"/>
      <c r="H234" s="874"/>
      <c r="I234" s="768"/>
      <c r="P234" s="700"/>
    </row>
    <row r="235" spans="1:16" x14ac:dyDescent="0.3">
      <c r="A235" s="889" t="s">
        <v>978</v>
      </c>
      <c r="B235" s="868" t="s">
        <v>1013</v>
      </c>
      <c r="C235" s="872" t="str">
        <f>IF(AND('Overzicht BTA'!$C$39=FALSE,'Overzicht BTA'!$C$42= FALSE),_xlfn.CONCAT('Upload AXI - CONF'!$A235,'Upload AXI - CONF'!$B235),"")</f>
        <v>Object.RAM[Z3K4].FlexAO004</v>
      </c>
      <c r="D235" s="880">
        <f>ROUND('Overzicht BTA'!$P$10,2)</f>
        <v>0</v>
      </c>
      <c r="E235" s="868" t="s">
        <v>1014</v>
      </c>
      <c r="F235" s="868" t="s">
        <v>967</v>
      </c>
      <c r="G235" s="868"/>
      <c r="H235" s="870"/>
      <c r="I235" s="768"/>
      <c r="P235" s="700"/>
    </row>
    <row r="236" spans="1:16" x14ac:dyDescent="0.3">
      <c r="A236" s="973" t="s">
        <v>978</v>
      </c>
      <c r="B236" s="872" t="s">
        <v>1015</v>
      </c>
      <c r="C236" s="872" t="str">
        <f>IF(AND('Overzicht BTA'!$C$39=FALSE,'Overzicht BTA'!$C$42= FALSE),_xlfn.CONCAT('Upload AXI - CONF'!$A236,'Upload AXI - CONF'!$B236),"")</f>
        <v>Object.RAM[Z3K4].FlexAO005</v>
      </c>
      <c r="D236" s="881">
        <f>ROUND(IFERROR('analyse bij belofte 3'!$H$25,0),2)</f>
        <v>0</v>
      </c>
      <c r="E236" s="872" t="s">
        <v>1016</v>
      </c>
      <c r="F236" s="872" t="s">
        <v>967</v>
      </c>
      <c r="G236" s="872"/>
      <c r="H236" s="874"/>
      <c r="I236" s="595"/>
      <c r="P236" s="700"/>
    </row>
    <row r="237" spans="1:16" x14ac:dyDescent="0.3">
      <c r="A237" s="889" t="s">
        <v>1017</v>
      </c>
      <c r="B237" s="868" t="s">
        <v>984</v>
      </c>
      <c r="C237" s="867" t="str">
        <f>IF(AND('Overzicht BTA'!$C$39=TRUE,'Overzicht BTA'!$C$42= FALSE),_xlfn.CONCAT('Upload AXI - CONF'!$A237,'Upload AXI - CONF'!$B237),"")</f>
        <v/>
      </c>
      <c r="D237" s="867">
        <f>ROUND('uitgebreide raming_gewijzigd'!$B$5,2)</f>
        <v>0</v>
      </c>
      <c r="E237" s="868" t="s">
        <v>985</v>
      </c>
      <c r="F237" s="868" t="s">
        <v>1018</v>
      </c>
      <c r="G237" s="868"/>
      <c r="H237" s="870" t="s">
        <v>957</v>
      </c>
      <c r="I237" s="767"/>
      <c r="P237" s="700"/>
    </row>
    <row r="238" spans="1:16" x14ac:dyDescent="0.3">
      <c r="A238" s="973" t="s">
        <v>1017</v>
      </c>
      <c r="B238" s="872" t="s">
        <v>986</v>
      </c>
      <c r="C238" s="867" t="str">
        <f>IF(AND('Overzicht BTA'!$C$39=TRUE,'Overzicht BTA'!$C$42= FALSE),_xlfn.CONCAT('Upload AXI - CONF'!$A238,'Upload AXI - CONF'!$B238),"")</f>
        <v/>
      </c>
      <c r="D238" s="871">
        <f>ROUND('uitgebreide raming_gewijzigd'!$B$6,2)</f>
        <v>0</v>
      </c>
      <c r="E238" s="872" t="s">
        <v>987</v>
      </c>
      <c r="F238" s="872" t="s">
        <v>1018</v>
      </c>
      <c r="G238" s="872"/>
      <c r="H238" s="874" t="s">
        <v>957</v>
      </c>
      <c r="I238" s="767"/>
      <c r="P238" s="700"/>
    </row>
    <row r="239" spans="1:16" x14ac:dyDescent="0.3">
      <c r="A239" s="889" t="s">
        <v>1017</v>
      </c>
      <c r="B239" s="868" t="s">
        <v>988</v>
      </c>
      <c r="C239" s="867" t="str">
        <f>IF(AND('Overzicht BTA'!$C$39=TRUE,'Overzicht BTA'!$C$42= FALSE),_xlfn.CONCAT('Upload AXI - CONF'!$A239,'Upload AXI - CONF'!$B239),"")</f>
        <v/>
      </c>
      <c r="D239" s="867">
        <f>ROUND('uitgebreide raming_gewijzigd'!$B$7,2)</f>
        <v>0</v>
      </c>
      <c r="E239" s="868" t="s">
        <v>989</v>
      </c>
      <c r="F239" s="868" t="s">
        <v>1018</v>
      </c>
      <c r="G239" s="868"/>
      <c r="H239" s="870" t="s">
        <v>957</v>
      </c>
      <c r="I239" s="767"/>
      <c r="P239" s="700"/>
    </row>
    <row r="240" spans="1:16" x14ac:dyDescent="0.3">
      <c r="A240" s="973" t="s">
        <v>1017</v>
      </c>
      <c r="B240" s="872" t="s">
        <v>990</v>
      </c>
      <c r="C240" s="867" t="str">
        <f>IF(AND('Overzicht BTA'!$C$39=TRUE,'Overzicht BTA'!$C$42= FALSE),_xlfn.CONCAT('Upload AXI - CONF'!$A240,'Upload AXI - CONF'!$B240),"")</f>
        <v/>
      </c>
      <c r="D240" s="871">
        <f>ROUND('uitgebreide raming_gewijzigd'!$B$8,2)</f>
        <v>0</v>
      </c>
      <c r="E240" s="872" t="s">
        <v>991</v>
      </c>
      <c r="F240" s="872" t="s">
        <v>1018</v>
      </c>
      <c r="G240" s="872"/>
      <c r="H240" s="874" t="s">
        <v>957</v>
      </c>
      <c r="I240" s="767"/>
      <c r="P240" s="700"/>
    </row>
    <row r="241" spans="1:16" x14ac:dyDescent="0.3">
      <c r="A241" s="889" t="s">
        <v>1017</v>
      </c>
      <c r="B241" s="868" t="s">
        <v>992</v>
      </c>
      <c r="C241" s="867" t="str">
        <f>IF(AND('Overzicht BTA'!$C$39=TRUE,'Overzicht BTA'!$C$42= FALSE),_xlfn.CONCAT('Upload AXI - CONF'!$A241,'Upload AXI - CONF'!$B241),"")</f>
        <v/>
      </c>
      <c r="D241" s="867">
        <f>ROUND('uitgebreide raming_gewijzigd'!$B$9,2)</f>
        <v>0</v>
      </c>
      <c r="E241" s="868" t="s">
        <v>994</v>
      </c>
      <c r="F241" s="868" t="s">
        <v>1018</v>
      </c>
      <c r="G241" s="868"/>
      <c r="H241" s="870" t="s">
        <v>957</v>
      </c>
      <c r="I241" s="767"/>
      <c r="P241" s="700"/>
    </row>
    <row r="242" spans="1:16" x14ac:dyDescent="0.3">
      <c r="A242" s="973" t="s">
        <v>1017</v>
      </c>
      <c r="B242" s="872" t="s">
        <v>995</v>
      </c>
      <c r="C242" s="867" t="str">
        <f>IF(AND('Overzicht BTA'!$C$39=TRUE,'Overzicht BTA'!$C$42= FALSE),_xlfn.CONCAT('Upload AXI - CONF'!$A242,'Upload AXI - CONF'!$B242),"")</f>
        <v/>
      </c>
      <c r="D242" s="871">
        <f>ROUND('uitgebreide raming_gewijzigd'!$B$10,2)</f>
        <v>0</v>
      </c>
      <c r="E242" s="872" t="s">
        <v>996</v>
      </c>
      <c r="F242" s="872" t="s">
        <v>1018</v>
      </c>
      <c r="G242" s="872"/>
      <c r="H242" s="874" t="s">
        <v>957</v>
      </c>
      <c r="I242" s="767"/>
      <c r="P242" s="700"/>
    </row>
    <row r="243" spans="1:16" x14ac:dyDescent="0.3">
      <c r="A243" s="889" t="s">
        <v>1017</v>
      </c>
      <c r="B243" s="868" t="s">
        <v>997</v>
      </c>
      <c r="C243" s="867" t="str">
        <f>IF(AND('Overzicht BTA'!$C$39=TRUE,'Overzicht BTA'!$C$42= FALSE),_xlfn.CONCAT('Upload AXI - CONF'!$A243,'Upload AXI - CONF'!$B243),"")</f>
        <v/>
      </c>
      <c r="D243" s="867">
        <f>ROUND('uitgebreide raming_gewijzigd'!$B$11,2)</f>
        <v>0</v>
      </c>
      <c r="E243" s="868" t="s">
        <v>998</v>
      </c>
      <c r="F243" s="868" t="s">
        <v>1018</v>
      </c>
      <c r="G243" s="868"/>
      <c r="H243" s="870" t="s">
        <v>957</v>
      </c>
      <c r="I243" s="767"/>
      <c r="P243" s="700"/>
    </row>
    <row r="244" spans="1:16" x14ac:dyDescent="0.3">
      <c r="A244" s="973" t="s">
        <v>1017</v>
      </c>
      <c r="B244" s="872" t="s">
        <v>999</v>
      </c>
      <c r="C244" s="867" t="str">
        <f>IF(AND('Overzicht BTA'!$C$39=TRUE,'Overzicht BTA'!$C$42= FALSE),_xlfn.CONCAT('Upload AXI - CONF'!$A244,'Upload AXI - CONF'!$B244),"")</f>
        <v/>
      </c>
      <c r="D244" s="871">
        <f>ROUND('uitgebreide raming_gewijzigd'!$B$13,2)</f>
        <v>0</v>
      </c>
      <c r="E244" s="872" t="s">
        <v>1000</v>
      </c>
      <c r="F244" s="872" t="s">
        <v>1018</v>
      </c>
      <c r="G244" s="872"/>
      <c r="H244" s="874" t="s">
        <v>957</v>
      </c>
      <c r="I244" s="767"/>
      <c r="P244" s="700"/>
    </row>
    <row r="245" spans="1:16" x14ac:dyDescent="0.3">
      <c r="A245" s="889" t="s">
        <v>1017</v>
      </c>
      <c r="B245" s="868" t="s">
        <v>1003</v>
      </c>
      <c r="C245" s="867" t="str">
        <f>IF(AND('Overzicht BTA'!$C$39=TRUE,'Overzicht BTA'!$C$42= FALSE),_xlfn.CONCAT('Upload AXI - CONF'!$A245,'Upload AXI - CONF'!$B245),"")</f>
        <v/>
      </c>
      <c r="D245" s="867">
        <f>ROUND('uitgebreide raming_gewijzigd'!$B$14,2)</f>
        <v>0</v>
      </c>
      <c r="E245" s="868" t="s">
        <v>1004</v>
      </c>
      <c r="F245" s="868" t="s">
        <v>1018</v>
      </c>
      <c r="G245" s="868"/>
      <c r="H245" s="870" t="s">
        <v>957</v>
      </c>
      <c r="I245" s="767"/>
      <c r="P245" s="700"/>
    </row>
    <row r="246" spans="1:16" x14ac:dyDescent="0.3">
      <c r="A246" s="973" t="s">
        <v>1017</v>
      </c>
      <c r="B246" s="872" t="s">
        <v>1001</v>
      </c>
      <c r="C246" s="867" t="str">
        <f>IF(AND('Overzicht BTA'!$C$39=TRUE,'Overzicht BTA'!$C$42= FALSE),_xlfn.CONCAT('Upload AXI - CONF'!$A246,'Upload AXI - CONF'!$B246),"")</f>
        <v/>
      </c>
      <c r="D246" s="871">
        <f>ROUND('uitgebreide raming_gewijzigd'!$H$76,2)</f>
        <v>0</v>
      </c>
      <c r="E246" s="872" t="s">
        <v>1002</v>
      </c>
      <c r="F246" s="872" t="s">
        <v>1018</v>
      </c>
      <c r="G246" s="872"/>
      <c r="H246" s="874" t="s">
        <v>957</v>
      </c>
      <c r="I246" s="767"/>
      <c r="P246" s="700"/>
    </row>
    <row r="247" spans="1:16" x14ac:dyDescent="0.3">
      <c r="A247" s="889" t="s">
        <v>1017</v>
      </c>
      <c r="B247" s="868" t="s">
        <v>1005</v>
      </c>
      <c r="C247" s="867" t="str">
        <f>IF(AND('Overzicht BTA'!$C$39=TRUE,'Overzicht BTA'!$C$42= FALSE),_xlfn.CONCAT('Upload AXI - CONF'!$A247,'Upload AXI - CONF'!$B247),"")</f>
        <v/>
      </c>
      <c r="D247" s="878">
        <f>'uitgebreide raming_gewijzigd'!$C$19</f>
        <v>0.21</v>
      </c>
      <c r="E247" s="868" t="s">
        <v>1006</v>
      </c>
      <c r="F247" s="868" t="s">
        <v>1018</v>
      </c>
      <c r="G247" s="868"/>
      <c r="H247" s="870"/>
      <c r="I247" s="595"/>
      <c r="P247" s="700"/>
    </row>
    <row r="248" spans="1:16" x14ac:dyDescent="0.3">
      <c r="A248" s="973" t="s">
        <v>1017</v>
      </c>
      <c r="B248" s="872" t="s">
        <v>1007</v>
      </c>
      <c r="C248" s="867" t="str">
        <f>IF(AND('Overzicht BTA'!$C$39=TRUE,'Overzicht BTA'!$C$42= FALSE),_xlfn.CONCAT('Upload AXI - CONF'!$A248,'Upload AXI - CONF'!$B248),"")</f>
        <v/>
      </c>
      <c r="D248" s="871">
        <f>ROUND('uitgebreide raming_gewijzigd'!$B$24,2)</f>
        <v>0</v>
      </c>
      <c r="E248" s="872" t="s">
        <v>1008</v>
      </c>
      <c r="F248" s="872" t="s">
        <v>1018</v>
      </c>
      <c r="G248" s="872"/>
      <c r="H248" s="874"/>
      <c r="I248" s="767"/>
      <c r="P248" s="700"/>
    </row>
    <row r="249" spans="1:16" x14ac:dyDescent="0.3">
      <c r="A249" s="889" t="s">
        <v>1017</v>
      </c>
      <c r="B249" s="868" t="s">
        <v>1009</v>
      </c>
      <c r="C249" s="867" t="str">
        <f>IF(AND('Overzicht BTA'!$C$39=TRUE,'Overzicht BTA'!$C$42= FALSE),_xlfn.CONCAT('Upload AXI - CONF'!$A249,'Upload AXI - CONF'!$B249),"")</f>
        <v/>
      </c>
      <c r="D249" s="867">
        <f>ROUND('uitgebreide raming_gewijzigd'!$B$26,2)</f>
        <v>0</v>
      </c>
      <c r="E249" s="868" t="s">
        <v>1010</v>
      </c>
      <c r="F249" s="868" t="s">
        <v>1018</v>
      </c>
      <c r="G249" s="868"/>
      <c r="H249" s="870" t="s">
        <v>960</v>
      </c>
      <c r="I249" s="767"/>
      <c r="P249" s="700"/>
    </row>
    <row r="250" spans="1:16" x14ac:dyDescent="0.3">
      <c r="A250" s="973" t="s">
        <v>1017</v>
      </c>
      <c r="B250" s="872" t="s">
        <v>1011</v>
      </c>
      <c r="C250" s="867" t="str">
        <f>IF(AND('Overzicht BTA'!$C$39=TRUE,'Overzicht BTA'!$C$42= FALSE),_xlfn.CONCAT('Upload AXI - CONF'!$A250,'Upload AXI - CONF'!$B250),"")</f>
        <v/>
      </c>
      <c r="D250" s="879">
        <f>ROUND('Overzicht BTA'!$C$51,25)</f>
        <v>0</v>
      </c>
      <c r="E250" s="872" t="s">
        <v>1012</v>
      </c>
      <c r="F250" s="872" t="s">
        <v>1018</v>
      </c>
      <c r="G250" s="872"/>
      <c r="H250" s="874"/>
      <c r="I250" s="768"/>
      <c r="P250" s="700"/>
    </row>
    <row r="251" spans="1:16" x14ac:dyDescent="0.3">
      <c r="A251" s="889" t="s">
        <v>1017</v>
      </c>
      <c r="B251" s="868" t="s">
        <v>1013</v>
      </c>
      <c r="C251" s="867" t="str">
        <f>IF(AND('Overzicht BTA'!$C$39=TRUE,'Overzicht BTA'!$C$42= FALSE),_xlfn.CONCAT('Upload AXI - CONF'!$A251,'Upload AXI - CONF'!$B251),"")</f>
        <v/>
      </c>
      <c r="D251" s="880">
        <f>ROUND('Overzicht BTA'!$D$51,2)</f>
        <v>0</v>
      </c>
      <c r="E251" s="868" t="s">
        <v>1014</v>
      </c>
      <c r="F251" s="868" t="s">
        <v>1018</v>
      </c>
      <c r="G251" s="868"/>
      <c r="H251" s="870"/>
      <c r="I251" s="768"/>
      <c r="P251" s="700"/>
    </row>
    <row r="252" spans="1:16" x14ac:dyDescent="0.3">
      <c r="A252" s="973" t="s">
        <v>1017</v>
      </c>
      <c r="B252" s="872" t="s">
        <v>1015</v>
      </c>
      <c r="C252" s="867" t="str">
        <f>IF(AND('Overzicht BTA'!$C$39=TRUE,'Overzicht BTA'!$C$42= FALSE),_xlfn.CONCAT('Upload AXI - CONF'!$A252,'Upload AXI - CONF'!$B252),"")</f>
        <v/>
      </c>
      <c r="D252" s="881">
        <f>IFERROR(ROUND('analyse bij belofte 1'!$B$25,2),0)</f>
        <v>0</v>
      </c>
      <c r="E252" s="872" t="s">
        <v>1016</v>
      </c>
      <c r="F252" s="872" t="s">
        <v>1018</v>
      </c>
      <c r="G252" s="872"/>
      <c r="H252" s="874"/>
      <c r="I252" s="595"/>
      <c r="P252" s="700"/>
    </row>
    <row r="253" spans="1:16" x14ac:dyDescent="0.3">
      <c r="A253" s="889" t="s">
        <v>1019</v>
      </c>
      <c r="B253" s="868" t="s">
        <v>984</v>
      </c>
      <c r="C253" s="867" t="str">
        <f>IF(AND('Overzicht BTA'!$C$39=TRUE,'Overzicht BTA'!$C$42= FALSE),_xlfn.CONCAT('Upload AXI - CONF'!$A253,'Upload AXI - CONF'!$B253),"")</f>
        <v/>
      </c>
      <c r="D253" s="867">
        <f>ROUND('uitgebreide raming_gewijzigd'!$D$5,2)</f>
        <v>0</v>
      </c>
      <c r="E253" s="868" t="s">
        <v>985</v>
      </c>
      <c r="F253" s="868" t="s">
        <v>1018</v>
      </c>
      <c r="G253" s="868"/>
      <c r="H253" s="870" t="s">
        <v>957</v>
      </c>
      <c r="I253" s="767"/>
      <c r="P253" s="700"/>
    </row>
    <row r="254" spans="1:16" x14ac:dyDescent="0.3">
      <c r="A254" s="973" t="s">
        <v>1019</v>
      </c>
      <c r="B254" s="872" t="s">
        <v>986</v>
      </c>
      <c r="C254" s="867" t="str">
        <f>IF(AND('Overzicht BTA'!$C$39=TRUE,'Overzicht BTA'!$C$42= FALSE),_xlfn.CONCAT('Upload AXI - CONF'!$A254,'Upload AXI - CONF'!$B254),"")</f>
        <v/>
      </c>
      <c r="D254" s="871">
        <f>ROUND('uitgebreide raming_gewijzigd'!$D$6,2)</f>
        <v>0</v>
      </c>
      <c r="E254" s="872" t="s">
        <v>987</v>
      </c>
      <c r="F254" s="872" t="s">
        <v>1018</v>
      </c>
      <c r="G254" s="872"/>
      <c r="H254" s="874" t="s">
        <v>957</v>
      </c>
      <c r="I254" s="767"/>
      <c r="P254" s="700"/>
    </row>
    <row r="255" spans="1:16" x14ac:dyDescent="0.3">
      <c r="A255" s="889" t="s">
        <v>1019</v>
      </c>
      <c r="B255" s="868" t="s">
        <v>988</v>
      </c>
      <c r="C255" s="867" t="str">
        <f>IF(AND('Overzicht BTA'!$C$39=TRUE,'Overzicht BTA'!$C$42= FALSE),_xlfn.CONCAT('Upload AXI - CONF'!$A255,'Upload AXI - CONF'!$B255),"")</f>
        <v/>
      </c>
      <c r="D255" s="867">
        <f>ROUND('uitgebreide raming_gewijzigd'!$D$7,2)</f>
        <v>0</v>
      </c>
      <c r="E255" s="868" t="s">
        <v>989</v>
      </c>
      <c r="F255" s="868" t="s">
        <v>1018</v>
      </c>
      <c r="G255" s="868"/>
      <c r="H255" s="870" t="s">
        <v>957</v>
      </c>
      <c r="I255" s="767"/>
      <c r="P255" s="700"/>
    </row>
    <row r="256" spans="1:16" x14ac:dyDescent="0.3">
      <c r="A256" s="973" t="s">
        <v>1019</v>
      </c>
      <c r="B256" s="872" t="s">
        <v>990</v>
      </c>
      <c r="C256" s="867" t="str">
        <f>IF(AND('Overzicht BTA'!$C$39=TRUE,'Overzicht BTA'!$C$42= FALSE),_xlfn.CONCAT('Upload AXI - CONF'!$A256,'Upload AXI - CONF'!$B256),"")</f>
        <v/>
      </c>
      <c r="D256" s="871">
        <f>ROUND('uitgebreide raming_gewijzigd'!$D$8,2)</f>
        <v>0</v>
      </c>
      <c r="E256" s="872" t="s">
        <v>991</v>
      </c>
      <c r="F256" s="872" t="s">
        <v>1018</v>
      </c>
      <c r="G256" s="872"/>
      <c r="H256" s="874" t="s">
        <v>957</v>
      </c>
      <c r="I256" s="767"/>
      <c r="P256" s="700"/>
    </row>
    <row r="257" spans="1:16" x14ac:dyDescent="0.3">
      <c r="A257" s="889" t="s">
        <v>1019</v>
      </c>
      <c r="B257" s="868" t="s">
        <v>992</v>
      </c>
      <c r="C257" s="867" t="str">
        <f>IF(AND('Overzicht BTA'!$C$39=TRUE,'Overzicht BTA'!$C$42= FALSE),_xlfn.CONCAT('Upload AXI - CONF'!$A257,'Upload AXI - CONF'!$B257),"")</f>
        <v/>
      </c>
      <c r="D257" s="867">
        <f>ROUND('uitgebreide raming_gewijzigd'!$D$9,2)</f>
        <v>0</v>
      </c>
      <c r="E257" s="868" t="s">
        <v>994</v>
      </c>
      <c r="F257" s="868" t="s">
        <v>1018</v>
      </c>
      <c r="G257" s="868"/>
      <c r="H257" s="870" t="s">
        <v>957</v>
      </c>
      <c r="I257" s="767"/>
      <c r="P257" s="700"/>
    </row>
    <row r="258" spans="1:16" x14ac:dyDescent="0.3">
      <c r="A258" s="973" t="s">
        <v>1019</v>
      </c>
      <c r="B258" s="872" t="s">
        <v>995</v>
      </c>
      <c r="C258" s="867" t="str">
        <f>IF(AND('Overzicht BTA'!$C$39=TRUE,'Overzicht BTA'!$C$42= FALSE),_xlfn.CONCAT('Upload AXI - CONF'!$A258,'Upload AXI - CONF'!$B258),"")</f>
        <v/>
      </c>
      <c r="D258" s="871">
        <f>ROUND('uitgebreide raming_gewijzigd'!$D$10,2)</f>
        <v>0</v>
      </c>
      <c r="E258" s="872" t="s">
        <v>996</v>
      </c>
      <c r="F258" s="872" t="s">
        <v>1018</v>
      </c>
      <c r="G258" s="872"/>
      <c r="H258" s="874" t="s">
        <v>957</v>
      </c>
      <c r="I258" s="767"/>
      <c r="P258" s="700"/>
    </row>
    <row r="259" spans="1:16" x14ac:dyDescent="0.3">
      <c r="A259" s="889" t="s">
        <v>1019</v>
      </c>
      <c r="B259" s="868" t="s">
        <v>997</v>
      </c>
      <c r="C259" s="867" t="str">
        <f>IF(AND('Overzicht BTA'!$C$39=TRUE,'Overzicht BTA'!$C$42= FALSE),_xlfn.CONCAT('Upload AXI - CONF'!$A259,'Upload AXI - CONF'!$B259),"")</f>
        <v/>
      </c>
      <c r="D259" s="867">
        <f>ROUND('uitgebreide raming_gewijzigd'!$D$11,2)</f>
        <v>0</v>
      </c>
      <c r="E259" s="868" t="s">
        <v>998</v>
      </c>
      <c r="F259" s="868" t="s">
        <v>1018</v>
      </c>
      <c r="G259" s="868"/>
      <c r="H259" s="870" t="s">
        <v>957</v>
      </c>
      <c r="I259" s="767"/>
      <c r="P259" s="700"/>
    </row>
    <row r="260" spans="1:16" x14ac:dyDescent="0.3">
      <c r="A260" s="973" t="s">
        <v>1019</v>
      </c>
      <c r="B260" s="872" t="s">
        <v>999</v>
      </c>
      <c r="C260" s="867" t="str">
        <f>IF(AND('Overzicht BTA'!$C$39=TRUE,'Overzicht BTA'!$C$42= FALSE),_xlfn.CONCAT('Upload AXI - CONF'!$A260,'Upload AXI - CONF'!$B260),"")</f>
        <v/>
      </c>
      <c r="D260" s="871">
        <f>ROUND('uitgebreide raming_gewijzigd'!$D$13,2)</f>
        <v>0</v>
      </c>
      <c r="E260" s="872" t="s">
        <v>1000</v>
      </c>
      <c r="F260" s="872" t="s">
        <v>1018</v>
      </c>
      <c r="G260" s="872"/>
      <c r="H260" s="874" t="s">
        <v>957</v>
      </c>
      <c r="I260" s="767"/>
      <c r="P260" s="700"/>
    </row>
    <row r="261" spans="1:16" x14ac:dyDescent="0.3">
      <c r="A261" s="889" t="s">
        <v>1019</v>
      </c>
      <c r="B261" s="868" t="s">
        <v>1003</v>
      </c>
      <c r="C261" s="867" t="str">
        <f>IF(AND('Overzicht BTA'!$C$39=TRUE,'Overzicht BTA'!$C$42= FALSE),_xlfn.CONCAT('Upload AXI - CONF'!$A261,'Upload AXI - CONF'!$B261),"")</f>
        <v/>
      </c>
      <c r="D261" s="867">
        <f>ROUND('uitgebreide raming_gewijzigd'!$D$14,2)</f>
        <v>0</v>
      </c>
      <c r="E261" s="868" t="s">
        <v>1004</v>
      </c>
      <c r="F261" s="868" t="s">
        <v>1018</v>
      </c>
      <c r="G261" s="868"/>
      <c r="H261" s="870" t="s">
        <v>957</v>
      </c>
      <c r="I261" s="767"/>
      <c r="P261" s="700"/>
    </row>
    <row r="262" spans="1:16" x14ac:dyDescent="0.3">
      <c r="A262" s="973" t="s">
        <v>1019</v>
      </c>
      <c r="B262" s="872" t="s">
        <v>1001</v>
      </c>
      <c r="C262" s="867" t="str">
        <f>IF(AND('Overzicht BTA'!$C$39=TRUE,'Overzicht BTA'!$C$42= FALSE),_xlfn.CONCAT('Upload AXI - CONF'!$A262,'Upload AXI - CONF'!$B262),"")</f>
        <v/>
      </c>
      <c r="D262" s="871">
        <f>ROUND('uitgebreide raming_gewijzigd'!$H$76,2)</f>
        <v>0</v>
      </c>
      <c r="E262" s="872" t="s">
        <v>1002</v>
      </c>
      <c r="F262" s="872" t="s">
        <v>1018</v>
      </c>
      <c r="G262" s="872"/>
      <c r="H262" s="874" t="s">
        <v>957</v>
      </c>
      <c r="I262" s="767"/>
      <c r="P262" s="700"/>
    </row>
    <row r="263" spans="1:16" x14ac:dyDescent="0.3">
      <c r="A263" s="889" t="s">
        <v>1019</v>
      </c>
      <c r="B263" s="868" t="s">
        <v>1005</v>
      </c>
      <c r="C263" s="867" t="str">
        <f>IF(AND('Overzicht BTA'!$C$39=TRUE,'Overzicht BTA'!$C$42= FALSE),_xlfn.CONCAT('Upload AXI - CONF'!$A263,'Upload AXI - CONF'!$B263),"")</f>
        <v/>
      </c>
      <c r="D263" s="878">
        <f>ROUND('uitgebreide raming_gewijzigd'!$E$19,2)</f>
        <v>0.21</v>
      </c>
      <c r="E263" s="868" t="s">
        <v>1006</v>
      </c>
      <c r="F263" s="868" t="s">
        <v>1018</v>
      </c>
      <c r="G263" s="868"/>
      <c r="H263" s="870"/>
      <c r="I263" s="595"/>
      <c r="P263" s="700"/>
    </row>
    <row r="264" spans="1:16" x14ac:dyDescent="0.3">
      <c r="A264" s="973" t="s">
        <v>1019</v>
      </c>
      <c r="B264" s="872" t="s">
        <v>1007</v>
      </c>
      <c r="C264" s="867" t="str">
        <f>IF(AND('Overzicht BTA'!$C$39=TRUE,'Overzicht BTA'!$C$42= FALSE),_xlfn.CONCAT('Upload AXI - CONF'!$A264,'Upload AXI - CONF'!$B264),"")</f>
        <v/>
      </c>
      <c r="D264" s="871">
        <f>ROUND('uitgebreide raming_gewijzigd'!$D$24,2)</f>
        <v>0</v>
      </c>
      <c r="E264" s="872" t="s">
        <v>1008</v>
      </c>
      <c r="F264" s="872" t="s">
        <v>1018</v>
      </c>
      <c r="G264" s="872"/>
      <c r="H264" s="874"/>
      <c r="I264" s="767"/>
      <c r="P264" s="700"/>
    </row>
    <row r="265" spans="1:16" x14ac:dyDescent="0.3">
      <c r="A265" s="889" t="s">
        <v>1019</v>
      </c>
      <c r="B265" s="868" t="s">
        <v>1009</v>
      </c>
      <c r="C265" s="867" t="str">
        <f>IF(AND('Overzicht BTA'!$C$39=TRUE,'Overzicht BTA'!$C$42= FALSE),_xlfn.CONCAT('Upload AXI - CONF'!$A265,'Upload AXI - CONF'!$B265),"")</f>
        <v/>
      </c>
      <c r="D265" s="867">
        <f>ROUND('uitgebreide raming_gewijzigd'!$D$26,2)</f>
        <v>0</v>
      </c>
      <c r="E265" s="868" t="s">
        <v>1010</v>
      </c>
      <c r="F265" s="868" t="s">
        <v>1018</v>
      </c>
      <c r="G265" s="868"/>
      <c r="H265" s="870" t="s">
        <v>960</v>
      </c>
      <c r="I265" s="767"/>
      <c r="P265" s="700"/>
    </row>
    <row r="266" spans="1:16" x14ac:dyDescent="0.3">
      <c r="A266" s="973" t="s">
        <v>1019</v>
      </c>
      <c r="B266" s="872" t="s">
        <v>1011</v>
      </c>
      <c r="C266" s="867" t="str">
        <f>IF(AND('Overzicht BTA'!$C$39=TRUE,'Overzicht BTA'!$C$42= FALSE),_xlfn.CONCAT('Upload AXI - CONF'!$A266,'Upload AXI - CONF'!$B266),"")</f>
        <v/>
      </c>
      <c r="D266" s="879">
        <f>ROUND('Overzicht BTA'!$C$52,2)</f>
        <v>0</v>
      </c>
      <c r="E266" s="872" t="s">
        <v>1012</v>
      </c>
      <c r="F266" s="872" t="s">
        <v>1018</v>
      </c>
      <c r="G266" s="872"/>
      <c r="H266" s="874"/>
      <c r="I266" s="768"/>
      <c r="P266" s="700"/>
    </row>
    <row r="267" spans="1:16" x14ac:dyDescent="0.3">
      <c r="A267" s="889" t="s">
        <v>1019</v>
      </c>
      <c r="B267" s="868" t="s">
        <v>1013</v>
      </c>
      <c r="C267" s="867" t="str">
        <f>IF(AND('Overzicht BTA'!$C$39=TRUE,'Overzicht BTA'!$C$42= FALSE),_xlfn.CONCAT('Upload AXI - CONF'!$A267,'Upload AXI - CONF'!$B267),"")</f>
        <v/>
      </c>
      <c r="D267" s="880">
        <f>ROUND('Overzicht BTA'!$D$52,2)</f>
        <v>0</v>
      </c>
      <c r="E267" s="868" t="s">
        <v>1014</v>
      </c>
      <c r="F267" s="868" t="s">
        <v>1018</v>
      </c>
      <c r="G267" s="868"/>
      <c r="H267" s="870"/>
      <c r="I267" s="768"/>
      <c r="P267" s="700"/>
    </row>
    <row r="268" spans="1:16" x14ac:dyDescent="0.3">
      <c r="A268" s="973" t="s">
        <v>1019</v>
      </c>
      <c r="B268" s="872" t="s">
        <v>1015</v>
      </c>
      <c r="C268" s="867" t="str">
        <f>IF(AND('Overzicht BTA'!$C$39=TRUE,'Overzicht BTA'!$C$42= FALSE),_xlfn.CONCAT('Upload AXI - CONF'!$A268,'Upload AXI - CONF'!$B268),"")</f>
        <v/>
      </c>
      <c r="D268" s="881" t="e">
        <f>ROUND('analyse bij belofte 1'!$D$25,2)</f>
        <v>#DIV/0!</v>
      </c>
      <c r="E268" s="872" t="s">
        <v>1016</v>
      </c>
      <c r="F268" s="872" t="s">
        <v>1018</v>
      </c>
      <c r="G268" s="872"/>
      <c r="H268" s="874"/>
      <c r="I268" s="595"/>
      <c r="P268" s="700"/>
    </row>
    <row r="269" spans="1:16" x14ac:dyDescent="0.3">
      <c r="A269" s="889" t="s">
        <v>1020</v>
      </c>
      <c r="B269" s="868" t="s">
        <v>984</v>
      </c>
      <c r="C269" s="867" t="str">
        <f>IF(AND('Overzicht BTA'!$C$39=TRUE,'Overzicht BTA'!$C$42= FALSE),_xlfn.CONCAT('Upload AXI - CONF'!$A269,'Upload AXI - CONF'!$B269),"")</f>
        <v/>
      </c>
      <c r="D269" s="867">
        <f>ROUND('uitgebreide raming_gewijzigd'!$F$5,2)</f>
        <v>0</v>
      </c>
      <c r="E269" s="868" t="s">
        <v>985</v>
      </c>
      <c r="F269" s="868" t="s">
        <v>1018</v>
      </c>
      <c r="G269" s="868"/>
      <c r="H269" s="870" t="s">
        <v>957</v>
      </c>
      <c r="I269" s="767"/>
      <c r="P269" s="700"/>
    </row>
    <row r="270" spans="1:16" x14ac:dyDescent="0.3">
      <c r="A270" s="973" t="s">
        <v>1020</v>
      </c>
      <c r="B270" s="872" t="s">
        <v>986</v>
      </c>
      <c r="C270" s="867" t="str">
        <f>IF(AND('Overzicht BTA'!$C$39=TRUE,'Overzicht BTA'!$C$42= FALSE),_xlfn.CONCAT('Upload AXI - CONF'!$A270,'Upload AXI - CONF'!$B270),"")</f>
        <v/>
      </c>
      <c r="D270" s="871">
        <f>ROUND('uitgebreide raming_gewijzigd'!$F$6,2)</f>
        <v>0</v>
      </c>
      <c r="E270" s="872" t="s">
        <v>987</v>
      </c>
      <c r="F270" s="872" t="s">
        <v>1018</v>
      </c>
      <c r="G270" s="872"/>
      <c r="H270" s="874" t="s">
        <v>957</v>
      </c>
      <c r="I270" s="767"/>
      <c r="P270" s="700"/>
    </row>
    <row r="271" spans="1:16" x14ac:dyDescent="0.3">
      <c r="A271" s="889" t="s">
        <v>1020</v>
      </c>
      <c r="B271" s="868" t="s">
        <v>988</v>
      </c>
      <c r="C271" s="867" t="str">
        <f>IF(AND('Overzicht BTA'!$C$39=TRUE,'Overzicht BTA'!$C$42= FALSE),_xlfn.CONCAT('Upload AXI - CONF'!$A271,'Upload AXI - CONF'!$B271),"")</f>
        <v/>
      </c>
      <c r="D271" s="867">
        <f>ROUND('uitgebreide raming_gewijzigd'!$F$7,2)</f>
        <v>0</v>
      </c>
      <c r="E271" s="868" t="s">
        <v>989</v>
      </c>
      <c r="F271" s="868" t="s">
        <v>1018</v>
      </c>
      <c r="G271" s="868"/>
      <c r="H271" s="870" t="s">
        <v>957</v>
      </c>
      <c r="I271" s="767"/>
      <c r="P271" s="700"/>
    </row>
    <row r="272" spans="1:16" x14ac:dyDescent="0.3">
      <c r="A272" s="973" t="s">
        <v>1020</v>
      </c>
      <c r="B272" s="872" t="s">
        <v>990</v>
      </c>
      <c r="C272" s="867" t="str">
        <f>IF(AND('Overzicht BTA'!$C$39=TRUE,'Overzicht BTA'!$C$42= FALSE),_xlfn.CONCAT('Upload AXI - CONF'!$A272,'Upload AXI - CONF'!$B272),"")</f>
        <v/>
      </c>
      <c r="D272" s="871">
        <f>ROUND('uitgebreide raming_gewijzigd'!$F$8,2)</f>
        <v>0</v>
      </c>
      <c r="E272" s="872" t="s">
        <v>991</v>
      </c>
      <c r="F272" s="872" t="s">
        <v>1018</v>
      </c>
      <c r="G272" s="872"/>
      <c r="H272" s="874" t="s">
        <v>957</v>
      </c>
      <c r="I272" s="767"/>
      <c r="P272" s="700"/>
    </row>
    <row r="273" spans="1:16" x14ac:dyDescent="0.3">
      <c r="A273" s="889" t="s">
        <v>1020</v>
      </c>
      <c r="B273" s="868" t="s">
        <v>992</v>
      </c>
      <c r="C273" s="867" t="str">
        <f>IF(AND('Overzicht BTA'!$C$39=TRUE,'Overzicht BTA'!$C$42= FALSE),_xlfn.CONCAT('Upload AXI - CONF'!$A273,'Upload AXI - CONF'!$B273),"")</f>
        <v/>
      </c>
      <c r="D273" s="867">
        <f>'uitgebreide raming_gewijzigd'!$F$9</f>
        <v>0</v>
      </c>
      <c r="E273" s="868" t="s">
        <v>994</v>
      </c>
      <c r="F273" s="868" t="s">
        <v>1018</v>
      </c>
      <c r="G273" s="868"/>
      <c r="H273" s="870" t="s">
        <v>957</v>
      </c>
      <c r="I273" s="767"/>
      <c r="P273" s="700"/>
    </row>
    <row r="274" spans="1:16" x14ac:dyDescent="0.3">
      <c r="A274" s="973" t="s">
        <v>1020</v>
      </c>
      <c r="B274" s="872" t="s">
        <v>995</v>
      </c>
      <c r="C274" s="867" t="str">
        <f>IF(AND('Overzicht BTA'!$C$39=TRUE,'Overzicht BTA'!$C$42= FALSE),_xlfn.CONCAT('Upload AXI - CONF'!$A274,'Upload AXI - CONF'!$B274),"")</f>
        <v/>
      </c>
      <c r="D274" s="871">
        <f>ROUND('uitgebreide raming_gewijzigd'!$F$10,2)</f>
        <v>0</v>
      </c>
      <c r="E274" s="872" t="s">
        <v>996</v>
      </c>
      <c r="F274" s="872" t="s">
        <v>1018</v>
      </c>
      <c r="G274" s="872"/>
      <c r="H274" s="874" t="s">
        <v>957</v>
      </c>
      <c r="I274" s="767"/>
      <c r="P274" s="700"/>
    </row>
    <row r="275" spans="1:16" x14ac:dyDescent="0.3">
      <c r="A275" s="889" t="s">
        <v>1020</v>
      </c>
      <c r="B275" s="868" t="s">
        <v>997</v>
      </c>
      <c r="C275" s="867" t="str">
        <f>IF(AND('Overzicht BTA'!$C$39=TRUE,'Overzicht BTA'!$C$42= FALSE),_xlfn.CONCAT('Upload AXI - CONF'!$A275,'Upload AXI - CONF'!$B275),"")</f>
        <v/>
      </c>
      <c r="D275" s="867">
        <f>ROUND('uitgebreide raming_gewijzigd'!$F$11,2)</f>
        <v>0</v>
      </c>
      <c r="E275" s="868" t="s">
        <v>998</v>
      </c>
      <c r="F275" s="868" t="s">
        <v>1018</v>
      </c>
      <c r="G275" s="868"/>
      <c r="H275" s="870" t="s">
        <v>957</v>
      </c>
      <c r="I275" s="767"/>
      <c r="P275" s="700"/>
    </row>
    <row r="276" spans="1:16" x14ac:dyDescent="0.3">
      <c r="A276" s="973" t="s">
        <v>1020</v>
      </c>
      <c r="B276" s="872" t="s">
        <v>999</v>
      </c>
      <c r="C276" s="867" t="str">
        <f>IF(AND('Overzicht BTA'!$C$39=TRUE,'Overzicht BTA'!$C$42= FALSE),_xlfn.CONCAT('Upload AXI - CONF'!$A276,'Upload AXI - CONF'!$B276),"")</f>
        <v/>
      </c>
      <c r="D276" s="871">
        <f>ROUND('uitgebreide raming_gewijzigd'!$F$13,2)</f>
        <v>0</v>
      </c>
      <c r="E276" s="872" t="s">
        <v>1000</v>
      </c>
      <c r="F276" s="872" t="s">
        <v>1018</v>
      </c>
      <c r="G276" s="872"/>
      <c r="H276" s="874" t="s">
        <v>957</v>
      </c>
      <c r="I276" s="767"/>
      <c r="P276" s="700"/>
    </row>
    <row r="277" spans="1:16" x14ac:dyDescent="0.3">
      <c r="A277" s="889" t="s">
        <v>1020</v>
      </c>
      <c r="B277" s="868" t="s">
        <v>1003</v>
      </c>
      <c r="C277" s="867" t="str">
        <f>IF(AND('Overzicht BTA'!$C$39=TRUE,'Overzicht BTA'!$C$42= FALSE),_xlfn.CONCAT('Upload AXI - CONF'!$A277,'Upload AXI - CONF'!$B277),"")</f>
        <v/>
      </c>
      <c r="D277" s="867">
        <f>ROUND('uitgebreide raming_gewijzigd'!$F$14,2)</f>
        <v>0</v>
      </c>
      <c r="E277" s="868" t="s">
        <v>1004</v>
      </c>
      <c r="F277" s="868" t="s">
        <v>1018</v>
      </c>
      <c r="G277" s="868"/>
      <c r="H277" s="870" t="s">
        <v>957</v>
      </c>
      <c r="I277" s="767"/>
      <c r="P277" s="700"/>
    </row>
    <row r="278" spans="1:16" x14ac:dyDescent="0.3">
      <c r="A278" s="973" t="s">
        <v>1020</v>
      </c>
      <c r="B278" s="872" t="s">
        <v>1001</v>
      </c>
      <c r="C278" s="867" t="str">
        <f>IF(AND('Overzicht BTA'!$C$39=TRUE,'Overzicht BTA'!$C$42= FALSE),_xlfn.CONCAT('Upload AXI - CONF'!$A278,'Upload AXI - CONF'!$B278),"")</f>
        <v/>
      </c>
      <c r="D278" s="871">
        <f>ROUND('uitgebreide raming_gewijzigd'!$H$76,2)</f>
        <v>0</v>
      </c>
      <c r="E278" s="872" t="s">
        <v>1002</v>
      </c>
      <c r="F278" s="872" t="s">
        <v>1018</v>
      </c>
      <c r="G278" s="872"/>
      <c r="H278" s="874" t="s">
        <v>957</v>
      </c>
      <c r="I278" s="767"/>
      <c r="P278" s="700"/>
    </row>
    <row r="279" spans="1:16" x14ac:dyDescent="0.3">
      <c r="A279" s="889" t="s">
        <v>1020</v>
      </c>
      <c r="B279" s="868" t="s">
        <v>1005</v>
      </c>
      <c r="C279" s="867" t="str">
        <f>IF(AND('Overzicht BTA'!$C$39=TRUE,'Overzicht BTA'!$C$42= FALSE),_xlfn.CONCAT('Upload AXI - CONF'!$A279,'Upload AXI - CONF'!$B279),"")</f>
        <v/>
      </c>
      <c r="D279" s="878">
        <f>ROUND('uitgebreide raming_gewijzigd'!$G$19,2)</f>
        <v>0.21</v>
      </c>
      <c r="E279" s="868" t="s">
        <v>1006</v>
      </c>
      <c r="F279" s="868" t="s">
        <v>1018</v>
      </c>
      <c r="G279" s="868"/>
      <c r="H279" s="870"/>
      <c r="I279" s="595"/>
      <c r="P279" s="700"/>
    </row>
    <row r="280" spans="1:16" x14ac:dyDescent="0.3">
      <c r="A280" s="973" t="s">
        <v>1020</v>
      </c>
      <c r="B280" s="872" t="s">
        <v>1007</v>
      </c>
      <c r="C280" s="867" t="str">
        <f>IF(AND('Overzicht BTA'!$C$39=TRUE,'Overzicht BTA'!$C$42= FALSE),_xlfn.CONCAT('Upload AXI - CONF'!$A280,'Upload AXI - CONF'!$B280),"")</f>
        <v/>
      </c>
      <c r="D280" s="871">
        <f>ROUND('uitgebreide raming_gewijzigd'!$F$24,2)</f>
        <v>0</v>
      </c>
      <c r="E280" s="872" t="s">
        <v>1008</v>
      </c>
      <c r="F280" s="872" t="s">
        <v>1018</v>
      </c>
      <c r="G280" s="872"/>
      <c r="H280" s="874"/>
      <c r="I280" s="767"/>
      <c r="P280" s="700"/>
    </row>
    <row r="281" spans="1:16" x14ac:dyDescent="0.3">
      <c r="A281" s="889" t="s">
        <v>1020</v>
      </c>
      <c r="B281" s="868" t="s">
        <v>1009</v>
      </c>
      <c r="C281" s="867" t="str">
        <f>IF(AND('Overzicht BTA'!$C$39=TRUE,'Overzicht BTA'!$C$42= FALSE),_xlfn.CONCAT('Upload AXI - CONF'!$A281,'Upload AXI - CONF'!$B281),"")</f>
        <v/>
      </c>
      <c r="D281" s="867">
        <f>ROUND('uitgebreide raming_gewijzigd'!$F$26,2)</f>
        <v>0</v>
      </c>
      <c r="E281" s="868" t="s">
        <v>1010</v>
      </c>
      <c r="F281" s="868" t="s">
        <v>1018</v>
      </c>
      <c r="G281" s="868"/>
      <c r="H281" s="870" t="s">
        <v>960</v>
      </c>
      <c r="I281" s="767"/>
      <c r="P281" s="700"/>
    </row>
    <row r="282" spans="1:16" x14ac:dyDescent="0.3">
      <c r="A282" s="973" t="s">
        <v>1020</v>
      </c>
      <c r="B282" s="872" t="s">
        <v>1011</v>
      </c>
      <c r="C282" s="867" t="str">
        <f>IF(AND('Overzicht BTA'!$C$39=TRUE,'Overzicht BTA'!$C$42= FALSE),_xlfn.CONCAT('Upload AXI - CONF'!$A282,'Upload AXI - CONF'!$B282),"")</f>
        <v/>
      </c>
      <c r="D282" s="879">
        <f>ROUND('Overzicht BTA'!$C$53,2)</f>
        <v>0</v>
      </c>
      <c r="E282" s="872" t="s">
        <v>1012</v>
      </c>
      <c r="F282" s="872" t="s">
        <v>1018</v>
      </c>
      <c r="G282" s="872"/>
      <c r="H282" s="874"/>
      <c r="I282" s="768"/>
      <c r="P282" s="700"/>
    </row>
    <row r="283" spans="1:16" x14ac:dyDescent="0.3">
      <c r="A283" s="889" t="s">
        <v>1020</v>
      </c>
      <c r="B283" s="868" t="s">
        <v>1013</v>
      </c>
      <c r="C283" s="867" t="str">
        <f>IF(AND('Overzicht BTA'!$C$39=TRUE,'Overzicht BTA'!$C$42= FALSE),_xlfn.CONCAT('Upload AXI - CONF'!$A283,'Upload AXI - CONF'!$B283),"")</f>
        <v/>
      </c>
      <c r="D283" s="880">
        <f>ROUND('Overzicht BTA'!$D$53,2)</f>
        <v>0</v>
      </c>
      <c r="E283" s="868" t="s">
        <v>1014</v>
      </c>
      <c r="F283" s="868" t="s">
        <v>1018</v>
      </c>
      <c r="G283" s="868"/>
      <c r="H283" s="870"/>
      <c r="I283" s="768"/>
      <c r="P283" s="700"/>
    </row>
    <row r="284" spans="1:16" x14ac:dyDescent="0.3">
      <c r="A284" s="973" t="s">
        <v>1020</v>
      </c>
      <c r="B284" s="872" t="s">
        <v>1015</v>
      </c>
      <c r="C284" s="867" t="str">
        <f>IF(AND('Overzicht BTA'!$C$39=TRUE,'Overzicht BTA'!$C$42= FALSE),_xlfn.CONCAT('Upload AXI - CONF'!$A284,'Upload AXI - CONF'!$B284),"")</f>
        <v/>
      </c>
      <c r="D284" s="871">
        <f>ROUND(IFERROR('analyse bij belofte 1'!$F$25,),2)</f>
        <v>0</v>
      </c>
      <c r="E284" s="872" t="s">
        <v>1016</v>
      </c>
      <c r="F284" s="872" t="s">
        <v>1018</v>
      </c>
      <c r="G284" s="872"/>
      <c r="H284" s="874"/>
      <c r="I284" s="767"/>
      <c r="P284" s="700"/>
    </row>
    <row r="285" spans="1:16" x14ac:dyDescent="0.3">
      <c r="A285" s="889" t="s">
        <v>1021</v>
      </c>
      <c r="B285" s="868" t="s">
        <v>984</v>
      </c>
      <c r="C285" s="867" t="str">
        <f>IF(AND('Overzicht BTA'!$C$39=TRUE,'Overzicht BTA'!$C$42= FALSE),_xlfn.CONCAT('Upload AXI - CONF'!$A285,'Upload AXI - CONF'!$B285),"")</f>
        <v/>
      </c>
      <c r="D285" s="867">
        <f>ROUND('uitgebreide raming_gewijzigd'!$H$5,2)</f>
        <v>0</v>
      </c>
      <c r="E285" s="868" t="s">
        <v>985</v>
      </c>
      <c r="F285" s="868" t="s">
        <v>1018</v>
      </c>
      <c r="G285" s="868"/>
      <c r="H285" s="870" t="s">
        <v>957</v>
      </c>
      <c r="I285" s="767"/>
      <c r="P285" s="700"/>
    </row>
    <row r="286" spans="1:16" x14ac:dyDescent="0.3">
      <c r="A286" s="973" t="s">
        <v>1021</v>
      </c>
      <c r="B286" s="872" t="s">
        <v>986</v>
      </c>
      <c r="C286" s="867" t="str">
        <f>IF(AND('Overzicht BTA'!$C$39=TRUE,'Overzicht BTA'!$C$42= FALSE),_xlfn.CONCAT('Upload AXI - CONF'!$A286,'Upload AXI - CONF'!$B286),"")</f>
        <v/>
      </c>
      <c r="D286" s="871">
        <f>ROUND('uitgebreide raming_gewijzigd'!$H$6,2)</f>
        <v>0</v>
      </c>
      <c r="E286" s="872" t="s">
        <v>987</v>
      </c>
      <c r="F286" s="872" t="s">
        <v>1018</v>
      </c>
      <c r="G286" s="872"/>
      <c r="H286" s="874" t="s">
        <v>957</v>
      </c>
      <c r="I286" s="767"/>
      <c r="P286" s="700"/>
    </row>
    <row r="287" spans="1:16" x14ac:dyDescent="0.3">
      <c r="A287" s="889" t="s">
        <v>1021</v>
      </c>
      <c r="B287" s="868" t="s">
        <v>988</v>
      </c>
      <c r="C287" s="867" t="str">
        <f>IF(AND('Overzicht BTA'!$C$39=TRUE,'Overzicht BTA'!$C$42= FALSE),_xlfn.CONCAT('Upload AXI - CONF'!$A287,'Upload AXI - CONF'!$B287),"")</f>
        <v/>
      </c>
      <c r="D287" s="867">
        <f>ROUND('uitgebreide raming_gewijzigd'!$H$7,2)</f>
        <v>0</v>
      </c>
      <c r="E287" s="868" t="s">
        <v>989</v>
      </c>
      <c r="F287" s="868" t="s">
        <v>1018</v>
      </c>
      <c r="G287" s="868"/>
      <c r="H287" s="870" t="s">
        <v>957</v>
      </c>
      <c r="I287" s="767"/>
      <c r="P287" s="700"/>
    </row>
    <row r="288" spans="1:16" x14ac:dyDescent="0.3">
      <c r="A288" s="973" t="s">
        <v>1021</v>
      </c>
      <c r="B288" s="872" t="s">
        <v>990</v>
      </c>
      <c r="C288" s="867" t="str">
        <f>IF(AND('Overzicht BTA'!$C$39=TRUE,'Overzicht BTA'!$C$42= FALSE),_xlfn.CONCAT('Upload AXI - CONF'!$A288,'Upload AXI - CONF'!$B288),"")</f>
        <v/>
      </c>
      <c r="D288" s="871">
        <f>ROUND('uitgebreide raming_gewijzigd'!$H$8,2)</f>
        <v>0</v>
      </c>
      <c r="E288" s="872" t="s">
        <v>991</v>
      </c>
      <c r="F288" s="872" t="s">
        <v>1018</v>
      </c>
      <c r="G288" s="872"/>
      <c r="H288" s="874" t="s">
        <v>957</v>
      </c>
      <c r="I288" s="767"/>
      <c r="P288" s="700"/>
    </row>
    <row r="289" spans="1:16" x14ac:dyDescent="0.3">
      <c r="A289" s="889" t="s">
        <v>1021</v>
      </c>
      <c r="B289" s="868" t="s">
        <v>992</v>
      </c>
      <c r="C289" s="867" t="str">
        <f>IF(AND('Overzicht BTA'!$C$39=TRUE,'Overzicht BTA'!$C$42= FALSE),_xlfn.CONCAT('Upload AXI - CONF'!$A289,'Upload AXI - CONF'!$B289),"")</f>
        <v/>
      </c>
      <c r="D289" s="867">
        <f>ROUND('uitgebreide raming_gewijzigd'!$H$9,2)</f>
        <v>0</v>
      </c>
      <c r="E289" s="868" t="s">
        <v>994</v>
      </c>
      <c r="F289" s="868" t="s">
        <v>1018</v>
      </c>
      <c r="G289" s="868"/>
      <c r="H289" s="870" t="s">
        <v>957</v>
      </c>
      <c r="I289" s="767"/>
      <c r="P289" s="700"/>
    </row>
    <row r="290" spans="1:16" x14ac:dyDescent="0.3">
      <c r="A290" s="973" t="s">
        <v>1021</v>
      </c>
      <c r="B290" s="872" t="s">
        <v>995</v>
      </c>
      <c r="C290" s="867" t="str">
        <f>IF(AND('Overzicht BTA'!$C$39=TRUE,'Overzicht BTA'!$C$42= FALSE),_xlfn.CONCAT('Upload AXI - CONF'!$A290,'Upload AXI - CONF'!$B290),"")</f>
        <v/>
      </c>
      <c r="D290" s="871">
        <f>ROUND('uitgebreide raming_gewijzigd'!$H$10,2)</f>
        <v>0</v>
      </c>
      <c r="E290" s="872" t="s">
        <v>996</v>
      </c>
      <c r="F290" s="872" t="s">
        <v>1018</v>
      </c>
      <c r="G290" s="872"/>
      <c r="H290" s="874" t="s">
        <v>957</v>
      </c>
      <c r="I290" s="767"/>
      <c r="P290" s="700"/>
    </row>
    <row r="291" spans="1:16" x14ac:dyDescent="0.3">
      <c r="A291" s="889" t="s">
        <v>1021</v>
      </c>
      <c r="B291" s="868" t="s">
        <v>997</v>
      </c>
      <c r="C291" s="867" t="str">
        <f>IF(AND('Overzicht BTA'!$C$39=TRUE,'Overzicht BTA'!$C$42= FALSE),_xlfn.CONCAT('Upload AXI - CONF'!$A291,'Upload AXI - CONF'!$B291),"")</f>
        <v/>
      </c>
      <c r="D291" s="867">
        <f>ROUND('uitgebreide raming_gewijzigd'!$H$11,2)</f>
        <v>0</v>
      </c>
      <c r="E291" s="868" t="s">
        <v>998</v>
      </c>
      <c r="F291" s="868" t="s">
        <v>1018</v>
      </c>
      <c r="G291" s="868"/>
      <c r="H291" s="870" t="s">
        <v>957</v>
      </c>
      <c r="I291" s="767"/>
      <c r="P291" s="700"/>
    </row>
    <row r="292" spans="1:16" x14ac:dyDescent="0.3">
      <c r="A292" s="973" t="s">
        <v>1021</v>
      </c>
      <c r="B292" s="872" t="s">
        <v>999</v>
      </c>
      <c r="C292" s="867" t="str">
        <f>IF(AND('Overzicht BTA'!$C$39=TRUE,'Overzicht BTA'!$C$42= FALSE),_xlfn.CONCAT('Upload AXI - CONF'!$A292,'Upload AXI - CONF'!$B292),"")</f>
        <v/>
      </c>
      <c r="D292" s="871">
        <f>ROUND('uitgebreide raming_gewijzigd'!$H$13,2)</f>
        <v>0</v>
      </c>
      <c r="E292" s="872" t="s">
        <v>1000</v>
      </c>
      <c r="F292" s="872" t="s">
        <v>1018</v>
      </c>
      <c r="G292" s="872"/>
      <c r="H292" s="874" t="s">
        <v>957</v>
      </c>
      <c r="I292" s="767"/>
      <c r="P292" s="700"/>
    </row>
    <row r="293" spans="1:16" x14ac:dyDescent="0.3">
      <c r="A293" s="889" t="s">
        <v>1021</v>
      </c>
      <c r="B293" s="868" t="s">
        <v>1003</v>
      </c>
      <c r="C293" s="867" t="str">
        <f>IF(AND('Overzicht BTA'!$C$39=TRUE,'Overzicht BTA'!$C$42= FALSE),_xlfn.CONCAT('Upload AXI - CONF'!$A293,'Upload AXI - CONF'!$B293),"")</f>
        <v/>
      </c>
      <c r="D293" s="867">
        <f>ROUND('uitgebreide raming_gewijzigd'!$H$14,2)</f>
        <v>0</v>
      </c>
      <c r="E293" s="868" t="s">
        <v>1004</v>
      </c>
      <c r="F293" s="868" t="s">
        <v>1018</v>
      </c>
      <c r="G293" s="868"/>
      <c r="H293" s="870" t="s">
        <v>957</v>
      </c>
      <c r="I293" s="767"/>
      <c r="P293" s="700"/>
    </row>
    <row r="294" spans="1:16" x14ac:dyDescent="0.3">
      <c r="A294" s="973" t="s">
        <v>1021</v>
      </c>
      <c r="B294" s="872" t="s">
        <v>1001</v>
      </c>
      <c r="C294" s="867" t="str">
        <f>IF(AND('Overzicht BTA'!$C$39=TRUE,'Overzicht BTA'!$C$42= FALSE),_xlfn.CONCAT('Upload AXI - CONF'!$A294,'Upload AXI - CONF'!$B294),"")</f>
        <v/>
      </c>
      <c r="D294" s="871">
        <f>ROUND('uitgebreide raming_gewijzigd'!$H$76,2)</f>
        <v>0</v>
      </c>
      <c r="E294" s="872" t="s">
        <v>1002</v>
      </c>
      <c r="F294" s="872" t="s">
        <v>1018</v>
      </c>
      <c r="G294" s="872"/>
      <c r="H294" s="874" t="s">
        <v>957</v>
      </c>
      <c r="I294" s="767"/>
      <c r="P294" s="700"/>
    </row>
    <row r="295" spans="1:16" x14ac:dyDescent="0.3">
      <c r="A295" s="889" t="s">
        <v>1021</v>
      </c>
      <c r="B295" s="868" t="s">
        <v>1005</v>
      </c>
      <c r="C295" s="867" t="str">
        <f>IF(AND('Overzicht BTA'!$C$39=TRUE,'Overzicht BTA'!$C$42= FALSE),_xlfn.CONCAT('Upload AXI - CONF'!$A295,'Upload AXI - CONF'!$B295),"")</f>
        <v/>
      </c>
      <c r="D295" s="878">
        <f>ROUND('uitgebreide raming_gewijzigd'!$I$19,2)</f>
        <v>0.21</v>
      </c>
      <c r="E295" s="868" t="s">
        <v>1006</v>
      </c>
      <c r="F295" s="868" t="s">
        <v>1018</v>
      </c>
      <c r="G295" s="868"/>
      <c r="H295" s="870"/>
      <c r="I295" s="595"/>
      <c r="P295" s="700"/>
    </row>
    <row r="296" spans="1:16" x14ac:dyDescent="0.3">
      <c r="A296" s="973" t="s">
        <v>1021</v>
      </c>
      <c r="B296" s="872" t="s">
        <v>1007</v>
      </c>
      <c r="C296" s="867" t="str">
        <f>IF(AND('Overzicht BTA'!$C$39=TRUE,'Overzicht BTA'!$C$42= FALSE),_xlfn.CONCAT('Upload AXI - CONF'!$A296,'Upload AXI - CONF'!$B296),"")</f>
        <v/>
      </c>
      <c r="D296" s="871">
        <f>ROUND('uitgebreide raming_gewijzigd'!$H$24,2)</f>
        <v>0</v>
      </c>
      <c r="E296" s="872" t="s">
        <v>1008</v>
      </c>
      <c r="F296" s="872" t="s">
        <v>1018</v>
      </c>
      <c r="G296" s="872"/>
      <c r="H296" s="874"/>
      <c r="I296" s="767"/>
      <c r="P296" s="700"/>
    </row>
    <row r="297" spans="1:16" x14ac:dyDescent="0.3">
      <c r="A297" s="889" t="s">
        <v>1021</v>
      </c>
      <c r="B297" s="868" t="s">
        <v>1009</v>
      </c>
      <c r="C297" s="867" t="str">
        <f>IF(AND('Overzicht BTA'!$C$39=TRUE,'Overzicht BTA'!$C$42= FALSE),_xlfn.CONCAT('Upload AXI - CONF'!$A297,'Upload AXI - CONF'!$B297),"")</f>
        <v/>
      </c>
      <c r="D297" s="867">
        <f>ROUND('uitgebreide raming_gewijzigd'!$H$26,2)</f>
        <v>0</v>
      </c>
      <c r="E297" s="868" t="s">
        <v>1010</v>
      </c>
      <c r="F297" s="868" t="s">
        <v>1018</v>
      </c>
      <c r="G297" s="868"/>
      <c r="H297" s="870" t="s">
        <v>960</v>
      </c>
      <c r="I297" s="767"/>
      <c r="P297" s="700"/>
    </row>
    <row r="298" spans="1:16" x14ac:dyDescent="0.3">
      <c r="A298" s="973" t="s">
        <v>1021</v>
      </c>
      <c r="B298" s="872" t="s">
        <v>1011</v>
      </c>
      <c r="C298" s="867" t="str">
        <f>IF(AND('Overzicht BTA'!$C$39=TRUE,'Overzicht BTA'!$C$42= FALSE),_xlfn.CONCAT('Upload AXI - CONF'!$A298,'Upload AXI - CONF'!$B298),"")</f>
        <v/>
      </c>
      <c r="D298" s="879">
        <f>ROUND('Overzicht BTA'!$C$54,2)</f>
        <v>0</v>
      </c>
      <c r="E298" s="872" t="s">
        <v>1012</v>
      </c>
      <c r="F298" s="872" t="s">
        <v>1018</v>
      </c>
      <c r="G298" s="872"/>
      <c r="H298" s="874"/>
      <c r="I298" s="768"/>
      <c r="P298" s="700"/>
    </row>
    <row r="299" spans="1:16" x14ac:dyDescent="0.3">
      <c r="A299" s="889" t="s">
        <v>1021</v>
      </c>
      <c r="B299" s="868" t="s">
        <v>1013</v>
      </c>
      <c r="C299" s="867" t="str">
        <f>IF(AND('Overzicht BTA'!$C$39=TRUE,'Overzicht BTA'!$C$42= FALSE),_xlfn.CONCAT('Upload AXI - CONF'!$A299,'Upload AXI - CONF'!$B299),"")</f>
        <v/>
      </c>
      <c r="D299" s="880">
        <f>ROUND('Overzicht BTA'!$D$54,2)</f>
        <v>0</v>
      </c>
      <c r="E299" s="868" t="s">
        <v>1014</v>
      </c>
      <c r="F299" s="868" t="s">
        <v>1018</v>
      </c>
      <c r="G299" s="868"/>
      <c r="H299" s="870"/>
      <c r="I299" s="768"/>
      <c r="P299" s="700"/>
    </row>
    <row r="300" spans="1:16" x14ac:dyDescent="0.3">
      <c r="A300" s="973" t="s">
        <v>1021</v>
      </c>
      <c r="B300" s="872" t="s">
        <v>1015</v>
      </c>
      <c r="C300" s="867" t="str">
        <f>IF(AND('Overzicht BTA'!$C$39=TRUE,'Overzicht BTA'!$C$42= FALSE),_xlfn.CONCAT('Upload AXI - CONF'!$A300,'Upload AXI - CONF'!$B300),"")</f>
        <v/>
      </c>
      <c r="D300" s="881">
        <f>ROUND(IFERROR('analyse bij belofte 1'!$H$25,),2)</f>
        <v>0</v>
      </c>
      <c r="E300" s="872" t="s">
        <v>1016</v>
      </c>
      <c r="F300" s="872" t="s">
        <v>1018</v>
      </c>
      <c r="G300" s="872"/>
      <c r="H300" s="874"/>
      <c r="I300" s="595"/>
      <c r="P300" s="700"/>
    </row>
    <row r="301" spans="1:16" x14ac:dyDescent="0.3">
      <c r="A301" s="889" t="s">
        <v>1022</v>
      </c>
      <c r="B301" s="868" t="s">
        <v>984</v>
      </c>
      <c r="C301" s="867" t="str">
        <f>IF(AND('Overzicht BTA'!$C$39=TRUE,'Overzicht BTA'!$C$42= FALSE),_xlfn.CONCAT('Upload AXI - CONF'!$A301,'Upload AXI - CONF'!$B301),"")</f>
        <v/>
      </c>
      <c r="D301" s="867">
        <f>ROUND('uitgebreide raming_gewijzigd'!$B$32,2)</f>
        <v>0</v>
      </c>
      <c r="E301" s="868" t="s">
        <v>985</v>
      </c>
      <c r="F301" s="868" t="s">
        <v>1018</v>
      </c>
      <c r="G301" s="868"/>
      <c r="H301" s="870" t="s">
        <v>957</v>
      </c>
      <c r="I301" s="767"/>
      <c r="P301" s="700"/>
    </row>
    <row r="302" spans="1:16" x14ac:dyDescent="0.3">
      <c r="A302" s="973" t="s">
        <v>1022</v>
      </c>
      <c r="B302" s="872" t="s">
        <v>986</v>
      </c>
      <c r="C302" s="867" t="str">
        <f>IF(AND('Overzicht BTA'!$C$39=TRUE,'Overzicht BTA'!$C$42= FALSE),_xlfn.CONCAT('Upload AXI - CONF'!$A302,'Upload AXI - CONF'!$B302),"")</f>
        <v/>
      </c>
      <c r="D302" s="871">
        <f>ROUND('uitgebreide raming_gewijzigd'!$B$33,2)</f>
        <v>0</v>
      </c>
      <c r="E302" s="872" t="s">
        <v>987</v>
      </c>
      <c r="F302" s="872" t="s">
        <v>1018</v>
      </c>
      <c r="G302" s="872"/>
      <c r="H302" s="874" t="s">
        <v>957</v>
      </c>
      <c r="I302" s="767"/>
      <c r="P302" s="700"/>
    </row>
    <row r="303" spans="1:16" x14ac:dyDescent="0.3">
      <c r="A303" s="889" t="s">
        <v>1022</v>
      </c>
      <c r="B303" s="868" t="s">
        <v>988</v>
      </c>
      <c r="C303" s="867" t="str">
        <f>IF(AND('Overzicht BTA'!$C$39=TRUE,'Overzicht BTA'!$C$42= FALSE),_xlfn.CONCAT('Upload AXI - CONF'!$A303,'Upload AXI - CONF'!$B303),"")</f>
        <v/>
      </c>
      <c r="D303" s="867">
        <f>ROUND('uitgebreide raming_gewijzigd'!$B$34,2)</f>
        <v>0</v>
      </c>
      <c r="E303" s="868" t="s">
        <v>989</v>
      </c>
      <c r="F303" s="868" t="s">
        <v>1018</v>
      </c>
      <c r="G303" s="868"/>
      <c r="H303" s="870" t="s">
        <v>957</v>
      </c>
      <c r="I303" s="767"/>
      <c r="P303" s="700"/>
    </row>
    <row r="304" spans="1:16" x14ac:dyDescent="0.3">
      <c r="A304" s="973" t="s">
        <v>1022</v>
      </c>
      <c r="B304" s="872" t="s">
        <v>990</v>
      </c>
      <c r="C304" s="867" t="str">
        <f>IF(AND('Overzicht BTA'!$C$39=TRUE,'Overzicht BTA'!$C$42= FALSE),_xlfn.CONCAT('Upload AXI - CONF'!$A304,'Upload AXI - CONF'!$B304),"")</f>
        <v/>
      </c>
      <c r="D304" s="871">
        <f>ROUND('uitgebreide raming_gewijzigd'!$B$35,2)</f>
        <v>0</v>
      </c>
      <c r="E304" s="872" t="s">
        <v>991</v>
      </c>
      <c r="F304" s="872" t="s">
        <v>1018</v>
      </c>
      <c r="G304" s="872"/>
      <c r="H304" s="874" t="s">
        <v>957</v>
      </c>
      <c r="I304" s="767"/>
      <c r="P304" s="700"/>
    </row>
    <row r="305" spans="1:16" x14ac:dyDescent="0.3">
      <c r="A305" s="889" t="s">
        <v>1022</v>
      </c>
      <c r="B305" s="868" t="s">
        <v>992</v>
      </c>
      <c r="C305" s="867" t="str">
        <f>IF(AND('Overzicht BTA'!$C$39=TRUE,'Overzicht BTA'!$C$42= FALSE),_xlfn.CONCAT('Upload AXI - CONF'!$A305,'Upload AXI - CONF'!$B305),"")</f>
        <v/>
      </c>
      <c r="D305" s="867">
        <f>'uitgebreide raming_gewijzigd'!$B$36</f>
        <v>0</v>
      </c>
      <c r="E305" s="868" t="s">
        <v>994</v>
      </c>
      <c r="F305" s="868" t="s">
        <v>1018</v>
      </c>
      <c r="G305" s="868"/>
      <c r="H305" s="870" t="s">
        <v>957</v>
      </c>
      <c r="I305" s="767"/>
      <c r="P305" s="700"/>
    </row>
    <row r="306" spans="1:16" x14ac:dyDescent="0.3">
      <c r="A306" s="973" t="s">
        <v>1022</v>
      </c>
      <c r="B306" s="872" t="s">
        <v>995</v>
      </c>
      <c r="C306" s="867" t="str">
        <f>IF(AND('Overzicht BTA'!$C$39=TRUE,'Overzicht BTA'!$C$42= FALSE),_xlfn.CONCAT('Upload AXI - CONF'!$A306,'Upload AXI - CONF'!$B306),"")</f>
        <v/>
      </c>
      <c r="D306" s="871">
        <f>ROUND('uitgebreide raming_gewijzigd'!$B$37,2)</f>
        <v>0</v>
      </c>
      <c r="E306" s="872" t="s">
        <v>996</v>
      </c>
      <c r="F306" s="872" t="s">
        <v>1018</v>
      </c>
      <c r="G306" s="872"/>
      <c r="H306" s="874" t="s">
        <v>957</v>
      </c>
      <c r="I306" s="767"/>
      <c r="P306" s="700"/>
    </row>
    <row r="307" spans="1:16" x14ac:dyDescent="0.3">
      <c r="A307" s="889" t="s">
        <v>1022</v>
      </c>
      <c r="B307" s="868" t="s">
        <v>997</v>
      </c>
      <c r="C307" s="867" t="str">
        <f>IF(AND('Overzicht BTA'!$C$39=TRUE,'Overzicht BTA'!$C$42= FALSE),_xlfn.CONCAT('Upload AXI - CONF'!$A307,'Upload AXI - CONF'!$B307),"")</f>
        <v/>
      </c>
      <c r="D307" s="867">
        <f>'uitgebreide raming_gewijzigd'!$B$38</f>
        <v>0</v>
      </c>
      <c r="E307" s="868" t="s">
        <v>998</v>
      </c>
      <c r="F307" s="868" t="s">
        <v>1018</v>
      </c>
      <c r="G307" s="868"/>
      <c r="H307" s="870" t="s">
        <v>957</v>
      </c>
      <c r="I307" s="767"/>
      <c r="P307" s="700"/>
    </row>
    <row r="308" spans="1:16" x14ac:dyDescent="0.3">
      <c r="A308" s="973" t="s">
        <v>1022</v>
      </c>
      <c r="B308" s="872" t="s">
        <v>999</v>
      </c>
      <c r="C308" s="867" t="str">
        <f>IF(AND('Overzicht BTA'!$C$39=TRUE,'Overzicht BTA'!$C$42= FALSE),_xlfn.CONCAT('Upload AXI - CONF'!$A308,'Upload AXI - CONF'!$B308),"")</f>
        <v/>
      </c>
      <c r="D308" s="871">
        <f>ROUND('uitgebreide raming_gewijzigd'!$B$40,2)</f>
        <v>0</v>
      </c>
      <c r="E308" s="872" t="s">
        <v>1000</v>
      </c>
      <c r="F308" s="872" t="s">
        <v>1018</v>
      </c>
      <c r="G308" s="872"/>
      <c r="H308" s="874" t="s">
        <v>957</v>
      </c>
      <c r="I308" s="767"/>
      <c r="P308" s="700"/>
    </row>
    <row r="309" spans="1:16" x14ac:dyDescent="0.3">
      <c r="A309" s="889" t="s">
        <v>1022</v>
      </c>
      <c r="B309" s="868" t="s">
        <v>1003</v>
      </c>
      <c r="C309" s="867" t="str">
        <f>IF(AND('Overzicht BTA'!$C$39=TRUE,'Overzicht BTA'!$C$42= FALSE),_xlfn.CONCAT('Upload AXI - CONF'!$A309,'Upload AXI - CONF'!$B309),"")</f>
        <v/>
      </c>
      <c r="D309" s="867">
        <f>ROUND('uitgebreide raming_gewijzigd'!$B$41,2)</f>
        <v>0</v>
      </c>
      <c r="E309" s="868" t="s">
        <v>1004</v>
      </c>
      <c r="F309" s="868" t="s">
        <v>1018</v>
      </c>
      <c r="G309" s="868"/>
      <c r="H309" s="870" t="s">
        <v>957</v>
      </c>
      <c r="I309" s="767"/>
      <c r="P309" s="700"/>
    </row>
    <row r="310" spans="1:16" x14ac:dyDescent="0.3">
      <c r="A310" s="973" t="s">
        <v>1022</v>
      </c>
      <c r="B310" s="872" t="s">
        <v>1001</v>
      </c>
      <c r="C310" s="867" t="str">
        <f>IF(AND('Overzicht BTA'!$C$39=TRUE,'Overzicht BTA'!$C$42= FALSE),_xlfn.CONCAT('Upload AXI - CONF'!$A310,'Upload AXI - CONF'!$B310),"")</f>
        <v/>
      </c>
      <c r="D310" s="871">
        <f>ROUND('uitgebreide raming_gewijzigd'!$H$76,2)</f>
        <v>0</v>
      </c>
      <c r="E310" s="872" t="s">
        <v>1002</v>
      </c>
      <c r="F310" s="872" t="s">
        <v>1018</v>
      </c>
      <c r="G310" s="872"/>
      <c r="H310" s="874" t="s">
        <v>957</v>
      </c>
      <c r="I310" s="767"/>
      <c r="P310" s="700"/>
    </row>
    <row r="311" spans="1:16" x14ac:dyDescent="0.3">
      <c r="A311" s="889" t="s">
        <v>1022</v>
      </c>
      <c r="B311" s="868" t="s">
        <v>1005</v>
      </c>
      <c r="C311" s="867" t="str">
        <f>IF(AND('Overzicht BTA'!$C$39=TRUE,'Overzicht BTA'!$C$42= FALSE),_xlfn.CONCAT('Upload AXI - CONF'!$A311,'Upload AXI - CONF'!$B311),"")</f>
        <v/>
      </c>
      <c r="D311" s="878">
        <f>ROUND('uitgebreide raming_gewijzigd'!$C$46,2)</f>
        <v>0.21</v>
      </c>
      <c r="E311" s="868" t="s">
        <v>1006</v>
      </c>
      <c r="F311" s="868" t="s">
        <v>1018</v>
      </c>
      <c r="G311" s="868"/>
      <c r="H311" s="870"/>
      <c r="I311" s="595"/>
      <c r="P311" s="700"/>
    </row>
    <row r="312" spans="1:16" x14ac:dyDescent="0.3">
      <c r="A312" s="973" t="s">
        <v>1022</v>
      </c>
      <c r="B312" s="872" t="s">
        <v>1007</v>
      </c>
      <c r="C312" s="867" t="str">
        <f>IF(AND('Overzicht BTA'!$C$39=TRUE,'Overzicht BTA'!$C$42= FALSE),_xlfn.CONCAT('Upload AXI - CONF'!$A312,'Upload AXI - CONF'!$B312),"")</f>
        <v/>
      </c>
      <c r="D312" s="871">
        <f>ROUND('uitgebreide raming_gewijzigd'!$B$51,2)</f>
        <v>0</v>
      </c>
      <c r="E312" s="872" t="s">
        <v>1008</v>
      </c>
      <c r="F312" s="872" t="s">
        <v>1018</v>
      </c>
      <c r="G312" s="872"/>
      <c r="H312" s="874"/>
      <c r="I312" s="767"/>
      <c r="P312" s="700"/>
    </row>
    <row r="313" spans="1:16" x14ac:dyDescent="0.3">
      <c r="A313" s="889" t="s">
        <v>1022</v>
      </c>
      <c r="B313" s="868" t="s">
        <v>1009</v>
      </c>
      <c r="C313" s="867" t="str">
        <f>IF(AND('Overzicht BTA'!$C$39=TRUE,'Overzicht BTA'!$C$42= FALSE),_xlfn.CONCAT('Upload AXI - CONF'!$A313,'Upload AXI - CONF'!$B313),"")</f>
        <v/>
      </c>
      <c r="D313" s="867">
        <f>ROUND('uitgebreide raming_gewijzigd'!$B$53,2)</f>
        <v>0</v>
      </c>
      <c r="E313" s="868" t="s">
        <v>1010</v>
      </c>
      <c r="F313" s="868" t="s">
        <v>1018</v>
      </c>
      <c r="G313" s="868"/>
      <c r="H313" s="870" t="s">
        <v>960</v>
      </c>
      <c r="I313" s="767"/>
      <c r="P313" s="700"/>
    </row>
    <row r="314" spans="1:16" x14ac:dyDescent="0.3">
      <c r="A314" s="973" t="s">
        <v>1022</v>
      </c>
      <c r="B314" s="872" t="s">
        <v>1011</v>
      </c>
      <c r="C314" s="867" t="str">
        <f>IF(AND('Overzicht BTA'!$C$39=TRUE,'Overzicht BTA'!$C$42= FALSE),_xlfn.CONCAT('Upload AXI - CONF'!$A314,'Upload AXI - CONF'!$B314),"")</f>
        <v/>
      </c>
      <c r="D314" s="879">
        <f>ROUND('Overzicht BTA'!$I$51,2)</f>
        <v>0</v>
      </c>
      <c r="E314" s="872" t="s">
        <v>1012</v>
      </c>
      <c r="F314" s="872" t="s">
        <v>1018</v>
      </c>
      <c r="G314" s="872"/>
      <c r="H314" s="874"/>
      <c r="I314" s="768"/>
      <c r="P314" s="700"/>
    </row>
    <row r="315" spans="1:16" x14ac:dyDescent="0.3">
      <c r="A315" s="889" t="s">
        <v>1022</v>
      </c>
      <c r="B315" s="868" t="s">
        <v>1013</v>
      </c>
      <c r="C315" s="867" t="str">
        <f>IF(AND('Overzicht BTA'!$C$39=TRUE,'Overzicht BTA'!$C$42= FALSE),_xlfn.CONCAT('Upload AXI - CONF'!$A315,'Upload AXI - CONF'!$B315),"")</f>
        <v/>
      </c>
      <c r="D315" s="880">
        <f>ROUND('Overzicht BTA'!$J$51,2)</f>
        <v>0</v>
      </c>
      <c r="E315" s="868" t="s">
        <v>1014</v>
      </c>
      <c r="F315" s="868" t="s">
        <v>1018</v>
      </c>
      <c r="G315" s="868"/>
      <c r="H315" s="870"/>
      <c r="I315" s="768"/>
      <c r="P315" s="700"/>
    </row>
    <row r="316" spans="1:16" x14ac:dyDescent="0.3">
      <c r="A316" s="973" t="s">
        <v>1022</v>
      </c>
      <c r="B316" s="872" t="s">
        <v>1015</v>
      </c>
      <c r="C316" s="867" t="str">
        <f>IF(AND('Overzicht BTA'!$C$39=TRUE,'Overzicht BTA'!$C$42= FALSE),_xlfn.CONCAT('Upload AXI - CONF'!$A316,'Upload AXI - CONF'!$B316),"")</f>
        <v/>
      </c>
      <c r="D316" s="881" t="e">
        <f>ROUND('analyse bij belofte 2'!$B$25,2)</f>
        <v>#DIV/0!</v>
      </c>
      <c r="E316" s="872" t="s">
        <v>1016</v>
      </c>
      <c r="F316" s="872" t="s">
        <v>1018</v>
      </c>
      <c r="G316" s="872"/>
      <c r="H316" s="874"/>
      <c r="I316" s="595"/>
      <c r="P316" s="700"/>
    </row>
    <row r="317" spans="1:16" x14ac:dyDescent="0.3">
      <c r="A317" s="889" t="s">
        <v>1023</v>
      </c>
      <c r="B317" s="868" t="s">
        <v>984</v>
      </c>
      <c r="C317" s="867" t="str">
        <f>IF(AND('Overzicht BTA'!$C$39=TRUE,'Overzicht BTA'!$C$42= FALSE),_xlfn.CONCAT('Upload AXI - CONF'!$A317,'Upload AXI - CONF'!$B317),"")</f>
        <v/>
      </c>
      <c r="D317" s="867">
        <f>ROUND('uitgebreide raming_gewijzigd'!$D$32,2)</f>
        <v>0</v>
      </c>
      <c r="E317" s="868" t="s">
        <v>985</v>
      </c>
      <c r="F317" s="868" t="s">
        <v>1018</v>
      </c>
      <c r="G317" s="868"/>
      <c r="H317" s="870" t="s">
        <v>957</v>
      </c>
      <c r="I317" s="767"/>
      <c r="P317" s="700"/>
    </row>
    <row r="318" spans="1:16" x14ac:dyDescent="0.3">
      <c r="A318" s="973" t="s">
        <v>1023</v>
      </c>
      <c r="B318" s="872" t="s">
        <v>986</v>
      </c>
      <c r="C318" s="867" t="str">
        <f>IF(AND('Overzicht BTA'!$C$39=TRUE,'Overzicht BTA'!$C$42= FALSE),_xlfn.CONCAT('Upload AXI - CONF'!$A318,'Upload AXI - CONF'!$B318),"")</f>
        <v/>
      </c>
      <c r="D318" s="871">
        <f>ROUND('uitgebreide raming_gewijzigd'!$D$33,2)</f>
        <v>0</v>
      </c>
      <c r="E318" s="872" t="s">
        <v>987</v>
      </c>
      <c r="F318" s="872" t="s">
        <v>1018</v>
      </c>
      <c r="G318" s="872"/>
      <c r="H318" s="874" t="s">
        <v>957</v>
      </c>
      <c r="I318" s="767"/>
      <c r="P318" s="700"/>
    </row>
    <row r="319" spans="1:16" x14ac:dyDescent="0.3">
      <c r="A319" s="889" t="s">
        <v>1023</v>
      </c>
      <c r="B319" s="868" t="s">
        <v>988</v>
      </c>
      <c r="C319" s="867" t="str">
        <f>IF(AND('Overzicht BTA'!$C$39=TRUE,'Overzicht BTA'!$C$42= FALSE),_xlfn.CONCAT('Upload AXI - CONF'!$A319,'Upload AXI - CONF'!$B319),"")</f>
        <v/>
      </c>
      <c r="D319" s="867">
        <f>ROUND('uitgebreide raming_gewijzigd'!$D$34,2)</f>
        <v>0</v>
      </c>
      <c r="E319" s="868" t="s">
        <v>989</v>
      </c>
      <c r="F319" s="868" t="s">
        <v>1018</v>
      </c>
      <c r="G319" s="868"/>
      <c r="H319" s="870" t="s">
        <v>957</v>
      </c>
      <c r="I319" s="767"/>
      <c r="P319" s="700"/>
    </row>
    <row r="320" spans="1:16" x14ac:dyDescent="0.3">
      <c r="A320" s="973" t="s">
        <v>1023</v>
      </c>
      <c r="B320" s="872" t="s">
        <v>990</v>
      </c>
      <c r="C320" s="867" t="str">
        <f>IF(AND('Overzicht BTA'!$C$39=TRUE,'Overzicht BTA'!$C$42= FALSE),_xlfn.CONCAT('Upload AXI - CONF'!$A320,'Upload AXI - CONF'!$B320),"")</f>
        <v/>
      </c>
      <c r="D320" s="871">
        <f>ROUND('uitgebreide raming_gewijzigd'!$D$35,2)</f>
        <v>0</v>
      </c>
      <c r="E320" s="872" t="s">
        <v>991</v>
      </c>
      <c r="F320" s="872" t="s">
        <v>1018</v>
      </c>
      <c r="G320" s="872"/>
      <c r="H320" s="874" t="s">
        <v>957</v>
      </c>
      <c r="I320" s="767"/>
      <c r="P320" s="700"/>
    </row>
    <row r="321" spans="1:16" x14ac:dyDescent="0.3">
      <c r="A321" s="889" t="s">
        <v>1023</v>
      </c>
      <c r="B321" s="868" t="s">
        <v>992</v>
      </c>
      <c r="C321" s="867" t="str">
        <f>IF(AND('Overzicht BTA'!$C$39=TRUE,'Overzicht BTA'!$C$42= FALSE),_xlfn.CONCAT('Upload AXI - CONF'!$A321,'Upload AXI - CONF'!$B321),"")</f>
        <v/>
      </c>
      <c r="D321" s="867">
        <f>'uitgebreide raming_gewijzigd'!$D$36</f>
        <v>0</v>
      </c>
      <c r="E321" s="868" t="s">
        <v>994</v>
      </c>
      <c r="F321" s="868" t="s">
        <v>1018</v>
      </c>
      <c r="G321" s="868"/>
      <c r="H321" s="870" t="s">
        <v>957</v>
      </c>
      <c r="I321" s="767"/>
      <c r="P321" s="700"/>
    </row>
    <row r="322" spans="1:16" x14ac:dyDescent="0.3">
      <c r="A322" s="973" t="s">
        <v>1023</v>
      </c>
      <c r="B322" s="872" t="s">
        <v>995</v>
      </c>
      <c r="C322" s="867" t="str">
        <f>IF(AND('Overzicht BTA'!$C$39=TRUE,'Overzicht BTA'!$C$42= FALSE),_xlfn.CONCAT('Upload AXI - CONF'!$A322,'Upload AXI - CONF'!$B322),"")</f>
        <v/>
      </c>
      <c r="D322" s="871">
        <f>ROUND('uitgebreide raming_gewijzigd'!$D$37,2)</f>
        <v>0</v>
      </c>
      <c r="E322" s="872" t="s">
        <v>996</v>
      </c>
      <c r="F322" s="872" t="s">
        <v>1018</v>
      </c>
      <c r="G322" s="872"/>
      <c r="H322" s="874" t="s">
        <v>957</v>
      </c>
      <c r="I322" s="767"/>
      <c r="P322" s="700"/>
    </row>
    <row r="323" spans="1:16" x14ac:dyDescent="0.3">
      <c r="A323" s="889" t="s">
        <v>1023</v>
      </c>
      <c r="B323" s="868" t="s">
        <v>997</v>
      </c>
      <c r="C323" s="867" t="str">
        <f>IF(AND('Overzicht BTA'!$C$39=TRUE,'Overzicht BTA'!$C$42= FALSE),_xlfn.CONCAT('Upload AXI - CONF'!$A323,'Upload AXI - CONF'!$B323),"")</f>
        <v/>
      </c>
      <c r="D323" s="867">
        <f>'uitgebreide raming_gewijzigd'!$D$38</f>
        <v>0</v>
      </c>
      <c r="E323" s="868" t="s">
        <v>998</v>
      </c>
      <c r="F323" s="868" t="s">
        <v>1018</v>
      </c>
      <c r="G323" s="868"/>
      <c r="H323" s="870" t="s">
        <v>957</v>
      </c>
      <c r="I323" s="767"/>
      <c r="P323" s="700"/>
    </row>
    <row r="324" spans="1:16" x14ac:dyDescent="0.3">
      <c r="A324" s="973" t="s">
        <v>1023</v>
      </c>
      <c r="B324" s="872" t="s">
        <v>999</v>
      </c>
      <c r="C324" s="867" t="str">
        <f>IF(AND('Overzicht BTA'!$C$39=TRUE,'Overzicht BTA'!$C$42= FALSE),_xlfn.CONCAT('Upload AXI - CONF'!$A324,'Upload AXI - CONF'!$B324),"")</f>
        <v/>
      </c>
      <c r="D324" s="871">
        <f>ROUND('uitgebreide raming_gewijzigd'!$D$40,2)</f>
        <v>0</v>
      </c>
      <c r="E324" s="872" t="s">
        <v>1000</v>
      </c>
      <c r="F324" s="872" t="s">
        <v>1018</v>
      </c>
      <c r="G324" s="872"/>
      <c r="H324" s="874" t="s">
        <v>957</v>
      </c>
      <c r="I324" s="767"/>
      <c r="P324" s="700"/>
    </row>
    <row r="325" spans="1:16" x14ac:dyDescent="0.3">
      <c r="A325" s="889" t="s">
        <v>1023</v>
      </c>
      <c r="B325" s="868" t="s">
        <v>1003</v>
      </c>
      <c r="C325" s="867" t="str">
        <f>IF(AND('Overzicht BTA'!$C$39=TRUE,'Overzicht BTA'!$C$42= FALSE),_xlfn.CONCAT('Upload AXI - CONF'!$A325,'Upload AXI - CONF'!$B325),"")</f>
        <v/>
      </c>
      <c r="D325" s="867">
        <f>ROUND('uitgebreide raming_gewijzigd'!$D$41,2)</f>
        <v>0</v>
      </c>
      <c r="E325" s="868" t="s">
        <v>1004</v>
      </c>
      <c r="F325" s="868" t="s">
        <v>1018</v>
      </c>
      <c r="G325" s="868"/>
      <c r="H325" s="870" t="s">
        <v>957</v>
      </c>
      <c r="I325" s="767"/>
      <c r="P325" s="700"/>
    </row>
    <row r="326" spans="1:16" x14ac:dyDescent="0.3">
      <c r="A326" s="973" t="s">
        <v>1023</v>
      </c>
      <c r="B326" s="872" t="s">
        <v>1001</v>
      </c>
      <c r="C326" s="867" t="str">
        <f>IF(AND('Overzicht BTA'!$C$39=TRUE,'Overzicht BTA'!$C$42= FALSE),_xlfn.CONCAT('Upload AXI - CONF'!$A326,'Upload AXI - CONF'!$B326),"")</f>
        <v/>
      </c>
      <c r="D326" s="871">
        <f>ROUND('uitgebreide raming_gewijzigd'!$H$76,2)</f>
        <v>0</v>
      </c>
      <c r="E326" s="872" t="s">
        <v>1002</v>
      </c>
      <c r="F326" s="872" t="s">
        <v>1018</v>
      </c>
      <c r="G326" s="872"/>
      <c r="H326" s="874" t="s">
        <v>957</v>
      </c>
      <c r="I326" s="767"/>
      <c r="P326" s="700"/>
    </row>
    <row r="327" spans="1:16" x14ac:dyDescent="0.3">
      <c r="A327" s="889" t="s">
        <v>1023</v>
      </c>
      <c r="B327" s="868" t="s">
        <v>1005</v>
      </c>
      <c r="C327" s="867" t="str">
        <f>IF(AND('Overzicht BTA'!$C$39=TRUE,'Overzicht BTA'!$C$42= FALSE),_xlfn.CONCAT('Upload AXI - CONF'!$A327,'Upload AXI - CONF'!$B327),"")</f>
        <v/>
      </c>
      <c r="D327" s="878">
        <f>ROUND('uitgebreide raming_gewijzigd'!$E$46,2)</f>
        <v>0.21</v>
      </c>
      <c r="E327" s="868" t="s">
        <v>1006</v>
      </c>
      <c r="F327" s="868" t="s">
        <v>1018</v>
      </c>
      <c r="G327" s="868"/>
      <c r="H327" s="870"/>
      <c r="I327" s="595"/>
      <c r="P327" s="700"/>
    </row>
    <row r="328" spans="1:16" x14ac:dyDescent="0.3">
      <c r="A328" s="973" t="s">
        <v>1023</v>
      </c>
      <c r="B328" s="872" t="s">
        <v>1007</v>
      </c>
      <c r="C328" s="867" t="str">
        <f>IF(AND('Overzicht BTA'!$C$39=TRUE,'Overzicht BTA'!$C$42= FALSE),_xlfn.CONCAT('Upload AXI - CONF'!$A328,'Upload AXI - CONF'!$B328),"")</f>
        <v/>
      </c>
      <c r="D328" s="871">
        <f>ROUND('uitgebreide raming_gewijzigd'!$D$51,2)</f>
        <v>0</v>
      </c>
      <c r="E328" s="872" t="s">
        <v>1008</v>
      </c>
      <c r="F328" s="872" t="s">
        <v>1018</v>
      </c>
      <c r="G328" s="872"/>
      <c r="H328" s="874"/>
      <c r="I328" s="767"/>
      <c r="P328" s="700"/>
    </row>
    <row r="329" spans="1:16" x14ac:dyDescent="0.3">
      <c r="A329" s="889" t="s">
        <v>1023</v>
      </c>
      <c r="B329" s="868" t="s">
        <v>1009</v>
      </c>
      <c r="C329" s="867" t="str">
        <f>IF(AND('Overzicht BTA'!$C$39=TRUE,'Overzicht BTA'!$C$42= FALSE),_xlfn.CONCAT('Upload AXI - CONF'!$A329,'Upload AXI - CONF'!$B329),"")</f>
        <v/>
      </c>
      <c r="D329" s="867">
        <f>ROUND('uitgebreide raming_gewijzigd'!$D$53,2)</f>
        <v>0</v>
      </c>
      <c r="E329" s="868" t="s">
        <v>1010</v>
      </c>
      <c r="F329" s="868" t="s">
        <v>1018</v>
      </c>
      <c r="G329" s="868"/>
      <c r="H329" s="870" t="s">
        <v>960</v>
      </c>
      <c r="I329" s="767"/>
      <c r="P329" s="700"/>
    </row>
    <row r="330" spans="1:16" x14ac:dyDescent="0.3">
      <c r="A330" s="973" t="s">
        <v>1023</v>
      </c>
      <c r="B330" s="872" t="s">
        <v>1011</v>
      </c>
      <c r="C330" s="867" t="str">
        <f>IF(AND('Overzicht BTA'!$C$39=TRUE,'Overzicht BTA'!$C$42= FALSE),_xlfn.CONCAT('Upload AXI - CONF'!$A330,'Upload AXI - CONF'!$B330),"")</f>
        <v/>
      </c>
      <c r="D330" s="879">
        <f>ROUND('Overzicht BTA'!$I$52,2)</f>
        <v>0</v>
      </c>
      <c r="E330" s="872" t="s">
        <v>1012</v>
      </c>
      <c r="F330" s="872" t="s">
        <v>1018</v>
      </c>
      <c r="G330" s="872"/>
      <c r="H330" s="874"/>
      <c r="I330" s="768"/>
      <c r="P330" s="700"/>
    </row>
    <row r="331" spans="1:16" x14ac:dyDescent="0.3">
      <c r="A331" s="889" t="s">
        <v>1023</v>
      </c>
      <c r="B331" s="868" t="s">
        <v>1013</v>
      </c>
      <c r="C331" s="867" t="str">
        <f>IF(AND('Overzicht BTA'!$C$39=TRUE,'Overzicht BTA'!$C$42= FALSE),_xlfn.CONCAT('Upload AXI - CONF'!$A331,'Upload AXI - CONF'!$B331),"")</f>
        <v/>
      </c>
      <c r="D331" s="880">
        <f>ROUND('Overzicht BTA'!$J$52,2)</f>
        <v>0</v>
      </c>
      <c r="E331" s="868" t="s">
        <v>1014</v>
      </c>
      <c r="F331" s="868" t="s">
        <v>1018</v>
      </c>
      <c r="G331" s="868"/>
      <c r="H331" s="870"/>
      <c r="I331" s="768"/>
      <c r="P331" s="700"/>
    </row>
    <row r="332" spans="1:16" x14ac:dyDescent="0.3">
      <c r="A332" s="973" t="s">
        <v>1023</v>
      </c>
      <c r="B332" s="872" t="s">
        <v>1015</v>
      </c>
      <c r="C332" s="867" t="str">
        <f>IF(AND('Overzicht BTA'!$C$39=TRUE,'Overzicht BTA'!$C$42= FALSE),_xlfn.CONCAT('Upload AXI - CONF'!$A332,'Upload AXI - CONF'!$B332),"")</f>
        <v/>
      </c>
      <c r="D332" s="881">
        <f>ROUND(IFERROR('analyse bij belofte 2'!$D$25,),2)</f>
        <v>0</v>
      </c>
      <c r="E332" s="872" t="s">
        <v>1016</v>
      </c>
      <c r="F332" s="872" t="s">
        <v>1018</v>
      </c>
      <c r="G332" s="872"/>
      <c r="H332" s="874"/>
      <c r="I332" s="595"/>
      <c r="P332" s="700"/>
    </row>
    <row r="333" spans="1:16" x14ac:dyDescent="0.3">
      <c r="A333" s="889" t="s">
        <v>1024</v>
      </c>
      <c r="B333" s="868" t="s">
        <v>984</v>
      </c>
      <c r="C333" s="867" t="str">
        <f>IF(AND('Overzicht BTA'!$C$39=TRUE,'Overzicht BTA'!$C$42= FALSE),_xlfn.CONCAT('Upload AXI - CONF'!$A333,'Upload AXI - CONF'!$B333),"")</f>
        <v/>
      </c>
      <c r="D333" s="867">
        <f>ROUND('uitgebreide raming_gewijzigd'!$F$32,2)</f>
        <v>0</v>
      </c>
      <c r="E333" s="868" t="s">
        <v>985</v>
      </c>
      <c r="F333" s="868" t="s">
        <v>1018</v>
      </c>
      <c r="G333" s="868"/>
      <c r="H333" s="870" t="s">
        <v>957</v>
      </c>
      <c r="I333" s="767"/>
      <c r="P333" s="700"/>
    </row>
    <row r="334" spans="1:16" x14ac:dyDescent="0.3">
      <c r="A334" s="973" t="s">
        <v>1024</v>
      </c>
      <c r="B334" s="872" t="s">
        <v>986</v>
      </c>
      <c r="C334" s="867" t="str">
        <f>IF(AND('Overzicht BTA'!$C$39=TRUE,'Overzicht BTA'!$C$42= FALSE),_xlfn.CONCAT('Upload AXI - CONF'!$A334,'Upload AXI - CONF'!$B334),"")</f>
        <v/>
      </c>
      <c r="D334" s="871">
        <f>ROUND('uitgebreide raming_gewijzigd'!$F$33,2)</f>
        <v>0</v>
      </c>
      <c r="E334" s="872" t="s">
        <v>987</v>
      </c>
      <c r="F334" s="872" t="s">
        <v>1018</v>
      </c>
      <c r="G334" s="872"/>
      <c r="H334" s="874" t="s">
        <v>957</v>
      </c>
      <c r="I334" s="767"/>
      <c r="P334" s="700"/>
    </row>
    <row r="335" spans="1:16" x14ac:dyDescent="0.3">
      <c r="A335" s="889" t="s">
        <v>1024</v>
      </c>
      <c r="B335" s="868" t="s">
        <v>988</v>
      </c>
      <c r="C335" s="867" t="str">
        <f>IF(AND('Overzicht BTA'!$C$39=TRUE,'Overzicht BTA'!$C$42= FALSE),_xlfn.CONCAT('Upload AXI - CONF'!$A335,'Upload AXI - CONF'!$B335),"")</f>
        <v/>
      </c>
      <c r="D335" s="867">
        <f>ROUND('uitgebreide raming_gewijzigd'!$F$34,2)</f>
        <v>0</v>
      </c>
      <c r="E335" s="868" t="s">
        <v>989</v>
      </c>
      <c r="F335" s="868" t="s">
        <v>1018</v>
      </c>
      <c r="G335" s="868"/>
      <c r="H335" s="870" t="s">
        <v>957</v>
      </c>
      <c r="I335" s="767"/>
      <c r="P335" s="700"/>
    </row>
    <row r="336" spans="1:16" x14ac:dyDescent="0.3">
      <c r="A336" s="973" t="s">
        <v>1024</v>
      </c>
      <c r="B336" s="872" t="s">
        <v>990</v>
      </c>
      <c r="C336" s="867" t="str">
        <f>IF(AND('Overzicht BTA'!$C$39=TRUE,'Overzicht BTA'!$C$42= FALSE),_xlfn.CONCAT('Upload AXI - CONF'!$A336,'Upload AXI - CONF'!$B336),"")</f>
        <v/>
      </c>
      <c r="D336" s="871">
        <f>ROUND('uitgebreide raming_gewijzigd'!$F$35,2)</f>
        <v>0</v>
      </c>
      <c r="E336" s="872" t="s">
        <v>991</v>
      </c>
      <c r="F336" s="872" t="s">
        <v>1018</v>
      </c>
      <c r="G336" s="872"/>
      <c r="H336" s="874" t="s">
        <v>957</v>
      </c>
      <c r="I336" s="767"/>
      <c r="P336" s="700"/>
    </row>
    <row r="337" spans="1:16" x14ac:dyDescent="0.3">
      <c r="A337" s="889" t="s">
        <v>1024</v>
      </c>
      <c r="B337" s="868" t="s">
        <v>992</v>
      </c>
      <c r="C337" s="867" t="str">
        <f>IF(AND('Overzicht BTA'!$C$39=TRUE,'Overzicht BTA'!$C$42= FALSE),_xlfn.CONCAT('Upload AXI - CONF'!$A337,'Upload AXI - CONF'!$B337),"")</f>
        <v/>
      </c>
      <c r="D337" s="867">
        <f>'uitgebreide raming_gewijzigd'!$F$36</f>
        <v>0</v>
      </c>
      <c r="E337" s="868" t="s">
        <v>994</v>
      </c>
      <c r="F337" s="868" t="s">
        <v>1018</v>
      </c>
      <c r="G337" s="868"/>
      <c r="H337" s="870" t="s">
        <v>957</v>
      </c>
      <c r="I337" s="767"/>
      <c r="P337" s="700"/>
    </row>
    <row r="338" spans="1:16" x14ac:dyDescent="0.3">
      <c r="A338" s="973" t="s">
        <v>1024</v>
      </c>
      <c r="B338" s="872" t="s">
        <v>995</v>
      </c>
      <c r="C338" s="867" t="str">
        <f>IF(AND('Overzicht BTA'!$C$39=TRUE,'Overzicht BTA'!$C$42= FALSE),_xlfn.CONCAT('Upload AXI - CONF'!$A338,'Upload AXI - CONF'!$B338),"")</f>
        <v/>
      </c>
      <c r="D338" s="871">
        <f>ROUND('uitgebreide raming_gewijzigd'!$F$37,2)</f>
        <v>0</v>
      </c>
      <c r="E338" s="872" t="s">
        <v>996</v>
      </c>
      <c r="F338" s="872" t="s">
        <v>1018</v>
      </c>
      <c r="G338" s="872"/>
      <c r="H338" s="874" t="s">
        <v>957</v>
      </c>
      <c r="I338" s="767"/>
      <c r="P338" s="700"/>
    </row>
    <row r="339" spans="1:16" x14ac:dyDescent="0.3">
      <c r="A339" s="889" t="s">
        <v>1024</v>
      </c>
      <c r="B339" s="868" t="s">
        <v>997</v>
      </c>
      <c r="C339" s="867" t="str">
        <f>IF(AND('Overzicht BTA'!$C$39=TRUE,'Overzicht BTA'!$C$42= FALSE),_xlfn.CONCAT('Upload AXI - CONF'!$A339,'Upload AXI - CONF'!$B339),"")</f>
        <v/>
      </c>
      <c r="D339" s="867">
        <f>ROUND('uitgebreide raming_gewijzigd'!$F$38,2)</f>
        <v>0</v>
      </c>
      <c r="E339" s="868" t="s">
        <v>998</v>
      </c>
      <c r="F339" s="868" t="s">
        <v>1018</v>
      </c>
      <c r="G339" s="868"/>
      <c r="H339" s="870" t="s">
        <v>957</v>
      </c>
      <c r="I339" s="767"/>
      <c r="P339" s="700"/>
    </row>
    <row r="340" spans="1:16" x14ac:dyDescent="0.3">
      <c r="A340" s="973" t="s">
        <v>1024</v>
      </c>
      <c r="B340" s="872" t="s">
        <v>999</v>
      </c>
      <c r="C340" s="867" t="str">
        <f>IF(AND('Overzicht BTA'!$C$39=TRUE,'Overzicht BTA'!$C$42= FALSE),_xlfn.CONCAT('Upload AXI - CONF'!$A340,'Upload AXI - CONF'!$B340),"")</f>
        <v/>
      </c>
      <c r="D340" s="871">
        <f>ROUND('uitgebreide raming_gewijzigd'!$F$40,2)</f>
        <v>0</v>
      </c>
      <c r="E340" s="872" t="s">
        <v>1000</v>
      </c>
      <c r="F340" s="872" t="s">
        <v>1018</v>
      </c>
      <c r="G340" s="872"/>
      <c r="H340" s="874" t="s">
        <v>957</v>
      </c>
      <c r="I340" s="767"/>
      <c r="P340" s="700"/>
    </row>
    <row r="341" spans="1:16" x14ac:dyDescent="0.3">
      <c r="A341" s="889" t="s">
        <v>1024</v>
      </c>
      <c r="B341" s="868" t="s">
        <v>1003</v>
      </c>
      <c r="C341" s="867" t="str">
        <f>IF(AND('Overzicht BTA'!$C$39=TRUE,'Overzicht BTA'!$C$42= FALSE),_xlfn.CONCAT('Upload AXI - CONF'!$A341,'Upload AXI - CONF'!$B341),"")</f>
        <v/>
      </c>
      <c r="D341" s="867">
        <f>ROUND('uitgebreide raming_gewijzigd'!$F$41,2)</f>
        <v>0</v>
      </c>
      <c r="E341" s="868" t="s">
        <v>1004</v>
      </c>
      <c r="F341" s="868" t="s">
        <v>1018</v>
      </c>
      <c r="G341" s="868"/>
      <c r="H341" s="870" t="s">
        <v>957</v>
      </c>
      <c r="I341" s="767"/>
      <c r="P341" s="700"/>
    </row>
    <row r="342" spans="1:16" x14ac:dyDescent="0.3">
      <c r="A342" s="973" t="s">
        <v>1024</v>
      </c>
      <c r="B342" s="872" t="s">
        <v>1001</v>
      </c>
      <c r="C342" s="867" t="str">
        <f>IF(AND('Overzicht BTA'!$C$39=TRUE,'Overzicht BTA'!$C$42= FALSE),_xlfn.CONCAT('Upload AXI - CONF'!$A342,'Upload AXI - CONF'!$B342),"")</f>
        <v/>
      </c>
      <c r="D342" s="871">
        <f>ROUND('uitgebreide raming'!$H$76,2)</f>
        <v>0</v>
      </c>
      <c r="E342" s="872" t="s">
        <v>1002</v>
      </c>
      <c r="F342" s="872" t="s">
        <v>1018</v>
      </c>
      <c r="G342" s="872"/>
      <c r="H342" s="874" t="s">
        <v>957</v>
      </c>
      <c r="I342" s="767"/>
      <c r="P342" s="700"/>
    </row>
    <row r="343" spans="1:16" x14ac:dyDescent="0.3">
      <c r="A343" s="889" t="s">
        <v>1024</v>
      </c>
      <c r="B343" s="868" t="s">
        <v>1005</v>
      </c>
      <c r="C343" s="867" t="str">
        <f>IF(AND('Overzicht BTA'!$C$39=TRUE,'Overzicht BTA'!$C$42= FALSE),_xlfn.CONCAT('Upload AXI - CONF'!$A343,'Upload AXI - CONF'!$B343),"")</f>
        <v/>
      </c>
      <c r="D343" s="878">
        <f>ROUND('uitgebreide raming_gewijzigd'!$G$46,2)</f>
        <v>0.21</v>
      </c>
      <c r="E343" s="868" t="s">
        <v>1006</v>
      </c>
      <c r="F343" s="868" t="s">
        <v>1018</v>
      </c>
      <c r="G343" s="868"/>
      <c r="H343" s="870"/>
      <c r="I343" s="595"/>
      <c r="P343" s="700"/>
    </row>
    <row r="344" spans="1:16" x14ac:dyDescent="0.3">
      <c r="A344" s="973" t="s">
        <v>1024</v>
      </c>
      <c r="B344" s="872" t="s">
        <v>1007</v>
      </c>
      <c r="C344" s="867" t="str">
        <f>IF(AND('Overzicht BTA'!$C$39=TRUE,'Overzicht BTA'!$C$42= FALSE),_xlfn.CONCAT('Upload AXI - CONF'!$A344,'Upload AXI - CONF'!$B344),"")</f>
        <v/>
      </c>
      <c r="D344" s="871">
        <f>ROUND('uitgebreide raming_gewijzigd'!$F$51,2)</f>
        <v>0</v>
      </c>
      <c r="E344" s="872" t="s">
        <v>1008</v>
      </c>
      <c r="F344" s="872" t="s">
        <v>1018</v>
      </c>
      <c r="G344" s="872"/>
      <c r="H344" s="874"/>
      <c r="I344" s="767"/>
      <c r="P344" s="700"/>
    </row>
    <row r="345" spans="1:16" x14ac:dyDescent="0.3">
      <c r="A345" s="889" t="s">
        <v>1024</v>
      </c>
      <c r="B345" s="868" t="s">
        <v>1009</v>
      </c>
      <c r="C345" s="867" t="str">
        <f>IF(AND('Overzicht BTA'!$C$39=TRUE,'Overzicht BTA'!$C$42= FALSE),_xlfn.CONCAT('Upload AXI - CONF'!$A345,'Upload AXI - CONF'!$B345),"")</f>
        <v/>
      </c>
      <c r="D345" s="867">
        <f>ROUND('uitgebreide raming_gewijzigd'!$F$53,2)</f>
        <v>0</v>
      </c>
      <c r="E345" s="868" t="s">
        <v>1010</v>
      </c>
      <c r="F345" s="868" t="s">
        <v>1018</v>
      </c>
      <c r="G345" s="868"/>
      <c r="H345" s="870" t="s">
        <v>960</v>
      </c>
      <c r="I345" s="767"/>
      <c r="P345" s="700"/>
    </row>
    <row r="346" spans="1:16" x14ac:dyDescent="0.3">
      <c r="A346" s="973" t="s">
        <v>1024</v>
      </c>
      <c r="B346" s="872" t="s">
        <v>1011</v>
      </c>
      <c r="C346" s="867" t="str">
        <f>IF(AND('Overzicht BTA'!$C$39=TRUE,'Overzicht BTA'!$C$42= FALSE),_xlfn.CONCAT('Upload AXI - CONF'!$A346,'Upload AXI - CONF'!$B346),"")</f>
        <v/>
      </c>
      <c r="D346" s="879">
        <f>ROUND('Overzicht BTA'!$I$53,2)</f>
        <v>0</v>
      </c>
      <c r="E346" s="872" t="s">
        <v>1012</v>
      </c>
      <c r="F346" s="872" t="s">
        <v>1018</v>
      </c>
      <c r="G346" s="872"/>
      <c r="H346" s="874"/>
      <c r="I346" s="768"/>
      <c r="P346" s="700"/>
    </row>
    <row r="347" spans="1:16" x14ac:dyDescent="0.3">
      <c r="A347" s="889" t="s">
        <v>1024</v>
      </c>
      <c r="B347" s="868" t="s">
        <v>1013</v>
      </c>
      <c r="C347" s="867" t="str">
        <f>IF(AND('Overzicht BTA'!$C$39=TRUE,'Overzicht BTA'!$C$42= FALSE),_xlfn.CONCAT('Upload AXI - CONF'!$A347,'Upload AXI - CONF'!$B347),"")</f>
        <v/>
      </c>
      <c r="D347" s="880">
        <f>ROUND('Overzicht BTA'!$J$53,2)</f>
        <v>0</v>
      </c>
      <c r="E347" s="868" t="s">
        <v>1014</v>
      </c>
      <c r="F347" s="868" t="s">
        <v>1018</v>
      </c>
      <c r="G347" s="868"/>
      <c r="H347" s="870"/>
      <c r="I347" s="768"/>
      <c r="P347" s="700"/>
    </row>
    <row r="348" spans="1:16" x14ac:dyDescent="0.3">
      <c r="A348" s="973" t="s">
        <v>1024</v>
      </c>
      <c r="B348" s="872" t="s">
        <v>1015</v>
      </c>
      <c r="C348" s="867" t="str">
        <f>IF(AND('Overzicht BTA'!$C$39=TRUE,'Overzicht BTA'!$C$42= FALSE),_xlfn.CONCAT('Upload AXI - CONF'!$A348,'Upload AXI - CONF'!$B348),"")</f>
        <v/>
      </c>
      <c r="D348" s="881">
        <f>ROUND(IFERROR('analyse bij belofte 2'!$F$25,),2)</f>
        <v>0</v>
      </c>
      <c r="E348" s="872" t="s">
        <v>1016</v>
      </c>
      <c r="F348" s="872" t="s">
        <v>1018</v>
      </c>
      <c r="G348" s="872"/>
      <c r="H348" s="874"/>
      <c r="I348" s="595"/>
      <c r="P348" s="700"/>
    </row>
    <row r="349" spans="1:16" x14ac:dyDescent="0.3">
      <c r="A349" s="889" t="s">
        <v>1025</v>
      </c>
      <c r="B349" s="868" t="s">
        <v>984</v>
      </c>
      <c r="C349" s="867" t="str">
        <f>IF(AND('Overzicht BTA'!$C$39=TRUE,'Overzicht BTA'!$C$42= FALSE),_xlfn.CONCAT('Upload AXI - CONF'!$A349,'Upload AXI - CONF'!$B349),"")</f>
        <v/>
      </c>
      <c r="D349" s="867">
        <f>ROUND('uitgebreide raming_gewijzigd'!$H$32,2)</f>
        <v>0</v>
      </c>
      <c r="E349" s="868" t="s">
        <v>985</v>
      </c>
      <c r="F349" s="868" t="s">
        <v>1018</v>
      </c>
      <c r="G349" s="868"/>
      <c r="H349" s="870" t="s">
        <v>957</v>
      </c>
      <c r="I349" s="767"/>
      <c r="P349" s="700"/>
    </row>
    <row r="350" spans="1:16" x14ac:dyDescent="0.3">
      <c r="A350" s="973" t="s">
        <v>1025</v>
      </c>
      <c r="B350" s="872" t="s">
        <v>986</v>
      </c>
      <c r="C350" s="867" t="str">
        <f>IF(AND('Overzicht BTA'!$C$39=TRUE,'Overzicht BTA'!$C$42= FALSE),_xlfn.CONCAT('Upload AXI - CONF'!$A350,'Upload AXI - CONF'!$B350),"")</f>
        <v/>
      </c>
      <c r="D350" s="871">
        <f>ROUND('uitgebreide raming_gewijzigd'!$H$33,2)</f>
        <v>0</v>
      </c>
      <c r="E350" s="872" t="s">
        <v>987</v>
      </c>
      <c r="F350" s="872" t="s">
        <v>1018</v>
      </c>
      <c r="G350" s="872"/>
      <c r="H350" s="874" t="s">
        <v>957</v>
      </c>
      <c r="I350" s="767"/>
      <c r="P350" s="700"/>
    </row>
    <row r="351" spans="1:16" x14ac:dyDescent="0.3">
      <c r="A351" s="889" t="s">
        <v>1025</v>
      </c>
      <c r="B351" s="868" t="s">
        <v>988</v>
      </c>
      <c r="C351" s="867" t="str">
        <f>IF(AND('Overzicht BTA'!$C$39=TRUE,'Overzicht BTA'!$C$42= FALSE),_xlfn.CONCAT('Upload AXI - CONF'!$A351,'Upload AXI - CONF'!$B351),"")</f>
        <v/>
      </c>
      <c r="D351" s="867">
        <f>ROUND('uitgebreide raming_gewijzigd'!$H$34,2)</f>
        <v>0</v>
      </c>
      <c r="E351" s="868" t="s">
        <v>989</v>
      </c>
      <c r="F351" s="868" t="s">
        <v>1018</v>
      </c>
      <c r="G351" s="868"/>
      <c r="H351" s="870" t="s">
        <v>957</v>
      </c>
      <c r="I351" s="767"/>
      <c r="P351" s="700"/>
    </row>
    <row r="352" spans="1:16" x14ac:dyDescent="0.3">
      <c r="A352" s="973" t="s">
        <v>1025</v>
      </c>
      <c r="B352" s="872" t="s">
        <v>990</v>
      </c>
      <c r="C352" s="867" t="str">
        <f>IF(AND('Overzicht BTA'!$C$39=TRUE,'Overzicht BTA'!$C$42= FALSE),_xlfn.CONCAT('Upload AXI - CONF'!$A352,'Upload AXI - CONF'!$B352),"")</f>
        <v/>
      </c>
      <c r="D352" s="871">
        <f>ROUND('uitgebreide raming_gewijzigd'!$H$35,2)</f>
        <v>0</v>
      </c>
      <c r="E352" s="872" t="s">
        <v>991</v>
      </c>
      <c r="F352" s="872" t="s">
        <v>1018</v>
      </c>
      <c r="G352" s="872"/>
      <c r="H352" s="874" t="s">
        <v>957</v>
      </c>
      <c r="I352" s="767"/>
      <c r="P352" s="700"/>
    </row>
    <row r="353" spans="1:16" x14ac:dyDescent="0.3">
      <c r="A353" s="889" t="s">
        <v>1025</v>
      </c>
      <c r="B353" s="868" t="s">
        <v>992</v>
      </c>
      <c r="C353" s="867" t="str">
        <f>IF(AND('Overzicht BTA'!$C$39=TRUE,'Overzicht BTA'!$C$42= FALSE),_xlfn.CONCAT('Upload AXI - CONF'!$A353,'Upload AXI - CONF'!$B353),"")</f>
        <v/>
      </c>
      <c r="D353" s="867">
        <f>'uitgebreide raming_gewijzigd'!$H$36</f>
        <v>0</v>
      </c>
      <c r="E353" s="868" t="s">
        <v>994</v>
      </c>
      <c r="F353" s="868" t="s">
        <v>1018</v>
      </c>
      <c r="G353" s="868"/>
      <c r="H353" s="870" t="s">
        <v>957</v>
      </c>
      <c r="I353" s="767"/>
      <c r="P353" s="700"/>
    </row>
    <row r="354" spans="1:16" x14ac:dyDescent="0.3">
      <c r="A354" s="973" t="s">
        <v>1025</v>
      </c>
      <c r="B354" s="872" t="s">
        <v>995</v>
      </c>
      <c r="C354" s="867" t="str">
        <f>IF(AND('Overzicht BTA'!$C$39=TRUE,'Overzicht BTA'!$C$42= FALSE),_xlfn.CONCAT('Upload AXI - CONF'!$A354,'Upload AXI - CONF'!$B354),"")</f>
        <v/>
      </c>
      <c r="D354" s="871">
        <f>ROUND('uitgebreide raming_gewijzigd'!$H$37,2)</f>
        <v>0</v>
      </c>
      <c r="E354" s="872" t="s">
        <v>996</v>
      </c>
      <c r="F354" s="872" t="s">
        <v>1018</v>
      </c>
      <c r="G354" s="872"/>
      <c r="H354" s="874" t="s">
        <v>957</v>
      </c>
      <c r="I354" s="767"/>
      <c r="P354" s="700"/>
    </row>
    <row r="355" spans="1:16" x14ac:dyDescent="0.3">
      <c r="A355" s="889" t="s">
        <v>1025</v>
      </c>
      <c r="B355" s="868" t="s">
        <v>997</v>
      </c>
      <c r="C355" s="867" t="str">
        <f>IF(AND('Overzicht BTA'!$C$39=TRUE,'Overzicht BTA'!$C$42= FALSE),_xlfn.CONCAT('Upload AXI - CONF'!$A355,'Upload AXI - CONF'!$B355),"")</f>
        <v/>
      </c>
      <c r="D355" s="867">
        <f>'uitgebreide raming_gewijzigd'!$H$38</f>
        <v>0</v>
      </c>
      <c r="E355" s="868" t="s">
        <v>998</v>
      </c>
      <c r="F355" s="868" t="s">
        <v>1018</v>
      </c>
      <c r="G355" s="868"/>
      <c r="H355" s="870" t="s">
        <v>957</v>
      </c>
      <c r="I355" s="767"/>
      <c r="P355" s="700"/>
    </row>
    <row r="356" spans="1:16" x14ac:dyDescent="0.3">
      <c r="A356" s="973" t="s">
        <v>1025</v>
      </c>
      <c r="B356" s="872" t="s">
        <v>999</v>
      </c>
      <c r="C356" s="867" t="str">
        <f>IF(AND('Overzicht BTA'!$C$39=TRUE,'Overzicht BTA'!$C$42= FALSE),_xlfn.CONCAT('Upload AXI - CONF'!$A356,'Upload AXI - CONF'!$B356),"")</f>
        <v/>
      </c>
      <c r="D356" s="871">
        <f>ROUND('uitgebreide raming_gewijzigd'!$H$40,2)</f>
        <v>0</v>
      </c>
      <c r="E356" s="872" t="s">
        <v>1000</v>
      </c>
      <c r="F356" s="872" t="s">
        <v>1018</v>
      </c>
      <c r="G356" s="872"/>
      <c r="H356" s="874" t="s">
        <v>957</v>
      </c>
      <c r="I356" s="767"/>
      <c r="P356" s="700"/>
    </row>
    <row r="357" spans="1:16" x14ac:dyDescent="0.3">
      <c r="A357" s="889" t="s">
        <v>1025</v>
      </c>
      <c r="B357" s="868" t="s">
        <v>1003</v>
      </c>
      <c r="C357" s="867" t="str">
        <f>IF(AND('Overzicht BTA'!$C$39=TRUE,'Overzicht BTA'!$C$42= FALSE),_xlfn.CONCAT('Upload AXI - CONF'!$A357,'Upload AXI - CONF'!$B357),"")</f>
        <v/>
      </c>
      <c r="D357" s="867">
        <f>ROUND('uitgebreide raming_gewijzigd'!$H$41,2)</f>
        <v>0</v>
      </c>
      <c r="E357" s="868" t="s">
        <v>1004</v>
      </c>
      <c r="F357" s="868" t="s">
        <v>1018</v>
      </c>
      <c r="G357" s="868"/>
      <c r="H357" s="870" t="s">
        <v>957</v>
      </c>
      <c r="I357" s="767"/>
      <c r="P357" s="700"/>
    </row>
    <row r="358" spans="1:16" x14ac:dyDescent="0.3">
      <c r="A358" s="973" t="s">
        <v>1025</v>
      </c>
      <c r="B358" s="872" t="s">
        <v>1001</v>
      </c>
      <c r="C358" s="867" t="str">
        <f>IF(AND('Overzicht BTA'!$C$39=TRUE,'Overzicht BTA'!$C$42= FALSE),_xlfn.CONCAT('Upload AXI - CONF'!$A358,'Upload AXI - CONF'!$B358),"")</f>
        <v/>
      </c>
      <c r="D358" s="871">
        <f>ROUND('uitgebreide raming'!$H$76,2)</f>
        <v>0</v>
      </c>
      <c r="E358" s="872" t="s">
        <v>1002</v>
      </c>
      <c r="F358" s="872" t="s">
        <v>1018</v>
      </c>
      <c r="G358" s="872"/>
      <c r="H358" s="874" t="s">
        <v>957</v>
      </c>
      <c r="I358" s="767"/>
      <c r="P358" s="700"/>
    </row>
    <row r="359" spans="1:16" x14ac:dyDescent="0.3">
      <c r="A359" s="889" t="s">
        <v>1025</v>
      </c>
      <c r="B359" s="868" t="s">
        <v>1005</v>
      </c>
      <c r="C359" s="867" t="str">
        <f>IF(AND('Overzicht BTA'!$C$39=TRUE,'Overzicht BTA'!$C$42= FALSE),_xlfn.CONCAT('Upload AXI - CONF'!$A359,'Upload AXI - CONF'!$B359),"")</f>
        <v/>
      </c>
      <c r="D359" s="878">
        <f>ROUND('uitgebreide raming_gewijzigd'!$I$46,2)</f>
        <v>0.21</v>
      </c>
      <c r="E359" s="868" t="s">
        <v>1006</v>
      </c>
      <c r="F359" s="868" t="s">
        <v>1018</v>
      </c>
      <c r="G359" s="868"/>
      <c r="H359" s="870"/>
      <c r="I359" s="595"/>
      <c r="P359" s="700"/>
    </row>
    <row r="360" spans="1:16" x14ac:dyDescent="0.3">
      <c r="A360" s="973" t="s">
        <v>1025</v>
      </c>
      <c r="B360" s="872" t="s">
        <v>1007</v>
      </c>
      <c r="C360" s="867" t="str">
        <f>IF(AND('Overzicht BTA'!$C$39=TRUE,'Overzicht BTA'!$C$42= FALSE),_xlfn.CONCAT('Upload AXI - CONF'!$A360,'Upload AXI - CONF'!$B360),"")</f>
        <v/>
      </c>
      <c r="D360" s="871">
        <f>ROUND('uitgebreide raming_gewijzigd'!$H$51,2)</f>
        <v>0</v>
      </c>
      <c r="E360" s="872" t="s">
        <v>1008</v>
      </c>
      <c r="F360" s="872" t="s">
        <v>1018</v>
      </c>
      <c r="G360" s="872"/>
      <c r="H360" s="874"/>
      <c r="I360" s="767"/>
      <c r="P360" s="700"/>
    </row>
    <row r="361" spans="1:16" x14ac:dyDescent="0.3">
      <c r="A361" s="889" t="s">
        <v>1025</v>
      </c>
      <c r="B361" s="868" t="s">
        <v>1009</v>
      </c>
      <c r="C361" s="867" t="str">
        <f>IF(AND('Overzicht BTA'!$C$39=TRUE,'Overzicht BTA'!$C$42= FALSE),_xlfn.CONCAT('Upload AXI - CONF'!$A361,'Upload AXI - CONF'!$B361),"")</f>
        <v/>
      </c>
      <c r="D361" s="867">
        <f>ROUND('uitgebreide raming_gewijzigd'!$H$53,2)</f>
        <v>0</v>
      </c>
      <c r="E361" s="868" t="s">
        <v>1010</v>
      </c>
      <c r="F361" s="868" t="s">
        <v>1018</v>
      </c>
      <c r="G361" s="868"/>
      <c r="H361" s="870" t="s">
        <v>960</v>
      </c>
      <c r="I361" s="767"/>
      <c r="P361" s="700"/>
    </row>
    <row r="362" spans="1:16" x14ac:dyDescent="0.3">
      <c r="A362" s="973" t="s">
        <v>1025</v>
      </c>
      <c r="B362" s="872" t="s">
        <v>1011</v>
      </c>
      <c r="C362" s="867" t="str">
        <f>IF(AND('Overzicht BTA'!$C$39=TRUE,'Overzicht BTA'!$C$42= FALSE),_xlfn.CONCAT('Upload AXI - CONF'!$A362,'Upload AXI - CONF'!$B362),"")</f>
        <v/>
      </c>
      <c r="D362" s="879">
        <f>ROUND('Overzicht BTA'!$I$54,2)</f>
        <v>0</v>
      </c>
      <c r="E362" s="872" t="s">
        <v>1012</v>
      </c>
      <c r="F362" s="872" t="s">
        <v>1018</v>
      </c>
      <c r="G362" s="872"/>
      <c r="H362" s="874"/>
      <c r="I362" s="768"/>
      <c r="P362" s="700"/>
    </row>
    <row r="363" spans="1:16" x14ac:dyDescent="0.3">
      <c r="A363" s="889" t="s">
        <v>1025</v>
      </c>
      <c r="B363" s="868" t="s">
        <v>1013</v>
      </c>
      <c r="C363" s="867" t="str">
        <f>IF(AND('Overzicht BTA'!$C$39=TRUE,'Overzicht BTA'!$C$42= FALSE),_xlfn.CONCAT('Upload AXI - CONF'!$A363,'Upload AXI - CONF'!$B363),"")</f>
        <v/>
      </c>
      <c r="D363" s="880">
        <f>ROUND('Overzicht BTA'!$J$54,2)</f>
        <v>0</v>
      </c>
      <c r="E363" s="868" t="s">
        <v>1014</v>
      </c>
      <c r="F363" s="868" t="s">
        <v>1018</v>
      </c>
      <c r="G363" s="868"/>
      <c r="H363" s="870"/>
      <c r="I363" s="768"/>
      <c r="P363" s="700"/>
    </row>
    <row r="364" spans="1:16" x14ac:dyDescent="0.3">
      <c r="A364" s="973" t="s">
        <v>1025</v>
      </c>
      <c r="B364" s="872" t="s">
        <v>1015</v>
      </c>
      <c r="C364" s="867" t="str">
        <f>IF(AND('Overzicht BTA'!$C$39=TRUE,'Overzicht BTA'!$C$42= FALSE),_xlfn.CONCAT('Upload AXI - CONF'!$A364,'Upload AXI - CONF'!$B364),"")</f>
        <v/>
      </c>
      <c r="D364" s="881">
        <f>ROUND(IFERROR('analyse bij belofte 2'!$H$25,0),2)</f>
        <v>0</v>
      </c>
      <c r="E364" s="872" t="s">
        <v>1016</v>
      </c>
      <c r="F364" s="872" t="s">
        <v>1018</v>
      </c>
      <c r="G364" s="872"/>
      <c r="H364" s="874"/>
      <c r="I364" s="595"/>
      <c r="P364" s="700"/>
    </row>
    <row r="365" spans="1:16" x14ac:dyDescent="0.3">
      <c r="A365" s="889" t="s">
        <v>1026</v>
      </c>
      <c r="B365" s="868" t="s">
        <v>984</v>
      </c>
      <c r="C365" s="867" t="str">
        <f>IF(AND('Overzicht BTA'!$C$39=TRUE,'Overzicht BTA'!$C$42= FALSE),_xlfn.CONCAT('Upload AXI - CONF'!$A365,'Upload AXI - CONF'!$B365),"")</f>
        <v/>
      </c>
      <c r="D365" s="867">
        <f>ROUND('uitgebreide raming_gewijzigd'!$B$59,2)</f>
        <v>0</v>
      </c>
      <c r="E365" s="868" t="s">
        <v>985</v>
      </c>
      <c r="F365" s="868" t="s">
        <v>1018</v>
      </c>
      <c r="G365" s="868"/>
      <c r="H365" s="870" t="s">
        <v>957</v>
      </c>
      <c r="I365" s="767"/>
      <c r="P365" s="700"/>
    </row>
    <row r="366" spans="1:16" x14ac:dyDescent="0.3">
      <c r="A366" s="973" t="s">
        <v>1026</v>
      </c>
      <c r="B366" s="872" t="s">
        <v>986</v>
      </c>
      <c r="C366" s="867" t="str">
        <f>IF(AND('Overzicht BTA'!$C$39=TRUE,'Overzicht BTA'!$C$42= FALSE),_xlfn.CONCAT('Upload AXI - CONF'!$A366,'Upload AXI - CONF'!$B366),"")</f>
        <v/>
      </c>
      <c r="D366" s="871">
        <f>ROUND('uitgebreide raming_gewijzigd'!$B$60,2)</f>
        <v>0</v>
      </c>
      <c r="E366" s="872" t="s">
        <v>987</v>
      </c>
      <c r="F366" s="872" t="s">
        <v>1018</v>
      </c>
      <c r="G366" s="872"/>
      <c r="H366" s="874" t="s">
        <v>957</v>
      </c>
      <c r="I366" s="767"/>
      <c r="P366" s="700"/>
    </row>
    <row r="367" spans="1:16" x14ac:dyDescent="0.3">
      <c r="A367" s="889" t="s">
        <v>1026</v>
      </c>
      <c r="B367" s="868" t="s">
        <v>988</v>
      </c>
      <c r="C367" s="867" t="str">
        <f>IF(AND('Overzicht BTA'!$C$39=TRUE,'Overzicht BTA'!$C$42= FALSE),_xlfn.CONCAT('Upload AXI - CONF'!$A367,'Upload AXI - CONF'!$B367),"")</f>
        <v/>
      </c>
      <c r="D367" s="867">
        <f>ROUND('uitgebreide raming_gewijzigd'!$B$61,2)</f>
        <v>0</v>
      </c>
      <c r="E367" s="868" t="s">
        <v>989</v>
      </c>
      <c r="F367" s="868" t="s">
        <v>1018</v>
      </c>
      <c r="G367" s="868"/>
      <c r="H367" s="870" t="s">
        <v>957</v>
      </c>
      <c r="I367" s="767"/>
      <c r="P367" s="700"/>
    </row>
    <row r="368" spans="1:16" x14ac:dyDescent="0.3">
      <c r="A368" s="973" t="s">
        <v>1026</v>
      </c>
      <c r="B368" s="872" t="s">
        <v>990</v>
      </c>
      <c r="C368" s="867" t="str">
        <f>IF(AND('Overzicht BTA'!$C$39=TRUE,'Overzicht BTA'!$C$42= FALSE),_xlfn.CONCAT('Upload AXI - CONF'!$A368,'Upload AXI - CONF'!$B368),"")</f>
        <v/>
      </c>
      <c r="D368" s="871">
        <f>ROUND('uitgebreide raming_gewijzigd'!$B$62,2)</f>
        <v>0</v>
      </c>
      <c r="E368" s="872" t="s">
        <v>991</v>
      </c>
      <c r="F368" s="872" t="s">
        <v>1018</v>
      </c>
      <c r="G368" s="872"/>
      <c r="H368" s="874" t="s">
        <v>957</v>
      </c>
      <c r="I368" s="767"/>
      <c r="P368" s="700"/>
    </row>
    <row r="369" spans="1:16" x14ac:dyDescent="0.3">
      <c r="A369" s="889" t="s">
        <v>1026</v>
      </c>
      <c r="B369" s="868" t="s">
        <v>992</v>
      </c>
      <c r="C369" s="867" t="str">
        <f>IF(AND('Overzicht BTA'!$C$39=TRUE,'Overzicht BTA'!$C$42= FALSE),_xlfn.CONCAT('Upload AXI - CONF'!$A369,'Upload AXI - CONF'!$B369),"")</f>
        <v/>
      </c>
      <c r="D369" s="867">
        <f>'uitgebreide raming_gewijzigd'!$B$63</f>
        <v>0</v>
      </c>
      <c r="E369" s="868" t="s">
        <v>994</v>
      </c>
      <c r="F369" s="868" t="s">
        <v>1018</v>
      </c>
      <c r="G369" s="868"/>
      <c r="H369" s="870" t="s">
        <v>957</v>
      </c>
      <c r="I369" s="767"/>
      <c r="P369" s="700"/>
    </row>
    <row r="370" spans="1:16" x14ac:dyDescent="0.3">
      <c r="A370" s="973" t="s">
        <v>1026</v>
      </c>
      <c r="B370" s="872" t="s">
        <v>995</v>
      </c>
      <c r="C370" s="867" t="str">
        <f>IF(AND('Overzicht BTA'!$C$39=TRUE,'Overzicht BTA'!$C$42= FALSE),_xlfn.CONCAT('Upload AXI - CONF'!$A370,'Upload AXI - CONF'!$B370),"")</f>
        <v/>
      </c>
      <c r="D370" s="871">
        <f>ROUND('uitgebreide raming_gewijzigd'!$B$64,2)</f>
        <v>0</v>
      </c>
      <c r="E370" s="872" t="s">
        <v>996</v>
      </c>
      <c r="F370" s="872" t="s">
        <v>1018</v>
      </c>
      <c r="G370" s="872"/>
      <c r="H370" s="874" t="s">
        <v>957</v>
      </c>
      <c r="I370" s="767"/>
      <c r="P370" s="700"/>
    </row>
    <row r="371" spans="1:16" x14ac:dyDescent="0.3">
      <c r="A371" s="889" t="s">
        <v>1026</v>
      </c>
      <c r="B371" s="868" t="s">
        <v>997</v>
      </c>
      <c r="C371" s="867" t="str">
        <f>IF(AND('Overzicht BTA'!$C$39=TRUE,'Overzicht BTA'!$C$42= FALSE),_xlfn.CONCAT('Upload AXI - CONF'!$A371,'Upload AXI - CONF'!$B371),"")</f>
        <v/>
      </c>
      <c r="D371" s="867">
        <f>'uitgebreide raming_gewijzigd'!$B$65</f>
        <v>0</v>
      </c>
      <c r="E371" s="868" t="s">
        <v>998</v>
      </c>
      <c r="F371" s="868" t="s">
        <v>1018</v>
      </c>
      <c r="G371" s="868"/>
      <c r="H371" s="870" t="s">
        <v>957</v>
      </c>
      <c r="I371" s="767"/>
      <c r="P371" s="700"/>
    </row>
    <row r="372" spans="1:16" x14ac:dyDescent="0.3">
      <c r="A372" s="973" t="s">
        <v>1026</v>
      </c>
      <c r="B372" s="872" t="s">
        <v>999</v>
      </c>
      <c r="C372" s="867" t="str">
        <f>IF(AND('Overzicht BTA'!$C$39=TRUE,'Overzicht BTA'!$C$42= FALSE),_xlfn.CONCAT('Upload AXI - CONF'!$A372,'Upload AXI - CONF'!$B372),"")</f>
        <v/>
      </c>
      <c r="D372" s="871">
        <f>ROUND('uitgebreide raming_gewijzigd'!$B$67,2)</f>
        <v>0</v>
      </c>
      <c r="E372" s="872" t="s">
        <v>1000</v>
      </c>
      <c r="F372" s="872" t="s">
        <v>1018</v>
      </c>
      <c r="G372" s="872"/>
      <c r="H372" s="874" t="s">
        <v>957</v>
      </c>
      <c r="I372" s="767"/>
      <c r="P372" s="700"/>
    </row>
    <row r="373" spans="1:16" x14ac:dyDescent="0.3">
      <c r="A373" s="889" t="s">
        <v>1026</v>
      </c>
      <c r="B373" s="868" t="s">
        <v>1003</v>
      </c>
      <c r="C373" s="867" t="str">
        <f>IF(AND('Overzicht BTA'!$C$39=TRUE,'Overzicht BTA'!$C$42= FALSE),_xlfn.CONCAT('Upload AXI - CONF'!$A373,'Upload AXI - CONF'!$B373),"")</f>
        <v/>
      </c>
      <c r="D373" s="867">
        <f>ROUND('uitgebreide raming_gewijzigd'!$B$68,2)</f>
        <v>0</v>
      </c>
      <c r="E373" s="868" t="s">
        <v>1004</v>
      </c>
      <c r="F373" s="868" t="s">
        <v>1018</v>
      </c>
      <c r="G373" s="868"/>
      <c r="H373" s="870" t="s">
        <v>957</v>
      </c>
      <c r="I373" s="767"/>
      <c r="P373" s="700"/>
    </row>
    <row r="374" spans="1:16" x14ac:dyDescent="0.3">
      <c r="A374" s="973" t="s">
        <v>1026</v>
      </c>
      <c r="B374" s="872" t="s">
        <v>1001</v>
      </c>
      <c r="C374" s="867" t="str">
        <f>IF(AND('Overzicht BTA'!$C$39=TRUE,'Overzicht BTA'!$C$42= FALSE),_xlfn.CONCAT('Upload AXI - CONF'!$A374,'Upload AXI - CONF'!$B374),"")</f>
        <v/>
      </c>
      <c r="D374" s="871">
        <f>ROUND('uitgebreide raming'!$H$76,2)</f>
        <v>0</v>
      </c>
      <c r="E374" s="872" t="s">
        <v>1002</v>
      </c>
      <c r="F374" s="872" t="s">
        <v>1018</v>
      </c>
      <c r="G374" s="872"/>
      <c r="H374" s="874" t="s">
        <v>957</v>
      </c>
      <c r="I374" s="767"/>
      <c r="P374" s="700"/>
    </row>
    <row r="375" spans="1:16" x14ac:dyDescent="0.3">
      <c r="A375" s="889" t="s">
        <v>1026</v>
      </c>
      <c r="B375" s="868" t="s">
        <v>1005</v>
      </c>
      <c r="C375" s="867" t="str">
        <f>IF(AND('Overzicht BTA'!$C$39=TRUE,'Overzicht BTA'!$C$42= FALSE),_xlfn.CONCAT('Upload AXI - CONF'!$A375,'Upload AXI - CONF'!$B375),"")</f>
        <v/>
      </c>
      <c r="D375" s="878">
        <f>ROUND('uitgebreide raming_gewijzigd'!$E$73,2)</f>
        <v>0.21</v>
      </c>
      <c r="E375" s="868" t="s">
        <v>1006</v>
      </c>
      <c r="F375" s="868" t="s">
        <v>1018</v>
      </c>
      <c r="G375" s="868"/>
      <c r="H375" s="870"/>
      <c r="I375" s="595"/>
      <c r="P375" s="700"/>
    </row>
    <row r="376" spans="1:16" x14ac:dyDescent="0.3">
      <c r="A376" s="973" t="s">
        <v>1026</v>
      </c>
      <c r="B376" s="872" t="s">
        <v>1007</v>
      </c>
      <c r="C376" s="867" t="str">
        <f>IF(AND('Overzicht BTA'!$C$39=TRUE,'Overzicht BTA'!$C$42= FALSE),_xlfn.CONCAT('Upload AXI - CONF'!$A376,'Upload AXI - CONF'!$B376),"")</f>
        <v/>
      </c>
      <c r="D376" s="871">
        <f>ROUND('uitgebreide raming_gewijzigd'!$B$73,2)</f>
        <v>0</v>
      </c>
      <c r="E376" s="872" t="s">
        <v>1008</v>
      </c>
      <c r="F376" s="872" t="s">
        <v>1018</v>
      </c>
      <c r="G376" s="872"/>
      <c r="H376" s="874"/>
      <c r="I376" s="767"/>
      <c r="P376" s="700"/>
    </row>
    <row r="377" spans="1:16" x14ac:dyDescent="0.3">
      <c r="A377" s="889" t="s">
        <v>1026</v>
      </c>
      <c r="B377" s="868" t="s">
        <v>1009</v>
      </c>
      <c r="C377" s="867" t="str">
        <f>IF(AND('Overzicht BTA'!$C$39=TRUE,'Overzicht BTA'!$C$42= FALSE),_xlfn.CONCAT('Upload AXI - CONF'!$A377,'Upload AXI - CONF'!$B377),"")</f>
        <v/>
      </c>
      <c r="D377" s="867">
        <f>ROUND('uitgebreide raming'!$B$80,2)</f>
        <v>0</v>
      </c>
      <c r="E377" s="868" t="s">
        <v>1010</v>
      </c>
      <c r="F377" s="868" t="s">
        <v>1018</v>
      </c>
      <c r="G377" s="868"/>
      <c r="H377" s="870" t="s">
        <v>960</v>
      </c>
      <c r="I377" s="767"/>
      <c r="P377" s="700"/>
    </row>
    <row r="378" spans="1:16" x14ac:dyDescent="0.3">
      <c r="A378" s="973" t="s">
        <v>1026</v>
      </c>
      <c r="B378" s="872" t="s">
        <v>1011</v>
      </c>
      <c r="C378" s="867" t="str">
        <f>IF(AND('Overzicht BTA'!$C$39=TRUE,'Overzicht BTA'!$C$42= FALSE),_xlfn.CONCAT('Upload AXI - CONF'!$A378,'Upload AXI - CONF'!$B378),"")</f>
        <v/>
      </c>
      <c r="D378" s="882">
        <f>ROUND('Overzicht BTA'!$O$51,2)</f>
        <v>0</v>
      </c>
      <c r="E378" s="872" t="s">
        <v>1012</v>
      </c>
      <c r="F378" s="872" t="s">
        <v>1018</v>
      </c>
      <c r="G378" s="872"/>
      <c r="H378" s="874"/>
      <c r="I378" s="773"/>
      <c r="P378" s="700"/>
    </row>
    <row r="379" spans="1:16" x14ac:dyDescent="0.3">
      <c r="A379" s="889" t="s">
        <v>1026</v>
      </c>
      <c r="B379" s="868" t="s">
        <v>1013</v>
      </c>
      <c r="C379" s="867" t="str">
        <f>IF(AND('Overzicht BTA'!$C$39=TRUE,'Overzicht BTA'!$C$42= FALSE),_xlfn.CONCAT('Upload AXI - CONF'!$A379,'Upload AXI - CONF'!$B379),"")</f>
        <v/>
      </c>
      <c r="D379" s="883">
        <f>ROUND('Overzicht BTA'!$P$51,2)</f>
        <v>0</v>
      </c>
      <c r="E379" s="868" t="s">
        <v>1014</v>
      </c>
      <c r="F379" s="868" t="s">
        <v>1018</v>
      </c>
      <c r="G379" s="868"/>
      <c r="H379" s="870"/>
      <c r="I379" s="773"/>
      <c r="P379" s="700"/>
    </row>
    <row r="380" spans="1:16" x14ac:dyDescent="0.3">
      <c r="A380" s="973" t="s">
        <v>1026</v>
      </c>
      <c r="B380" s="872" t="s">
        <v>1015</v>
      </c>
      <c r="C380" s="867" t="str">
        <f>IF(AND('Overzicht BTA'!$C$39=TRUE,'Overzicht BTA'!$C$42= FALSE),_xlfn.CONCAT('Upload AXI - CONF'!$A380,'Upload AXI - CONF'!$B380),"")</f>
        <v/>
      </c>
      <c r="D380" s="881">
        <f>ROUND(IFERROR('analyse bij belofte 3'!$B$25,0),2)</f>
        <v>0</v>
      </c>
      <c r="E380" s="872" t="s">
        <v>1016</v>
      </c>
      <c r="F380" s="872" t="s">
        <v>1018</v>
      </c>
      <c r="G380" s="872"/>
      <c r="H380" s="874"/>
      <c r="I380" s="595"/>
      <c r="P380" s="700"/>
    </row>
    <row r="381" spans="1:16" x14ac:dyDescent="0.3">
      <c r="A381" s="889" t="s">
        <v>1027</v>
      </c>
      <c r="B381" s="868" t="s">
        <v>984</v>
      </c>
      <c r="C381" s="867" t="str">
        <f>IF(AND('Overzicht BTA'!$C$39=TRUE,'Overzicht BTA'!$C$42= FALSE),_xlfn.CONCAT('Upload AXI - CONF'!$A381,'Upload AXI - CONF'!$B381),"")</f>
        <v/>
      </c>
      <c r="D381" s="867">
        <f>ROUND('uitgebreide raming_gewijzigd'!$D$59,2)</f>
        <v>0</v>
      </c>
      <c r="E381" s="868" t="s">
        <v>985</v>
      </c>
      <c r="F381" s="868" t="s">
        <v>1018</v>
      </c>
      <c r="G381" s="868"/>
      <c r="H381" s="870" t="s">
        <v>957</v>
      </c>
      <c r="I381" s="767"/>
      <c r="P381" s="700"/>
    </row>
    <row r="382" spans="1:16" x14ac:dyDescent="0.3">
      <c r="A382" s="973" t="s">
        <v>1027</v>
      </c>
      <c r="B382" s="872" t="s">
        <v>986</v>
      </c>
      <c r="C382" s="867" t="str">
        <f>IF(AND('Overzicht BTA'!$C$39=TRUE,'Overzicht BTA'!$C$42= FALSE),_xlfn.CONCAT('Upload AXI - CONF'!$A382,'Upload AXI - CONF'!$B382),"")</f>
        <v/>
      </c>
      <c r="D382" s="871">
        <f>ROUND('uitgebreide raming_gewijzigd'!$D$60,2)</f>
        <v>0</v>
      </c>
      <c r="E382" s="872" t="s">
        <v>987</v>
      </c>
      <c r="F382" s="872" t="s">
        <v>1018</v>
      </c>
      <c r="G382" s="872"/>
      <c r="H382" s="874" t="s">
        <v>957</v>
      </c>
      <c r="I382" s="767"/>
      <c r="P382" s="700"/>
    </row>
    <row r="383" spans="1:16" x14ac:dyDescent="0.3">
      <c r="A383" s="889" t="s">
        <v>1027</v>
      </c>
      <c r="B383" s="868" t="s">
        <v>988</v>
      </c>
      <c r="C383" s="867" t="str">
        <f>IF(AND('Overzicht BTA'!$C$39=TRUE,'Overzicht BTA'!$C$42= FALSE),_xlfn.CONCAT('Upload AXI - CONF'!$A383,'Upload AXI - CONF'!$B383),"")</f>
        <v/>
      </c>
      <c r="D383" s="867">
        <f>ROUND('uitgebreide raming_gewijzigd'!$D$61,2)</f>
        <v>0</v>
      </c>
      <c r="E383" s="868" t="s">
        <v>989</v>
      </c>
      <c r="F383" s="868" t="s">
        <v>1018</v>
      </c>
      <c r="G383" s="868"/>
      <c r="H383" s="870" t="s">
        <v>957</v>
      </c>
      <c r="I383" s="767"/>
      <c r="P383" s="700"/>
    </row>
    <row r="384" spans="1:16" x14ac:dyDescent="0.3">
      <c r="A384" s="973" t="s">
        <v>1027</v>
      </c>
      <c r="B384" s="872" t="s">
        <v>990</v>
      </c>
      <c r="C384" s="867" t="str">
        <f>IF(AND('Overzicht BTA'!$C$39=TRUE,'Overzicht BTA'!$C$42= FALSE),_xlfn.CONCAT('Upload AXI - CONF'!$A384,'Upload AXI - CONF'!$B384),"")</f>
        <v/>
      </c>
      <c r="D384" s="871">
        <f>ROUND('uitgebreide raming_gewijzigd'!$D$62,2)</f>
        <v>0</v>
      </c>
      <c r="E384" s="872" t="s">
        <v>991</v>
      </c>
      <c r="F384" s="872" t="s">
        <v>1018</v>
      </c>
      <c r="G384" s="872"/>
      <c r="H384" s="874" t="s">
        <v>957</v>
      </c>
      <c r="I384" s="767"/>
      <c r="P384" s="700"/>
    </row>
    <row r="385" spans="1:16" x14ac:dyDescent="0.3">
      <c r="A385" s="889" t="s">
        <v>1027</v>
      </c>
      <c r="B385" s="868" t="s">
        <v>992</v>
      </c>
      <c r="C385" s="867" t="str">
        <f>IF(AND('Overzicht BTA'!$C$39=TRUE,'Overzicht BTA'!$C$42= FALSE),_xlfn.CONCAT('Upload AXI - CONF'!$A385,'Upload AXI - CONF'!$B385),"")</f>
        <v/>
      </c>
      <c r="D385" s="867">
        <f>ROUND('uitgebreide raming_gewijzigd'!$D$63,2)</f>
        <v>0</v>
      </c>
      <c r="E385" s="868" t="s">
        <v>994</v>
      </c>
      <c r="F385" s="868" t="s">
        <v>1018</v>
      </c>
      <c r="G385" s="868"/>
      <c r="H385" s="870" t="s">
        <v>957</v>
      </c>
      <c r="I385" s="767"/>
      <c r="P385" s="700"/>
    </row>
    <row r="386" spans="1:16" x14ac:dyDescent="0.3">
      <c r="A386" s="973" t="s">
        <v>1027</v>
      </c>
      <c r="B386" s="872" t="s">
        <v>995</v>
      </c>
      <c r="C386" s="867" t="str">
        <f>IF(AND('Overzicht BTA'!$C$39=TRUE,'Overzicht BTA'!$C$42= FALSE),_xlfn.CONCAT('Upload AXI - CONF'!$A386,'Upload AXI - CONF'!$B386),"")</f>
        <v/>
      </c>
      <c r="D386" s="871">
        <f>ROUND('uitgebreide raming_gewijzigd'!$D$64,2)</f>
        <v>0</v>
      </c>
      <c r="E386" s="872" t="s">
        <v>996</v>
      </c>
      <c r="F386" s="872" t="s">
        <v>1018</v>
      </c>
      <c r="G386" s="872"/>
      <c r="H386" s="874" t="s">
        <v>957</v>
      </c>
      <c r="I386" s="767"/>
      <c r="P386" s="700"/>
    </row>
    <row r="387" spans="1:16" x14ac:dyDescent="0.3">
      <c r="A387" s="889" t="s">
        <v>1027</v>
      </c>
      <c r="B387" s="868" t="s">
        <v>997</v>
      </c>
      <c r="C387" s="867" t="str">
        <f>IF(AND('Overzicht BTA'!$C$39=TRUE,'Overzicht BTA'!$C$42= FALSE),_xlfn.CONCAT('Upload AXI - CONF'!$A387,'Upload AXI - CONF'!$B387),"")</f>
        <v/>
      </c>
      <c r="D387" s="867">
        <f>ROUND('uitgebreide raming_gewijzigd'!$D$65,2)</f>
        <v>0</v>
      </c>
      <c r="E387" s="868" t="s">
        <v>998</v>
      </c>
      <c r="F387" s="868" t="s">
        <v>1018</v>
      </c>
      <c r="G387" s="868"/>
      <c r="H387" s="870" t="s">
        <v>957</v>
      </c>
      <c r="I387" s="767"/>
      <c r="P387" s="700"/>
    </row>
    <row r="388" spans="1:16" x14ac:dyDescent="0.3">
      <c r="A388" s="973" t="s">
        <v>1027</v>
      </c>
      <c r="B388" s="872" t="s">
        <v>999</v>
      </c>
      <c r="C388" s="867" t="str">
        <f>IF(AND('Overzicht BTA'!$C$39=TRUE,'Overzicht BTA'!$C$42= FALSE),_xlfn.CONCAT('Upload AXI - CONF'!$A388,'Upload AXI - CONF'!$B388),"")</f>
        <v/>
      </c>
      <c r="D388" s="871">
        <f>ROUND('uitgebreide raming_gewijzigd'!$D$67,2)</f>
        <v>0</v>
      </c>
      <c r="E388" s="872" t="s">
        <v>1000</v>
      </c>
      <c r="F388" s="872" t="s">
        <v>1018</v>
      </c>
      <c r="G388" s="872"/>
      <c r="H388" s="874" t="s">
        <v>957</v>
      </c>
      <c r="I388" s="767"/>
      <c r="P388" s="700"/>
    </row>
    <row r="389" spans="1:16" x14ac:dyDescent="0.3">
      <c r="A389" s="889" t="s">
        <v>1027</v>
      </c>
      <c r="B389" s="868" t="s">
        <v>1003</v>
      </c>
      <c r="C389" s="867" t="str">
        <f>IF(AND('Overzicht BTA'!$C$39=TRUE,'Overzicht BTA'!$C$42= FALSE),_xlfn.CONCAT('Upload AXI - CONF'!$A389,'Upload AXI - CONF'!$B389),"")</f>
        <v/>
      </c>
      <c r="D389" s="867">
        <f>ROUND('uitgebreide raming_gewijzigd'!$D$68,2)</f>
        <v>0</v>
      </c>
      <c r="E389" s="868" t="s">
        <v>1004</v>
      </c>
      <c r="F389" s="868" t="s">
        <v>1018</v>
      </c>
      <c r="G389" s="868"/>
      <c r="H389" s="870" t="s">
        <v>957</v>
      </c>
      <c r="I389" s="767"/>
      <c r="P389" s="700"/>
    </row>
    <row r="390" spans="1:16" x14ac:dyDescent="0.3">
      <c r="A390" s="973" t="s">
        <v>1027</v>
      </c>
      <c r="B390" s="872" t="s">
        <v>1001</v>
      </c>
      <c r="C390" s="867" t="str">
        <f>IF(AND('Overzicht BTA'!$C$39=TRUE,'Overzicht BTA'!$C$42= FALSE),_xlfn.CONCAT('Upload AXI - CONF'!$A390,'Upload AXI - CONF'!$B390),"")</f>
        <v/>
      </c>
      <c r="D390" s="871">
        <f>ROUND('uitgebreide raming'!$H$76,2)</f>
        <v>0</v>
      </c>
      <c r="E390" s="872" t="s">
        <v>1002</v>
      </c>
      <c r="F390" s="872" t="s">
        <v>1018</v>
      </c>
      <c r="G390" s="872"/>
      <c r="H390" s="874" t="s">
        <v>957</v>
      </c>
      <c r="I390" s="767"/>
      <c r="P390" s="700"/>
    </row>
    <row r="391" spans="1:16" x14ac:dyDescent="0.3">
      <c r="A391" s="889" t="s">
        <v>1027</v>
      </c>
      <c r="B391" s="868" t="s">
        <v>1005</v>
      </c>
      <c r="C391" s="867" t="str">
        <f>IF(AND('Overzicht BTA'!$C$39=TRUE,'Overzicht BTA'!$C$42= FALSE),_xlfn.CONCAT('Upload AXI - CONF'!$A391,'Upload AXI - CONF'!$B391),"")</f>
        <v/>
      </c>
      <c r="D391" s="878">
        <f>ROUND('uitgebreide raming_gewijzigd'!$E$73,2)</f>
        <v>0.21</v>
      </c>
      <c r="E391" s="868" t="s">
        <v>1006</v>
      </c>
      <c r="F391" s="868" t="s">
        <v>1018</v>
      </c>
      <c r="G391" s="868"/>
      <c r="H391" s="870"/>
      <c r="I391" s="595"/>
      <c r="P391" s="700"/>
    </row>
    <row r="392" spans="1:16" x14ac:dyDescent="0.3">
      <c r="A392" s="973" t="s">
        <v>1027</v>
      </c>
      <c r="B392" s="872" t="s">
        <v>1007</v>
      </c>
      <c r="C392" s="867" t="str">
        <f>IF(AND('Overzicht BTA'!$C$39=TRUE,'Overzicht BTA'!$C$42= FALSE),_xlfn.CONCAT('Upload AXI - CONF'!$A392,'Upload AXI - CONF'!$B392),"")</f>
        <v/>
      </c>
      <c r="D392" s="871">
        <f>ROUND('uitgebreide raming_gewijzigd'!$D$73,2)</f>
        <v>0</v>
      </c>
      <c r="E392" s="872" t="s">
        <v>1008</v>
      </c>
      <c r="F392" s="872" t="s">
        <v>1018</v>
      </c>
      <c r="G392" s="872"/>
      <c r="H392" s="874"/>
      <c r="I392" s="767"/>
      <c r="P392" s="700"/>
    </row>
    <row r="393" spans="1:16" x14ac:dyDescent="0.3">
      <c r="A393" s="889" t="s">
        <v>1027</v>
      </c>
      <c r="B393" s="868" t="s">
        <v>1009</v>
      </c>
      <c r="C393" s="867" t="str">
        <f>IF(AND('Overzicht BTA'!$C$39=TRUE,'Overzicht BTA'!$C$42= FALSE),_xlfn.CONCAT('Upload AXI - CONF'!$A393,'Upload AXI - CONF'!$B393),"")</f>
        <v/>
      </c>
      <c r="D393" s="867">
        <f>ROUND('uitgebreide raming_gewijzigd'!$D$80,2)</f>
        <v>0</v>
      </c>
      <c r="E393" s="868" t="s">
        <v>1010</v>
      </c>
      <c r="F393" s="868" t="s">
        <v>1018</v>
      </c>
      <c r="G393" s="868"/>
      <c r="H393" s="870" t="s">
        <v>960</v>
      </c>
      <c r="I393" s="767"/>
      <c r="P393" s="700"/>
    </row>
    <row r="394" spans="1:16" x14ac:dyDescent="0.3">
      <c r="A394" s="973" t="s">
        <v>1027</v>
      </c>
      <c r="B394" s="872" t="s">
        <v>1011</v>
      </c>
      <c r="C394" s="867" t="str">
        <f>IF(AND('Overzicht BTA'!$C$39=TRUE,'Overzicht BTA'!$C$42= FALSE),_xlfn.CONCAT('Upload AXI - CONF'!$A394,'Upload AXI - CONF'!$B394),"")</f>
        <v/>
      </c>
      <c r="D394" s="879">
        <f>ROUND('Overzicht BTA'!$O$52,2)</f>
        <v>0</v>
      </c>
      <c r="E394" s="872" t="s">
        <v>1012</v>
      </c>
      <c r="F394" s="872" t="s">
        <v>1018</v>
      </c>
      <c r="G394" s="872"/>
      <c r="H394" s="874"/>
      <c r="I394" s="768"/>
      <c r="P394" s="700"/>
    </row>
    <row r="395" spans="1:16" x14ac:dyDescent="0.3">
      <c r="A395" s="889" t="s">
        <v>1027</v>
      </c>
      <c r="B395" s="868" t="s">
        <v>1013</v>
      </c>
      <c r="C395" s="867" t="str">
        <f>IF(AND('Overzicht BTA'!$C$39=TRUE,'Overzicht BTA'!$C$42= FALSE),_xlfn.CONCAT('Upload AXI - CONF'!$A395,'Upload AXI - CONF'!$B395),"")</f>
        <v/>
      </c>
      <c r="D395" s="880">
        <f>ROUND('Overzicht BTA'!$P$52,2)</f>
        <v>0</v>
      </c>
      <c r="E395" s="868" t="s">
        <v>1014</v>
      </c>
      <c r="F395" s="868" t="s">
        <v>1018</v>
      </c>
      <c r="G395" s="868"/>
      <c r="H395" s="870"/>
      <c r="I395" s="768"/>
      <c r="P395" s="700"/>
    </row>
    <row r="396" spans="1:16" x14ac:dyDescent="0.3">
      <c r="A396" s="973" t="s">
        <v>1027</v>
      </c>
      <c r="B396" s="872" t="s">
        <v>1015</v>
      </c>
      <c r="C396" s="867" t="str">
        <f>IF(AND('Overzicht BTA'!$C$39=TRUE,'Overzicht BTA'!$C$42= FALSE),_xlfn.CONCAT('Upload AXI - CONF'!$A396,'Upload AXI - CONF'!$B396),"")</f>
        <v/>
      </c>
      <c r="D396" s="881">
        <f>ROUND(IFERROR('analyse bij belofte 3'!$D$25,0),2)</f>
        <v>0</v>
      </c>
      <c r="E396" s="872" t="s">
        <v>1016</v>
      </c>
      <c r="F396" s="872" t="s">
        <v>1018</v>
      </c>
      <c r="G396" s="872"/>
      <c r="H396" s="874"/>
      <c r="I396" s="595"/>
      <c r="P396" s="700"/>
    </row>
    <row r="397" spans="1:16" x14ac:dyDescent="0.3">
      <c r="A397" s="889" t="s">
        <v>1028</v>
      </c>
      <c r="B397" s="868" t="s">
        <v>984</v>
      </c>
      <c r="C397" s="867" t="str">
        <f>IF(AND('Overzicht BTA'!$C$39=TRUE,'Overzicht BTA'!$C$42= FALSE),_xlfn.CONCAT('Upload AXI - CONF'!$A397,'Upload AXI - CONF'!$B397),"")</f>
        <v/>
      </c>
      <c r="D397" s="867">
        <f>ROUND('uitgebreide raming_gewijzigd'!$F$59,2)</f>
        <v>0</v>
      </c>
      <c r="E397" s="868" t="s">
        <v>985</v>
      </c>
      <c r="F397" s="868" t="s">
        <v>1018</v>
      </c>
      <c r="G397" s="868"/>
      <c r="H397" s="870" t="s">
        <v>957</v>
      </c>
      <c r="I397" s="767"/>
      <c r="P397" s="700"/>
    </row>
    <row r="398" spans="1:16" x14ac:dyDescent="0.3">
      <c r="A398" s="973" t="s">
        <v>1028</v>
      </c>
      <c r="B398" s="872" t="s">
        <v>986</v>
      </c>
      <c r="C398" s="867" t="str">
        <f>IF(AND('Overzicht BTA'!$C$39=TRUE,'Overzicht BTA'!$C$42= FALSE),_xlfn.CONCAT('Upload AXI - CONF'!$A398,'Upload AXI - CONF'!$B398),"")</f>
        <v/>
      </c>
      <c r="D398" s="871">
        <f>ROUND('uitgebreide raming_gewijzigd'!$F$60,2)</f>
        <v>0</v>
      </c>
      <c r="E398" s="872" t="s">
        <v>987</v>
      </c>
      <c r="F398" s="872" t="s">
        <v>1018</v>
      </c>
      <c r="G398" s="872"/>
      <c r="H398" s="874" t="s">
        <v>957</v>
      </c>
      <c r="I398" s="767"/>
      <c r="P398" s="700"/>
    </row>
    <row r="399" spans="1:16" x14ac:dyDescent="0.3">
      <c r="A399" s="889" t="s">
        <v>1028</v>
      </c>
      <c r="B399" s="868" t="s">
        <v>988</v>
      </c>
      <c r="C399" s="867" t="str">
        <f>IF(AND('Overzicht BTA'!$C$39=TRUE,'Overzicht BTA'!$C$42= FALSE),_xlfn.CONCAT('Upload AXI - CONF'!$A399,'Upload AXI - CONF'!$B399),"")</f>
        <v/>
      </c>
      <c r="D399" s="867">
        <f>ROUND('uitgebreide raming_gewijzigd'!$F$61,2)</f>
        <v>0</v>
      </c>
      <c r="E399" s="868" t="s">
        <v>989</v>
      </c>
      <c r="F399" s="868" t="s">
        <v>1018</v>
      </c>
      <c r="G399" s="868"/>
      <c r="H399" s="870" t="s">
        <v>957</v>
      </c>
      <c r="I399" s="767"/>
      <c r="P399" s="700"/>
    </row>
    <row r="400" spans="1:16" x14ac:dyDescent="0.3">
      <c r="A400" s="973" t="s">
        <v>1028</v>
      </c>
      <c r="B400" s="872" t="s">
        <v>990</v>
      </c>
      <c r="C400" s="867" t="str">
        <f>IF(AND('Overzicht BTA'!$C$39=TRUE,'Overzicht BTA'!$C$42= FALSE),_xlfn.CONCAT('Upload AXI - CONF'!$A400,'Upload AXI - CONF'!$B400),"")</f>
        <v/>
      </c>
      <c r="D400" s="871">
        <f>ROUND('uitgebreide raming_gewijzigd'!$F$62,2)</f>
        <v>0</v>
      </c>
      <c r="E400" s="872" t="s">
        <v>991</v>
      </c>
      <c r="F400" s="872" t="s">
        <v>1018</v>
      </c>
      <c r="G400" s="872"/>
      <c r="H400" s="874" t="s">
        <v>957</v>
      </c>
      <c r="I400" s="767"/>
      <c r="P400" s="700"/>
    </row>
    <row r="401" spans="1:16" x14ac:dyDescent="0.3">
      <c r="A401" s="889" t="s">
        <v>1028</v>
      </c>
      <c r="B401" s="868" t="s">
        <v>992</v>
      </c>
      <c r="C401" s="867" t="str">
        <f>IF(AND('Overzicht BTA'!$C$39=TRUE,'Overzicht BTA'!$C$42= FALSE),_xlfn.CONCAT('Upload AXI - CONF'!$A401,'Upload AXI - CONF'!$B401),"")</f>
        <v/>
      </c>
      <c r="D401" s="867">
        <f>'uitgebreide raming_gewijzigd'!$F$63</f>
        <v>0</v>
      </c>
      <c r="E401" s="868" t="s">
        <v>994</v>
      </c>
      <c r="F401" s="868" t="s">
        <v>1018</v>
      </c>
      <c r="G401" s="868"/>
      <c r="H401" s="870" t="s">
        <v>957</v>
      </c>
      <c r="I401" s="767"/>
      <c r="P401" s="700"/>
    </row>
    <row r="402" spans="1:16" x14ac:dyDescent="0.3">
      <c r="A402" s="973" t="s">
        <v>1028</v>
      </c>
      <c r="B402" s="872" t="s">
        <v>995</v>
      </c>
      <c r="C402" s="867" t="str">
        <f>IF(AND('Overzicht BTA'!$C$39=TRUE,'Overzicht BTA'!$C$42= FALSE),_xlfn.CONCAT('Upload AXI - CONF'!$A402,'Upload AXI - CONF'!$B402),"")</f>
        <v/>
      </c>
      <c r="D402" s="871">
        <f>ROUND('uitgebreide raming_gewijzigd'!$F$64,2)</f>
        <v>0</v>
      </c>
      <c r="E402" s="872" t="s">
        <v>996</v>
      </c>
      <c r="F402" s="872" t="s">
        <v>1018</v>
      </c>
      <c r="G402" s="872"/>
      <c r="H402" s="874" t="s">
        <v>957</v>
      </c>
      <c r="I402" s="767"/>
      <c r="P402" s="700"/>
    </row>
    <row r="403" spans="1:16" x14ac:dyDescent="0.3">
      <c r="A403" s="889" t="s">
        <v>1028</v>
      </c>
      <c r="B403" s="868" t="s">
        <v>997</v>
      </c>
      <c r="C403" s="867" t="str">
        <f>IF(AND('Overzicht BTA'!$C$39=TRUE,'Overzicht BTA'!$C$42= FALSE),_xlfn.CONCAT('Upload AXI - CONF'!$A403,'Upload AXI - CONF'!$B403),"")</f>
        <v/>
      </c>
      <c r="D403" s="867">
        <f>'uitgebreide raming_gewijzigd'!$F$65</f>
        <v>0</v>
      </c>
      <c r="E403" s="868" t="s">
        <v>998</v>
      </c>
      <c r="F403" s="868" t="s">
        <v>1018</v>
      </c>
      <c r="G403" s="868"/>
      <c r="H403" s="870" t="s">
        <v>957</v>
      </c>
      <c r="I403" s="767"/>
      <c r="P403" s="700"/>
    </row>
    <row r="404" spans="1:16" x14ac:dyDescent="0.3">
      <c r="A404" s="973" t="s">
        <v>1028</v>
      </c>
      <c r="B404" s="872" t="s">
        <v>999</v>
      </c>
      <c r="C404" s="867" t="str">
        <f>IF(AND('Overzicht BTA'!$C$39=TRUE,'Overzicht BTA'!$C$42= FALSE),_xlfn.CONCAT('Upload AXI - CONF'!$A404,'Upload AXI - CONF'!$B404),"")</f>
        <v/>
      </c>
      <c r="D404" s="871">
        <f>ROUND('uitgebreide raming_gewijzigd'!$F$67,2)</f>
        <v>0</v>
      </c>
      <c r="E404" s="872" t="s">
        <v>1000</v>
      </c>
      <c r="F404" s="872" t="s">
        <v>1018</v>
      </c>
      <c r="G404" s="872"/>
      <c r="H404" s="874" t="s">
        <v>957</v>
      </c>
      <c r="I404" s="767"/>
      <c r="P404" s="700"/>
    </row>
    <row r="405" spans="1:16" x14ac:dyDescent="0.3">
      <c r="A405" s="889" t="s">
        <v>1028</v>
      </c>
      <c r="B405" s="868" t="s">
        <v>1003</v>
      </c>
      <c r="C405" s="867" t="str">
        <f>IF(AND('Overzicht BTA'!$C$39=TRUE,'Overzicht BTA'!$C$42= FALSE),_xlfn.CONCAT('Upload AXI - CONF'!$A405,'Upload AXI - CONF'!$B405),"")</f>
        <v/>
      </c>
      <c r="D405" s="867">
        <f>ROUND('uitgebreide raming_gewijzigd'!$F$68,2)</f>
        <v>0</v>
      </c>
      <c r="E405" s="868" t="s">
        <v>1004</v>
      </c>
      <c r="F405" s="868" t="s">
        <v>1018</v>
      </c>
      <c r="G405" s="868"/>
      <c r="H405" s="870" t="s">
        <v>957</v>
      </c>
      <c r="I405" s="767"/>
      <c r="P405" s="700"/>
    </row>
    <row r="406" spans="1:16" x14ac:dyDescent="0.3">
      <c r="A406" s="973" t="s">
        <v>1028</v>
      </c>
      <c r="B406" s="872" t="s">
        <v>1001</v>
      </c>
      <c r="C406" s="867" t="str">
        <f>IF(AND('Overzicht BTA'!$C$39=TRUE,'Overzicht BTA'!$C$42= FALSE),_xlfn.CONCAT('Upload AXI - CONF'!$A406,'Upload AXI - CONF'!$B406),"")</f>
        <v/>
      </c>
      <c r="D406" s="871">
        <f>ROUND('uitgebreide raming'!$H$76,2)</f>
        <v>0</v>
      </c>
      <c r="E406" s="872" t="s">
        <v>1002</v>
      </c>
      <c r="F406" s="872" t="s">
        <v>1018</v>
      </c>
      <c r="G406" s="872"/>
      <c r="H406" s="874" t="s">
        <v>957</v>
      </c>
      <c r="I406" s="767"/>
      <c r="P406" s="700"/>
    </row>
    <row r="407" spans="1:16" x14ac:dyDescent="0.3">
      <c r="A407" s="889" t="s">
        <v>1028</v>
      </c>
      <c r="B407" s="868" t="s">
        <v>1005</v>
      </c>
      <c r="C407" s="867" t="str">
        <f>IF(AND('Overzicht BTA'!$C$39=TRUE,'Overzicht BTA'!$C$42= FALSE),_xlfn.CONCAT('Upload AXI - CONF'!$A407,'Upload AXI - CONF'!$B407),"")</f>
        <v/>
      </c>
      <c r="D407" s="878">
        <f>ROUND('uitgebreide raming_gewijzigd'!$G$73,2)</f>
        <v>0.21</v>
      </c>
      <c r="E407" s="868" t="s">
        <v>1006</v>
      </c>
      <c r="F407" s="868" t="s">
        <v>1018</v>
      </c>
      <c r="G407" s="868"/>
      <c r="H407" s="870"/>
      <c r="I407" s="595"/>
      <c r="P407" s="700"/>
    </row>
    <row r="408" spans="1:16" x14ac:dyDescent="0.3">
      <c r="A408" s="973" t="s">
        <v>1028</v>
      </c>
      <c r="B408" s="872" t="s">
        <v>1007</v>
      </c>
      <c r="C408" s="867" t="str">
        <f>IF(AND('Overzicht BTA'!$C$39=TRUE,'Overzicht BTA'!$C$42= FALSE),_xlfn.CONCAT('Upload AXI - CONF'!$A408,'Upload AXI - CONF'!$B408),"")</f>
        <v/>
      </c>
      <c r="D408" s="871">
        <f>ROUND('uitgebreide raming_gewijzigd'!$F$73,2)</f>
        <v>0</v>
      </c>
      <c r="E408" s="872" t="s">
        <v>1008</v>
      </c>
      <c r="F408" s="872" t="s">
        <v>1018</v>
      </c>
      <c r="G408" s="872"/>
      <c r="H408" s="874"/>
      <c r="I408" s="767"/>
      <c r="P408" s="700"/>
    </row>
    <row r="409" spans="1:16" x14ac:dyDescent="0.3">
      <c r="A409" s="889" t="s">
        <v>1028</v>
      </c>
      <c r="B409" s="868" t="s">
        <v>1009</v>
      </c>
      <c r="C409" s="867" t="str">
        <f>IF(AND('Overzicht BTA'!$C$39=TRUE,'Overzicht BTA'!$C$42= FALSE),_xlfn.CONCAT('Upload AXI - CONF'!$A409,'Upload AXI - CONF'!$B409),"")</f>
        <v/>
      </c>
      <c r="D409" s="867">
        <f>ROUND('uitgebreide raming_gewijzigd'!$F$80,2)</f>
        <v>0</v>
      </c>
      <c r="E409" s="868" t="s">
        <v>1010</v>
      </c>
      <c r="F409" s="868" t="s">
        <v>1018</v>
      </c>
      <c r="G409" s="868"/>
      <c r="H409" s="870" t="s">
        <v>960</v>
      </c>
      <c r="I409" s="767"/>
      <c r="P409" s="700"/>
    </row>
    <row r="410" spans="1:16" x14ac:dyDescent="0.3">
      <c r="A410" s="973" t="s">
        <v>1028</v>
      </c>
      <c r="B410" s="872" t="s">
        <v>1011</v>
      </c>
      <c r="C410" s="867" t="str">
        <f>IF(AND('Overzicht BTA'!$C$39=TRUE,'Overzicht BTA'!$C$42= FALSE),_xlfn.CONCAT('Upload AXI - CONF'!$A410,'Upload AXI - CONF'!$B410),"")</f>
        <v/>
      </c>
      <c r="D410" s="879">
        <f>ROUND('Overzicht BTA'!$O$53,0)</f>
        <v>0</v>
      </c>
      <c r="E410" s="872" t="s">
        <v>1012</v>
      </c>
      <c r="F410" s="872" t="s">
        <v>1018</v>
      </c>
      <c r="G410" s="872"/>
      <c r="H410" s="874"/>
      <c r="I410" s="768"/>
      <c r="P410" s="700"/>
    </row>
    <row r="411" spans="1:16" x14ac:dyDescent="0.3">
      <c r="A411" s="889" t="s">
        <v>1028</v>
      </c>
      <c r="B411" s="868" t="s">
        <v>1013</v>
      </c>
      <c r="C411" s="867" t="str">
        <f>IF(AND('Overzicht BTA'!$C$39=TRUE,'Overzicht BTA'!$C$42= FALSE),_xlfn.CONCAT('Upload AXI - CONF'!$A411,'Upload AXI - CONF'!$B411),"")</f>
        <v/>
      </c>
      <c r="D411" s="880">
        <f>ROUND('Overzicht BTA'!$P$53,0)</f>
        <v>0</v>
      </c>
      <c r="E411" s="868" t="s">
        <v>1014</v>
      </c>
      <c r="F411" s="868" t="s">
        <v>1018</v>
      </c>
      <c r="G411" s="868"/>
      <c r="H411" s="870"/>
      <c r="I411" s="768"/>
      <c r="P411" s="700"/>
    </row>
    <row r="412" spans="1:16" x14ac:dyDescent="0.3">
      <c r="A412" s="973" t="s">
        <v>1028</v>
      </c>
      <c r="B412" s="872" t="s">
        <v>1015</v>
      </c>
      <c r="C412" s="867" t="str">
        <f>IF(AND('Overzicht BTA'!$C$39=TRUE,'Overzicht BTA'!$C$42= FALSE),_xlfn.CONCAT('Upload AXI - CONF'!$A412,'Upload AXI - CONF'!$B412),"")</f>
        <v/>
      </c>
      <c r="D412" s="881">
        <f>ROUND(IFERROR('analyse bij belofte 3'!$F$25,0),2)</f>
        <v>0</v>
      </c>
      <c r="E412" s="872" t="s">
        <v>1016</v>
      </c>
      <c r="F412" s="872" t="s">
        <v>1018</v>
      </c>
      <c r="G412" s="872"/>
      <c r="H412" s="874"/>
      <c r="I412" s="595"/>
      <c r="P412" s="700"/>
    </row>
    <row r="413" spans="1:16" x14ac:dyDescent="0.3">
      <c r="A413" s="889" t="s">
        <v>1029</v>
      </c>
      <c r="B413" s="868" t="s">
        <v>984</v>
      </c>
      <c r="C413" s="867" t="str">
        <f>IF(AND('Overzicht BTA'!$C$39=TRUE,'Overzicht BTA'!$C$42= FALSE),_xlfn.CONCAT('Upload AXI - CONF'!$A413,'Upload AXI - CONF'!$B413),"")</f>
        <v/>
      </c>
      <c r="D413" s="867">
        <f>ROUND('uitgebreide raming_gewijzigd'!$H$59,2)</f>
        <v>0</v>
      </c>
      <c r="E413" s="868" t="s">
        <v>985</v>
      </c>
      <c r="F413" s="868" t="s">
        <v>1018</v>
      </c>
      <c r="G413" s="868"/>
      <c r="H413" s="870" t="s">
        <v>957</v>
      </c>
      <c r="I413" s="767"/>
      <c r="P413" s="700"/>
    </row>
    <row r="414" spans="1:16" x14ac:dyDescent="0.3">
      <c r="A414" s="973" t="s">
        <v>1029</v>
      </c>
      <c r="B414" s="872" t="s">
        <v>986</v>
      </c>
      <c r="C414" s="867" t="str">
        <f>IF(AND('Overzicht BTA'!$C$39=TRUE,'Overzicht BTA'!$C$42= FALSE),_xlfn.CONCAT('Upload AXI - CONF'!$A414,'Upload AXI - CONF'!$B414),"")</f>
        <v/>
      </c>
      <c r="D414" s="871">
        <f>ROUND('uitgebreide raming_gewijzigd'!$H$60,2)</f>
        <v>0</v>
      </c>
      <c r="E414" s="872" t="s">
        <v>987</v>
      </c>
      <c r="F414" s="872" t="s">
        <v>1018</v>
      </c>
      <c r="G414" s="872"/>
      <c r="H414" s="874" t="s">
        <v>957</v>
      </c>
      <c r="I414" s="767"/>
      <c r="P414" s="700"/>
    </row>
    <row r="415" spans="1:16" x14ac:dyDescent="0.3">
      <c r="A415" s="889" t="s">
        <v>1029</v>
      </c>
      <c r="B415" s="868" t="s">
        <v>988</v>
      </c>
      <c r="C415" s="867" t="str">
        <f>IF(AND('Overzicht BTA'!$C$39=TRUE,'Overzicht BTA'!$C$42= FALSE),_xlfn.CONCAT('Upload AXI - CONF'!$A415,'Upload AXI - CONF'!$B415),"")</f>
        <v/>
      </c>
      <c r="D415" s="867">
        <f>ROUND('uitgebreide raming_gewijzigd'!$H$61,2)</f>
        <v>0</v>
      </c>
      <c r="E415" s="868" t="s">
        <v>989</v>
      </c>
      <c r="F415" s="868" t="s">
        <v>1018</v>
      </c>
      <c r="G415" s="868"/>
      <c r="H415" s="870" t="s">
        <v>957</v>
      </c>
      <c r="I415" s="767"/>
      <c r="P415" s="700"/>
    </row>
    <row r="416" spans="1:16" x14ac:dyDescent="0.3">
      <c r="A416" s="973" t="s">
        <v>1029</v>
      </c>
      <c r="B416" s="872" t="s">
        <v>990</v>
      </c>
      <c r="C416" s="867" t="str">
        <f>IF(AND('Overzicht BTA'!$C$39=TRUE,'Overzicht BTA'!$C$42= FALSE),_xlfn.CONCAT('Upload AXI - CONF'!$A416,'Upload AXI - CONF'!$B416),"")</f>
        <v/>
      </c>
      <c r="D416" s="871">
        <f>ROUND('uitgebreide raming_gewijzigd'!$H$62,2)</f>
        <v>0</v>
      </c>
      <c r="E416" s="872" t="s">
        <v>991</v>
      </c>
      <c r="F416" s="872" t="s">
        <v>1018</v>
      </c>
      <c r="G416" s="872"/>
      <c r="H416" s="874" t="s">
        <v>957</v>
      </c>
      <c r="I416" s="767"/>
      <c r="P416" s="700"/>
    </row>
    <row r="417" spans="1:16" x14ac:dyDescent="0.3">
      <c r="A417" s="889" t="s">
        <v>1029</v>
      </c>
      <c r="B417" s="868" t="s">
        <v>992</v>
      </c>
      <c r="C417" s="867" t="str">
        <f>IF(AND('Overzicht BTA'!$C$39=TRUE,'Overzicht BTA'!$C$42= FALSE),_xlfn.CONCAT('Upload AXI - CONF'!$A417,'Upload AXI - CONF'!$B417),"")</f>
        <v/>
      </c>
      <c r="D417" s="867">
        <f>'uitgebreide raming_gewijzigd'!$H$63</f>
        <v>0</v>
      </c>
      <c r="E417" s="868" t="s">
        <v>994</v>
      </c>
      <c r="F417" s="868" t="s">
        <v>1018</v>
      </c>
      <c r="G417" s="868"/>
      <c r="H417" s="870" t="s">
        <v>957</v>
      </c>
      <c r="I417" s="767"/>
      <c r="P417" s="700"/>
    </row>
    <row r="418" spans="1:16" x14ac:dyDescent="0.3">
      <c r="A418" s="973" t="s">
        <v>1029</v>
      </c>
      <c r="B418" s="872" t="s">
        <v>995</v>
      </c>
      <c r="C418" s="867" t="str">
        <f>IF(AND('Overzicht BTA'!$C$39=TRUE,'Overzicht BTA'!$C$42= FALSE),_xlfn.CONCAT('Upload AXI - CONF'!$A418,'Upload AXI - CONF'!$B418),"")</f>
        <v/>
      </c>
      <c r="D418" s="871">
        <f>ROUND('uitgebreide raming_gewijzigd'!$H$64,2)</f>
        <v>0</v>
      </c>
      <c r="E418" s="872" t="s">
        <v>996</v>
      </c>
      <c r="F418" s="872" t="s">
        <v>1018</v>
      </c>
      <c r="G418" s="872"/>
      <c r="H418" s="874" t="s">
        <v>957</v>
      </c>
      <c r="I418" s="767"/>
      <c r="P418" s="700"/>
    </row>
    <row r="419" spans="1:16" x14ac:dyDescent="0.3">
      <c r="A419" s="889" t="s">
        <v>1029</v>
      </c>
      <c r="B419" s="868" t="s">
        <v>997</v>
      </c>
      <c r="C419" s="867" t="str">
        <f>IF(AND('Overzicht BTA'!$C$39=TRUE,'Overzicht BTA'!$C$42= FALSE),_xlfn.CONCAT('Upload AXI - CONF'!$A419,'Upload AXI - CONF'!$B419),"")</f>
        <v/>
      </c>
      <c r="D419" s="867">
        <f>'uitgebreide raming_gewijzigd'!$H$65</f>
        <v>0</v>
      </c>
      <c r="E419" s="868" t="s">
        <v>998</v>
      </c>
      <c r="F419" s="868" t="s">
        <v>1018</v>
      </c>
      <c r="G419" s="868"/>
      <c r="H419" s="870" t="s">
        <v>957</v>
      </c>
      <c r="I419" s="767"/>
      <c r="P419" s="700"/>
    </row>
    <row r="420" spans="1:16" x14ac:dyDescent="0.3">
      <c r="A420" s="973" t="s">
        <v>1029</v>
      </c>
      <c r="B420" s="872" t="s">
        <v>999</v>
      </c>
      <c r="C420" s="867" t="str">
        <f>IF(AND('Overzicht BTA'!$C$39=TRUE,'Overzicht BTA'!$C$42= FALSE),_xlfn.CONCAT('Upload AXI - CONF'!$A420,'Upload AXI - CONF'!$B420),"")</f>
        <v/>
      </c>
      <c r="D420" s="871">
        <f>ROUND('uitgebreide raming_gewijzigd'!$H$67,2)</f>
        <v>0</v>
      </c>
      <c r="E420" s="872" t="s">
        <v>1000</v>
      </c>
      <c r="F420" s="872" t="s">
        <v>1018</v>
      </c>
      <c r="G420" s="872"/>
      <c r="H420" s="874" t="s">
        <v>957</v>
      </c>
      <c r="I420" s="767"/>
      <c r="P420" s="700"/>
    </row>
    <row r="421" spans="1:16" x14ac:dyDescent="0.3">
      <c r="A421" s="889" t="s">
        <v>1029</v>
      </c>
      <c r="B421" s="868" t="s">
        <v>1003</v>
      </c>
      <c r="C421" s="867" t="str">
        <f>IF(AND('Overzicht BTA'!$C$39=TRUE,'Overzicht BTA'!$C$42= FALSE),_xlfn.CONCAT('Upload AXI - CONF'!$A421,'Upload AXI - CONF'!$B421),"")</f>
        <v/>
      </c>
      <c r="D421" s="867">
        <f>ROUND('uitgebreide raming_gewijzigd'!$H$68,2)</f>
        <v>0</v>
      </c>
      <c r="E421" s="868" t="s">
        <v>1004</v>
      </c>
      <c r="F421" s="868" t="s">
        <v>1018</v>
      </c>
      <c r="G421" s="868"/>
      <c r="H421" s="870" t="s">
        <v>957</v>
      </c>
      <c r="I421" s="767"/>
      <c r="P421" s="700"/>
    </row>
    <row r="422" spans="1:16" x14ac:dyDescent="0.3">
      <c r="A422" s="973" t="s">
        <v>1029</v>
      </c>
      <c r="B422" s="872" t="s">
        <v>1001</v>
      </c>
      <c r="C422" s="867" t="str">
        <f>IF(AND('Overzicht BTA'!$C$39=TRUE,'Overzicht BTA'!$C$42= FALSE),_xlfn.CONCAT('Upload AXI - CONF'!$A422,'Upload AXI - CONF'!$B422),"")</f>
        <v/>
      </c>
      <c r="D422" s="871">
        <f>ROUND('uitgebreide raming'!$H$76,2)</f>
        <v>0</v>
      </c>
      <c r="E422" s="872" t="s">
        <v>1002</v>
      </c>
      <c r="F422" s="872" t="s">
        <v>1018</v>
      </c>
      <c r="G422" s="872"/>
      <c r="H422" s="874" t="s">
        <v>957</v>
      </c>
      <c r="I422" s="767"/>
      <c r="P422" s="700"/>
    </row>
    <row r="423" spans="1:16" x14ac:dyDescent="0.3">
      <c r="A423" s="889" t="s">
        <v>1029</v>
      </c>
      <c r="B423" s="868" t="s">
        <v>1005</v>
      </c>
      <c r="C423" s="867" t="str">
        <f>IF(AND('Overzicht BTA'!$C$39=TRUE,'Overzicht BTA'!$C$42= FALSE),_xlfn.CONCAT('Upload AXI - CONF'!$A423,'Upload AXI - CONF'!$B423),"")</f>
        <v/>
      </c>
      <c r="D423" s="878">
        <f>ROUND('uitgebreide raming_gewijzigd'!$I$73,2)</f>
        <v>0.21</v>
      </c>
      <c r="E423" s="868" t="s">
        <v>1006</v>
      </c>
      <c r="F423" s="868" t="s">
        <v>1018</v>
      </c>
      <c r="G423" s="868"/>
      <c r="H423" s="870"/>
      <c r="I423" s="595"/>
      <c r="P423" s="700"/>
    </row>
    <row r="424" spans="1:16" x14ac:dyDescent="0.3">
      <c r="A424" s="973" t="s">
        <v>1029</v>
      </c>
      <c r="B424" s="872" t="s">
        <v>1007</v>
      </c>
      <c r="C424" s="867" t="str">
        <f>IF(AND('Overzicht BTA'!$C$39=TRUE,'Overzicht BTA'!$C$42= FALSE),_xlfn.CONCAT('Upload AXI - CONF'!$A424,'Upload AXI - CONF'!$B424),"")</f>
        <v/>
      </c>
      <c r="D424" s="871">
        <f>ROUND('uitgebreide raming_gewijzigd'!$H$73,2)</f>
        <v>0</v>
      </c>
      <c r="E424" s="872" t="s">
        <v>1008</v>
      </c>
      <c r="F424" s="872" t="s">
        <v>1018</v>
      </c>
      <c r="G424" s="872"/>
      <c r="H424" s="874"/>
      <c r="I424" s="767"/>
      <c r="P424" s="700"/>
    </row>
    <row r="425" spans="1:16" x14ac:dyDescent="0.3">
      <c r="A425" s="889" t="s">
        <v>1029</v>
      </c>
      <c r="B425" s="868" t="s">
        <v>1009</v>
      </c>
      <c r="C425" s="867" t="str">
        <f>IF(AND('Overzicht BTA'!$C$39=TRUE,'Overzicht BTA'!$C$42= FALSE),_xlfn.CONCAT('Upload AXI - CONF'!$A425,'Upload AXI - CONF'!$B425),"")</f>
        <v/>
      </c>
      <c r="D425" s="867">
        <f>ROUND('uitgebreide raming_gewijzigd'!$H$80,0)</f>
        <v>0</v>
      </c>
      <c r="E425" s="868" t="s">
        <v>1010</v>
      </c>
      <c r="F425" s="868" t="s">
        <v>1018</v>
      </c>
      <c r="G425" s="868"/>
      <c r="H425" s="870" t="s">
        <v>960</v>
      </c>
      <c r="I425" s="767"/>
      <c r="P425" s="700"/>
    </row>
    <row r="426" spans="1:16" x14ac:dyDescent="0.3">
      <c r="A426" s="973" t="s">
        <v>1029</v>
      </c>
      <c r="B426" s="872" t="s">
        <v>1011</v>
      </c>
      <c r="C426" s="867" t="str">
        <f>IF(AND('Overzicht BTA'!$C$39=TRUE,'Overzicht BTA'!$C$42= FALSE),_xlfn.CONCAT('Upload AXI - CONF'!$A426,'Upload AXI - CONF'!$B426),"")</f>
        <v/>
      </c>
      <c r="D426" s="879">
        <f>ROUND('Overzicht BTA'!$O$54,2)</f>
        <v>0</v>
      </c>
      <c r="E426" s="872" t="s">
        <v>1012</v>
      </c>
      <c r="F426" s="872" t="s">
        <v>1018</v>
      </c>
      <c r="G426" s="872"/>
      <c r="H426" s="874"/>
      <c r="I426" s="768"/>
      <c r="P426" s="700"/>
    </row>
    <row r="427" spans="1:16" x14ac:dyDescent="0.3">
      <c r="A427" s="889" t="s">
        <v>1029</v>
      </c>
      <c r="B427" s="868" t="s">
        <v>1013</v>
      </c>
      <c r="C427" s="867" t="str">
        <f>IF(AND('Overzicht BTA'!$C$39=TRUE,'Overzicht BTA'!$C$42= FALSE),_xlfn.CONCAT('Upload AXI - CONF'!$A427,'Upload AXI - CONF'!$B427),"")</f>
        <v/>
      </c>
      <c r="D427" s="880">
        <f>ROUND('Overzicht BTA'!$P$54,2)</f>
        <v>0</v>
      </c>
      <c r="E427" s="868" t="s">
        <v>1014</v>
      </c>
      <c r="F427" s="868" t="s">
        <v>1018</v>
      </c>
      <c r="G427" s="868"/>
      <c r="H427" s="870"/>
      <c r="I427" s="768"/>
      <c r="P427" s="700"/>
    </row>
    <row r="428" spans="1:16" x14ac:dyDescent="0.3">
      <c r="A428" s="973" t="s">
        <v>1029</v>
      </c>
      <c r="B428" s="872" t="s">
        <v>1015</v>
      </c>
      <c r="C428" s="867" t="str">
        <f>IF(AND('Overzicht BTA'!$C$39=TRUE,'Overzicht BTA'!$C$42= FALSE),_xlfn.CONCAT('Upload AXI - CONF'!$A428,'Upload AXI - CONF'!$B428),"")</f>
        <v/>
      </c>
      <c r="D428" s="881">
        <f>ROUND(IFERROR('analyse bij belofte 3'!$H$25,0),2)</f>
        <v>0</v>
      </c>
      <c r="E428" s="872" t="s">
        <v>1016</v>
      </c>
      <c r="F428" s="872" t="s">
        <v>1018</v>
      </c>
      <c r="G428" s="872"/>
      <c r="H428" s="874"/>
      <c r="I428" s="595"/>
      <c r="P428" s="700"/>
    </row>
    <row r="429" spans="1:16" x14ac:dyDescent="0.3">
      <c r="A429" s="889"/>
      <c r="B429" s="868"/>
      <c r="C429" s="868" t="str">
        <f>_xlfn.CONCAT('Upload AXI - CONF'!$A429,'Upload AXI - CONF'!$B429)</f>
        <v/>
      </c>
      <c r="D429" s="868" t="b">
        <f>'Overzicht BTA'!$E$37</f>
        <v>0</v>
      </c>
      <c r="E429" s="868" t="s">
        <v>1030</v>
      </c>
      <c r="G429" s="869" t="s">
        <v>1031</v>
      </c>
      <c r="H429" s="884"/>
      <c r="P429" s="700"/>
    </row>
    <row r="430" spans="1:16" x14ac:dyDescent="0.3">
      <c r="A430" s="973" t="s">
        <v>964</v>
      </c>
      <c r="B430" s="872" t="s">
        <v>1032</v>
      </c>
      <c r="C430" s="871" t="str">
        <f>IF('Overzicht BTA'!$C$42= TRUE,_xlfn.CONCAT('Upload AXI - CONF'!$A430,'Upload AXI - CONF'!$B430),"")</f>
        <v/>
      </c>
      <c r="D430" s="871">
        <f>ROUND('eindafrekening_ kost_zorg'!$B$41,2)</f>
        <v>0</v>
      </c>
      <c r="E430" s="872" t="s">
        <v>1033</v>
      </c>
      <c r="F430" s="872" t="s">
        <v>1034</v>
      </c>
      <c r="G430" s="872"/>
      <c r="H430" s="874" t="s">
        <v>957</v>
      </c>
      <c r="I430" s="767"/>
      <c r="P430" s="700"/>
    </row>
    <row r="431" spans="1:16" x14ac:dyDescent="0.3">
      <c r="A431" s="889" t="s">
        <v>964</v>
      </c>
      <c r="B431" s="868" t="s">
        <v>1035</v>
      </c>
      <c r="C431" s="867" t="str">
        <f>IF('Overzicht BTA'!$C$42= TRUE,_xlfn.CONCAT('Upload AXI - CONF'!$A431,'Upload AXI - CONF'!$B431),"")</f>
        <v/>
      </c>
      <c r="D431" s="867">
        <f>ROUND('eindafrekening_ kost_zorg'!$B$13,2)</f>
        <v>0</v>
      </c>
      <c r="E431" s="868" t="s">
        <v>1036</v>
      </c>
      <c r="F431" s="868" t="s">
        <v>1034</v>
      </c>
      <c r="G431" s="868"/>
      <c r="H431" s="870" t="s">
        <v>957</v>
      </c>
      <c r="I431" s="767"/>
      <c r="P431" s="700"/>
    </row>
    <row r="432" spans="1:16" x14ac:dyDescent="0.3">
      <c r="A432" s="973" t="s">
        <v>964</v>
      </c>
      <c r="B432" s="872" t="s">
        <v>1037</v>
      </c>
      <c r="C432" s="871" t="str">
        <f>IF('Overzicht BTA'!$C$42= TRUE,_xlfn.CONCAT('Upload AXI - CONF'!$A432,'Upload AXI - CONF'!$B432),"")</f>
        <v/>
      </c>
      <c r="D432" s="871">
        <f>ROUND('eindafrekening_ kost_zorg'!$B$20,2)</f>
        <v>0</v>
      </c>
      <c r="E432" s="872" t="s">
        <v>1038</v>
      </c>
      <c r="F432" s="872" t="s">
        <v>1034</v>
      </c>
      <c r="G432" s="872"/>
      <c r="H432" s="874" t="s">
        <v>957</v>
      </c>
      <c r="I432" s="767"/>
      <c r="P432" s="700"/>
    </row>
    <row r="433" spans="1:16" x14ac:dyDescent="0.3">
      <c r="A433" s="889" t="s">
        <v>964</v>
      </c>
      <c r="B433" s="868" t="s">
        <v>1039</v>
      </c>
      <c r="C433" s="867" t="str">
        <f>IF('Overzicht BTA'!$C$42= TRUE,_xlfn.CONCAT('Upload AXI - CONF'!$A433,'Upload AXI - CONF'!$B433),"")</f>
        <v/>
      </c>
      <c r="D433" s="867">
        <f>ROUND('eindafrekening_ kost_zorg'!$B$28,2)</f>
        <v>0</v>
      </c>
      <c r="E433" s="868" t="s">
        <v>1040</v>
      </c>
      <c r="F433" s="868" t="s">
        <v>1034</v>
      </c>
      <c r="G433" s="868"/>
      <c r="H433" s="870" t="s">
        <v>957</v>
      </c>
      <c r="I433" s="767"/>
      <c r="P433" s="700"/>
    </row>
    <row r="434" spans="1:16" x14ac:dyDescent="0.3">
      <c r="A434" s="973" t="s">
        <v>964</v>
      </c>
      <c r="B434" s="872" t="s">
        <v>1041</v>
      </c>
      <c r="C434" s="871" t="str">
        <f>IF('Overzicht BTA'!$C$42= TRUE,_xlfn.CONCAT('Upload AXI - CONF'!$A434,'Upload AXI - CONF'!$B434),"")</f>
        <v/>
      </c>
      <c r="D434" s="871">
        <f>ROUND('eindafrekening_ kost_zorg'!$B$37,2)</f>
        <v>0</v>
      </c>
      <c r="E434" s="872" t="s">
        <v>1042</v>
      </c>
      <c r="F434" s="872" t="s">
        <v>1034</v>
      </c>
      <c r="G434" s="872"/>
      <c r="H434" s="874" t="s">
        <v>957</v>
      </c>
      <c r="I434" s="767"/>
      <c r="P434" s="700"/>
    </row>
    <row r="435" spans="1:16" x14ac:dyDescent="0.3">
      <c r="A435" s="889" t="s">
        <v>964</v>
      </c>
      <c r="B435" s="868" t="s">
        <v>1043</v>
      </c>
      <c r="C435" s="867" t="str">
        <f>IF('Overzicht BTA'!$C$42= TRUE,_xlfn.CONCAT('Upload AXI - CONF'!$A435,'Upload AXI - CONF'!$B435),"")</f>
        <v/>
      </c>
      <c r="D435" s="867">
        <f>ROUND('eindafrekening_ kost_zorg'!$B$38,2)</f>
        <v>0</v>
      </c>
      <c r="E435" s="868" t="s">
        <v>1044</v>
      </c>
      <c r="F435" s="868" t="s">
        <v>1034</v>
      </c>
      <c r="G435" s="868"/>
      <c r="H435" s="870" t="s">
        <v>957</v>
      </c>
      <c r="I435" s="767"/>
      <c r="P435" s="700"/>
    </row>
    <row r="436" spans="1:16" x14ac:dyDescent="0.3">
      <c r="A436" s="973" t="s">
        <v>964</v>
      </c>
      <c r="B436" s="872" t="s">
        <v>1045</v>
      </c>
      <c r="C436" s="871" t="str">
        <f>IF('Overzicht BTA'!$C$42= TRUE,_xlfn.CONCAT('Upload AXI - CONF'!$A436,'Upload AXI - CONF'!$B436),"")</f>
        <v/>
      </c>
      <c r="D436" s="871">
        <f>'eindafrekening_ kost_zorg'!$B$39</f>
        <v>0</v>
      </c>
      <c r="E436" s="872" t="s">
        <v>1046</v>
      </c>
      <c r="F436" s="872" t="s">
        <v>1034</v>
      </c>
      <c r="G436" s="872"/>
      <c r="H436" s="874" t="s">
        <v>957</v>
      </c>
      <c r="I436" s="767"/>
      <c r="P436" s="700"/>
    </row>
    <row r="437" spans="1:16" x14ac:dyDescent="0.3">
      <c r="A437" s="889" t="s">
        <v>964</v>
      </c>
      <c r="B437" s="868" t="s">
        <v>1047</v>
      </c>
      <c r="C437" s="867" t="str">
        <f>IF('Overzicht BTA'!$C$42= TRUE,_xlfn.CONCAT('Upload AXI - CONF'!$A437,'Upload AXI - CONF'!$B437),"")</f>
        <v/>
      </c>
      <c r="D437" s="867">
        <f>ROUND('eindafrekening_ kost_zorg'!$B$40,2)</f>
        <v>0</v>
      </c>
      <c r="E437" s="868" t="s">
        <v>1048</v>
      </c>
      <c r="F437" s="868" t="s">
        <v>1034</v>
      </c>
      <c r="G437" s="868"/>
      <c r="H437" s="870" t="s">
        <v>957</v>
      </c>
      <c r="I437" s="767"/>
      <c r="P437" s="700"/>
    </row>
    <row r="438" spans="1:16" x14ac:dyDescent="0.3">
      <c r="A438" s="973" t="s">
        <v>964</v>
      </c>
      <c r="B438" s="872" t="s">
        <v>1049</v>
      </c>
      <c r="C438" s="871" t="str">
        <f>IF('Overzicht BTA'!$C$42= TRUE,_xlfn.CONCAT('Upload AXI - CONF'!$A438,'Upload AXI - CONF'!$B438),"")</f>
        <v/>
      </c>
      <c r="D438" s="871">
        <f>ROUND('eindafrekening_ kost_zorg'!$B$45,2)</f>
        <v>0</v>
      </c>
      <c r="E438" s="872" t="s">
        <v>1050</v>
      </c>
      <c r="F438" s="872" t="s">
        <v>1034</v>
      </c>
      <c r="G438" s="872"/>
      <c r="H438" s="874" t="s">
        <v>957</v>
      </c>
      <c r="I438" s="767"/>
      <c r="P438" s="700"/>
    </row>
    <row r="439" spans="1:16" x14ac:dyDescent="0.3">
      <c r="A439" s="889" t="s">
        <v>964</v>
      </c>
      <c r="B439" s="868" t="s">
        <v>1051</v>
      </c>
      <c r="C439" s="867" t="str">
        <f>IF('Overzicht BTA'!$C$42= TRUE,_xlfn.CONCAT('Upload AXI - CONF'!$A439,'Upload AXI - CONF'!$B439),"")</f>
        <v/>
      </c>
      <c r="D439" s="867">
        <f>ROUND('eindafrekening_ kost_zorg'!$B$51,2)</f>
        <v>0</v>
      </c>
      <c r="E439" s="868" t="s">
        <v>1052</v>
      </c>
      <c r="F439" s="868" t="s">
        <v>1034</v>
      </c>
      <c r="G439" s="868"/>
      <c r="H439" s="870" t="s">
        <v>957</v>
      </c>
      <c r="I439" s="767"/>
      <c r="P439" s="700"/>
    </row>
    <row r="440" spans="1:16" x14ac:dyDescent="0.3">
      <c r="A440" s="973" t="s">
        <v>964</v>
      </c>
      <c r="B440" s="872" t="s">
        <v>1005</v>
      </c>
      <c r="C440" s="881" t="str">
        <f>IF('Overzicht BTA'!$C$42= TRUE,_xlfn.CONCAT('Upload AXI - CONF'!$A440,'Upload AXI - CONF'!$B440),"")</f>
        <v/>
      </c>
      <c r="D440" s="881">
        <f>ROUND('uitgebreide raming'!$C$19,2)</f>
        <v>0.21</v>
      </c>
      <c r="E440" s="872" t="s">
        <v>1006</v>
      </c>
      <c r="F440" s="872" t="s">
        <v>1034</v>
      </c>
      <c r="G440" s="872"/>
      <c r="H440" s="874"/>
      <c r="I440" s="595"/>
      <c r="P440" s="700"/>
    </row>
    <row r="441" spans="1:16" x14ac:dyDescent="0.3">
      <c r="A441" s="889" t="s">
        <v>964</v>
      </c>
      <c r="B441" s="868" t="s">
        <v>1053</v>
      </c>
      <c r="C441" s="867" t="str">
        <f>IF('Overzicht BTA'!$C$42= TRUE,_xlfn.CONCAT('Upload AXI - CONF'!$A441,'Upload AXI - CONF'!$B441),"")</f>
        <v/>
      </c>
      <c r="D441" s="867">
        <f>ROUND('eindafrekening_ kost_zorg'!$B$90,2)</f>
        <v>0</v>
      </c>
      <c r="E441" s="868" t="s">
        <v>1054</v>
      </c>
      <c r="F441" s="868" t="s">
        <v>1034</v>
      </c>
      <c r="G441" s="868"/>
      <c r="H441" s="870" t="s">
        <v>957</v>
      </c>
      <c r="I441" s="767"/>
      <c r="P441" s="700"/>
    </row>
    <row r="442" spans="1:16" x14ac:dyDescent="0.3">
      <c r="A442" s="973" t="s">
        <v>964</v>
      </c>
      <c r="B442" s="872" t="s">
        <v>1055</v>
      </c>
      <c r="C442" s="871" t="str">
        <f>IF('Overzicht BTA'!$C$42= TRUE,_xlfn.CONCAT('Upload AXI - CONF'!$A442,'Upload AXI - CONF'!$B442),"")</f>
        <v/>
      </c>
      <c r="D442" s="871">
        <f>ROUND('eindafrekening_ kost_zorg'!$B$92,2)</f>
        <v>0</v>
      </c>
      <c r="E442" s="872" t="s">
        <v>1056</v>
      </c>
      <c r="F442" s="872" t="s">
        <v>1034</v>
      </c>
      <c r="G442" s="872"/>
      <c r="H442" s="874" t="s">
        <v>957</v>
      </c>
      <c r="I442" s="767"/>
      <c r="P442" s="700"/>
    </row>
    <row r="443" spans="1:16" x14ac:dyDescent="0.3">
      <c r="A443" s="889" t="s">
        <v>964</v>
      </c>
      <c r="B443" s="868" t="s">
        <v>1057</v>
      </c>
      <c r="C443" s="867" t="str">
        <f>IF('Overzicht BTA'!$C$42= TRUE,_xlfn.CONCAT('Upload AXI - CONF'!$A443,'Upload AXI - CONF'!$B443),"")</f>
        <v/>
      </c>
      <c r="D443" s="867">
        <f>ROUND('eindafrekening_ kost_zorg'!$B$91,2)</f>
        <v>0</v>
      </c>
      <c r="E443" s="868" t="s">
        <v>1058</v>
      </c>
      <c r="F443" s="868" t="s">
        <v>1034</v>
      </c>
      <c r="G443" s="868"/>
      <c r="H443" s="870" t="s">
        <v>957</v>
      </c>
      <c r="I443" s="767"/>
      <c r="P443" s="700"/>
    </row>
    <row r="444" spans="1:16" x14ac:dyDescent="0.3">
      <c r="A444" s="973"/>
      <c r="B444" s="872"/>
      <c r="C444" s="871" t="str">
        <f>IF('Overzicht BTA'!$C$42= TRUE,_xlfn.CONCAT('Upload AXI - CONF'!$A444,'Upload AXI - CONF'!$B444),"")</f>
        <v/>
      </c>
      <c r="D444" s="871">
        <f>'eindafrekening_ kost_zorg'!B69</f>
        <v>0</v>
      </c>
      <c r="E444" s="872" t="s">
        <v>1059</v>
      </c>
      <c r="F444" s="872" t="s">
        <v>1034</v>
      </c>
      <c r="G444" s="885" t="s">
        <v>1060</v>
      </c>
      <c r="H444" s="886" t="s">
        <v>957</v>
      </c>
      <c r="I444" s="767"/>
      <c r="P444" s="700"/>
    </row>
    <row r="445" spans="1:16" x14ac:dyDescent="0.3">
      <c r="A445" s="889" t="s">
        <v>964</v>
      </c>
      <c r="B445" s="868" t="s">
        <v>1061</v>
      </c>
      <c r="C445" s="880" t="str">
        <f>IF('Overzicht BTA'!$C$42= TRUE,_xlfn.CONCAT('Upload AXI - CONF'!$A445,'Upload AXI - CONF'!$B445),"")</f>
        <v/>
      </c>
      <c r="D445" s="880">
        <f>ROUND('Overzicht BTA'!$C$51,2)</f>
        <v>0</v>
      </c>
      <c r="E445" s="868" t="s">
        <v>1062</v>
      </c>
      <c r="F445" s="868" t="s">
        <v>1034</v>
      </c>
      <c r="G445" s="868"/>
      <c r="H445" s="870"/>
      <c r="I445" s="768"/>
      <c r="P445" s="700"/>
    </row>
    <row r="446" spans="1:16" x14ac:dyDescent="0.3">
      <c r="A446" s="973" t="s">
        <v>964</v>
      </c>
      <c r="B446" s="872" t="s">
        <v>1063</v>
      </c>
      <c r="C446" s="879" t="str">
        <f>IF('Overzicht BTA'!$C$42= TRUE,_xlfn.CONCAT('Upload AXI - CONF'!$A446,'Upload AXI - CONF'!$B446),"")</f>
        <v/>
      </c>
      <c r="D446" s="879">
        <f>ROUND('Overzicht BTA'!$D$51,2)</f>
        <v>0</v>
      </c>
      <c r="E446" s="872" t="s">
        <v>1064</v>
      </c>
      <c r="F446" s="872" t="s">
        <v>1034</v>
      </c>
      <c r="G446" s="872"/>
      <c r="H446" s="874"/>
      <c r="I446" s="768"/>
      <c r="P446" s="700"/>
    </row>
    <row r="447" spans="1:16" x14ac:dyDescent="0.3">
      <c r="A447" s="889" t="s">
        <v>964</v>
      </c>
      <c r="B447" s="868" t="s">
        <v>1065</v>
      </c>
      <c r="C447" s="878" t="str">
        <f>IF('Overzicht BTA'!$C$42= TRUE,_xlfn.CONCAT('Upload AXI - CONF'!$A447,'Upload AXI - CONF'!$B447),"")</f>
        <v/>
      </c>
      <c r="D447" s="878">
        <f>ROUND('eindafrekening_ kost_zorg'!$B$95,2)</f>
        <v>0</v>
      </c>
      <c r="E447" s="868" t="s">
        <v>1066</v>
      </c>
      <c r="F447" s="868" t="s">
        <v>1034</v>
      </c>
      <c r="G447" s="868"/>
      <c r="H447" s="870"/>
      <c r="I447" s="595"/>
      <c r="P447" s="700"/>
    </row>
    <row r="448" spans="1:16" x14ac:dyDescent="0.3">
      <c r="A448" s="973" t="s">
        <v>968</v>
      </c>
      <c r="B448" s="872" t="s">
        <v>1032</v>
      </c>
      <c r="C448" s="871" t="str">
        <f>IF('Overzicht BTA'!$C$42= TRUE,_xlfn.CONCAT('Upload AXI - CONF'!$A448,'Upload AXI - CONF'!$B448),"")</f>
        <v/>
      </c>
      <c r="D448" s="871">
        <f>ROUND('eindafrekening_ kost_zorg'!$D$41,2)</f>
        <v>0</v>
      </c>
      <c r="E448" s="872" t="s">
        <v>1033</v>
      </c>
      <c r="F448" s="872" t="s">
        <v>1034</v>
      </c>
      <c r="G448" s="872"/>
      <c r="H448" s="874" t="s">
        <v>957</v>
      </c>
      <c r="I448" s="767"/>
      <c r="P448" s="700"/>
    </row>
    <row r="449" spans="1:16" x14ac:dyDescent="0.3">
      <c r="A449" s="889" t="s">
        <v>968</v>
      </c>
      <c r="B449" s="868" t="s">
        <v>1035</v>
      </c>
      <c r="C449" s="867" t="str">
        <f>IF('Overzicht BTA'!$C$42= TRUE,_xlfn.CONCAT('Upload AXI - CONF'!$A449,'Upload AXI - CONF'!$B449),"")</f>
        <v/>
      </c>
      <c r="D449" s="867">
        <f>ROUND('eindafrekening_ kost_zorg'!$D$13,2)</f>
        <v>0</v>
      </c>
      <c r="E449" s="868" t="s">
        <v>1036</v>
      </c>
      <c r="F449" s="868" t="s">
        <v>1034</v>
      </c>
      <c r="G449" s="868"/>
      <c r="H449" s="870" t="s">
        <v>957</v>
      </c>
      <c r="I449" s="767"/>
      <c r="P449" s="700"/>
    </row>
    <row r="450" spans="1:16" x14ac:dyDescent="0.3">
      <c r="A450" s="973" t="s">
        <v>968</v>
      </c>
      <c r="B450" s="872" t="s">
        <v>1037</v>
      </c>
      <c r="C450" s="871" t="str">
        <f>IF('Overzicht BTA'!$C$42= TRUE,_xlfn.CONCAT('Upload AXI - CONF'!$A450,'Upload AXI - CONF'!$B450),"")</f>
        <v/>
      </c>
      <c r="D450" s="871">
        <f>ROUND('eindafrekening_ kost_zorg'!$D$20,2)</f>
        <v>0</v>
      </c>
      <c r="E450" s="872" t="s">
        <v>1038</v>
      </c>
      <c r="F450" s="872" t="s">
        <v>1034</v>
      </c>
      <c r="G450" s="872"/>
      <c r="H450" s="874" t="s">
        <v>957</v>
      </c>
      <c r="I450" s="767"/>
      <c r="P450" s="700"/>
    </row>
    <row r="451" spans="1:16" x14ac:dyDescent="0.3">
      <c r="A451" s="889" t="s">
        <v>968</v>
      </c>
      <c r="B451" s="868" t="s">
        <v>1039</v>
      </c>
      <c r="C451" s="867" t="str">
        <f>IF('Overzicht BTA'!$C$42= TRUE,_xlfn.CONCAT('Upload AXI - CONF'!$A451,'Upload AXI - CONF'!$B451),"")</f>
        <v/>
      </c>
      <c r="D451" s="867">
        <f>ROUND('eindafrekening_ kost_zorg'!$D$28,2)</f>
        <v>0</v>
      </c>
      <c r="E451" s="868" t="s">
        <v>1040</v>
      </c>
      <c r="F451" s="868" t="s">
        <v>1034</v>
      </c>
      <c r="G451" s="868"/>
      <c r="H451" s="870" t="s">
        <v>957</v>
      </c>
      <c r="I451" s="767"/>
      <c r="P451" s="700"/>
    </row>
    <row r="452" spans="1:16" x14ac:dyDescent="0.3">
      <c r="A452" s="973" t="s">
        <v>968</v>
      </c>
      <c r="B452" s="872" t="s">
        <v>1041</v>
      </c>
      <c r="C452" s="871" t="str">
        <f>IF('Overzicht BTA'!$C$42= TRUE,_xlfn.CONCAT('Upload AXI - CONF'!$A452,'Upload AXI - CONF'!$B452),"")</f>
        <v/>
      </c>
      <c r="D452" s="871">
        <f>'eindafrekening_ kost_zorg'!$D$37</f>
        <v>0</v>
      </c>
      <c r="E452" s="872" t="s">
        <v>1042</v>
      </c>
      <c r="F452" s="872" t="s">
        <v>1034</v>
      </c>
      <c r="G452" s="872"/>
      <c r="H452" s="874" t="s">
        <v>957</v>
      </c>
      <c r="I452" s="767"/>
      <c r="P452" s="700"/>
    </row>
    <row r="453" spans="1:16" x14ac:dyDescent="0.3">
      <c r="A453" s="889" t="s">
        <v>968</v>
      </c>
      <c r="B453" s="868" t="s">
        <v>1043</v>
      </c>
      <c r="C453" s="867" t="str">
        <f>IF('Overzicht BTA'!$C$42= TRUE,_xlfn.CONCAT('Upload AXI - CONF'!$A453,'Upload AXI - CONF'!$B453),"")</f>
        <v/>
      </c>
      <c r="D453" s="867">
        <f>ROUND('eindafrekening_ kost_zorg'!$D$38,2)</f>
        <v>0</v>
      </c>
      <c r="E453" s="868" t="s">
        <v>1044</v>
      </c>
      <c r="F453" s="868" t="s">
        <v>1034</v>
      </c>
      <c r="G453" s="868"/>
      <c r="H453" s="870" t="s">
        <v>957</v>
      </c>
      <c r="I453" s="767"/>
      <c r="P453" s="700"/>
    </row>
    <row r="454" spans="1:16" x14ac:dyDescent="0.3">
      <c r="A454" s="973" t="s">
        <v>968</v>
      </c>
      <c r="B454" s="872" t="s">
        <v>1045</v>
      </c>
      <c r="C454" s="871" t="str">
        <f>IF('Overzicht BTA'!$C$42= TRUE,_xlfn.CONCAT('Upload AXI - CONF'!$A454,'Upload AXI - CONF'!$B454),"")</f>
        <v/>
      </c>
      <c r="D454" s="871">
        <f>'eindafrekening_ kost_zorg'!$D$39</f>
        <v>0</v>
      </c>
      <c r="E454" s="872" t="s">
        <v>1046</v>
      </c>
      <c r="F454" s="872" t="s">
        <v>1034</v>
      </c>
      <c r="G454" s="872"/>
      <c r="H454" s="874" t="s">
        <v>957</v>
      </c>
      <c r="I454" s="767"/>
      <c r="P454" s="700"/>
    </row>
    <row r="455" spans="1:16" x14ac:dyDescent="0.3">
      <c r="A455" s="889" t="s">
        <v>968</v>
      </c>
      <c r="B455" s="868" t="s">
        <v>1047</v>
      </c>
      <c r="C455" s="867" t="str">
        <f>IF('Overzicht BTA'!$C$42= TRUE,_xlfn.CONCAT('Upload AXI - CONF'!$A455,'Upload AXI - CONF'!$B455),"")</f>
        <v/>
      </c>
      <c r="D455" s="867">
        <f>ROUND('eindafrekening_ kost_zorg'!$D$40,2)</f>
        <v>0</v>
      </c>
      <c r="E455" s="868" t="s">
        <v>1048</v>
      </c>
      <c r="F455" s="868" t="s">
        <v>1034</v>
      </c>
      <c r="G455" s="868"/>
      <c r="H455" s="870" t="s">
        <v>957</v>
      </c>
      <c r="I455" s="767"/>
      <c r="P455" s="700"/>
    </row>
    <row r="456" spans="1:16" x14ac:dyDescent="0.3">
      <c r="A456" s="973" t="s">
        <v>968</v>
      </c>
      <c r="B456" s="872" t="s">
        <v>1049</v>
      </c>
      <c r="C456" s="871" t="str">
        <f>IF('Overzicht BTA'!$C$42= TRUE,_xlfn.CONCAT('Upload AXI - CONF'!$A456,'Upload AXI - CONF'!$B456),"")</f>
        <v/>
      </c>
      <c r="D456" s="871">
        <f>ROUND('eindafrekening_ kost_zorg'!$D$45,2)</f>
        <v>0</v>
      </c>
      <c r="E456" s="872" t="s">
        <v>1050</v>
      </c>
      <c r="F456" s="872" t="s">
        <v>1034</v>
      </c>
      <c r="G456" s="872"/>
      <c r="H456" s="874" t="s">
        <v>957</v>
      </c>
      <c r="I456" s="767"/>
      <c r="P456" s="700"/>
    </row>
    <row r="457" spans="1:16" x14ac:dyDescent="0.3">
      <c r="A457" s="889" t="s">
        <v>968</v>
      </c>
      <c r="B457" s="868" t="s">
        <v>1051</v>
      </c>
      <c r="C457" s="867" t="str">
        <f>IF('Overzicht BTA'!$C$42= TRUE,_xlfn.CONCAT('Upload AXI - CONF'!$A457,'Upload AXI - CONF'!$B457),"")</f>
        <v/>
      </c>
      <c r="D457" s="867">
        <f>ROUND('eindafrekening_ kost_zorg'!$D$49,2)</f>
        <v>0</v>
      </c>
      <c r="E457" s="868" t="s">
        <v>1067</v>
      </c>
      <c r="F457" s="868" t="s">
        <v>1034</v>
      </c>
      <c r="G457" s="868"/>
      <c r="H457" s="870" t="s">
        <v>957</v>
      </c>
      <c r="I457" s="767"/>
      <c r="P457" s="700"/>
    </row>
    <row r="458" spans="1:16" x14ac:dyDescent="0.3">
      <c r="A458" s="973" t="s">
        <v>968</v>
      </c>
      <c r="B458" s="872" t="s">
        <v>1005</v>
      </c>
      <c r="C458" s="881" t="str">
        <f>IF('Overzicht BTA'!$C$42= TRUE,_xlfn.CONCAT('Upload AXI - CONF'!$A458,'Upload AXI - CONF'!$B458),"")</f>
        <v/>
      </c>
      <c r="D458" s="881">
        <f>ROUND('uitgebreide raming'!$E$19,2)</f>
        <v>0.21</v>
      </c>
      <c r="E458" s="872" t="s">
        <v>1006</v>
      </c>
      <c r="F458" s="872" t="s">
        <v>1034</v>
      </c>
      <c r="G458" s="872"/>
      <c r="H458" s="874"/>
      <c r="I458" s="595"/>
      <c r="P458" s="700"/>
    </row>
    <row r="459" spans="1:16" x14ac:dyDescent="0.3">
      <c r="A459" s="889" t="s">
        <v>968</v>
      </c>
      <c r="B459" s="868" t="s">
        <v>1053</v>
      </c>
      <c r="C459" s="867" t="str">
        <f>IF('Overzicht BTA'!$C$42= TRUE,_xlfn.CONCAT('Upload AXI - CONF'!$A459,'Upload AXI - CONF'!$B459),"")</f>
        <v/>
      </c>
      <c r="D459" s="867">
        <f>ROUND('eindafrekening_ kost_zorg'!$D$90,2)</f>
        <v>0</v>
      </c>
      <c r="E459" s="868" t="s">
        <v>1054</v>
      </c>
      <c r="F459" s="868" t="s">
        <v>1034</v>
      </c>
      <c r="G459" s="868"/>
      <c r="H459" s="870" t="s">
        <v>957</v>
      </c>
      <c r="I459" s="767"/>
      <c r="P459" s="700"/>
    </row>
    <row r="460" spans="1:16" x14ac:dyDescent="0.3">
      <c r="A460" s="973" t="s">
        <v>968</v>
      </c>
      <c r="B460" s="872" t="s">
        <v>1055</v>
      </c>
      <c r="C460" s="871" t="str">
        <f>IF('Overzicht BTA'!$C$42= TRUE,_xlfn.CONCAT('Upload AXI - CONF'!$A460,'Upload AXI - CONF'!$B460),"")</f>
        <v/>
      </c>
      <c r="D460" s="871">
        <f>ROUND('eindafrekening_ kost_zorg'!$D$92,2)</f>
        <v>0</v>
      </c>
      <c r="E460" s="872" t="s">
        <v>1056</v>
      </c>
      <c r="F460" s="872" t="s">
        <v>1034</v>
      </c>
      <c r="G460" s="872"/>
      <c r="H460" s="874" t="s">
        <v>957</v>
      </c>
      <c r="I460" s="767"/>
      <c r="P460" s="700"/>
    </row>
    <row r="461" spans="1:16" x14ac:dyDescent="0.3">
      <c r="A461" s="889" t="s">
        <v>968</v>
      </c>
      <c r="B461" s="868" t="s">
        <v>1057</v>
      </c>
      <c r="C461" s="867" t="str">
        <f>IF('Overzicht BTA'!$C$42= TRUE,_xlfn.CONCAT('Upload AXI - CONF'!$A461,'Upload AXI - CONF'!$B461),"")</f>
        <v/>
      </c>
      <c r="D461" s="867">
        <f>ROUND('eindafrekening_ kost_zorg'!$D$91,2)</f>
        <v>0</v>
      </c>
      <c r="E461" s="868" t="s">
        <v>1058</v>
      </c>
      <c r="F461" s="868" t="s">
        <v>1034</v>
      </c>
      <c r="G461" s="868"/>
      <c r="H461" s="870" t="s">
        <v>957</v>
      </c>
      <c r="I461" s="767"/>
      <c r="P461" s="700"/>
    </row>
    <row r="462" spans="1:16" x14ac:dyDescent="0.3">
      <c r="A462" s="973"/>
      <c r="B462" s="872"/>
      <c r="C462" s="871" t="str">
        <f>IF('Overzicht BTA'!$C$42= TRUE,_xlfn.CONCAT('Upload AXI - CONF'!$A462,'Upload AXI - CONF'!$B462),"")</f>
        <v/>
      </c>
      <c r="D462" s="871">
        <f>ROUND('uitgebreide raming'!$D$24,2)</f>
        <v>0</v>
      </c>
      <c r="E462" s="872" t="s">
        <v>1068</v>
      </c>
      <c r="F462" s="872" t="s">
        <v>1034</v>
      </c>
      <c r="G462" s="872"/>
      <c r="H462" s="886" t="s">
        <v>957</v>
      </c>
      <c r="I462" s="767"/>
      <c r="P462" s="700"/>
    </row>
    <row r="463" spans="1:16" x14ac:dyDescent="0.3">
      <c r="A463" s="889" t="s">
        <v>968</v>
      </c>
      <c r="B463" s="868" t="s">
        <v>1061</v>
      </c>
      <c r="C463" s="880" t="str">
        <f>IF('Overzicht BTA'!$C$42= TRUE,_xlfn.CONCAT('Upload AXI - CONF'!$A463,'Upload AXI - CONF'!$B463),"")</f>
        <v/>
      </c>
      <c r="D463" s="880">
        <f>ROUND('Overzicht BTA'!$C$52,2)</f>
        <v>0</v>
      </c>
      <c r="E463" s="868" t="s">
        <v>1062</v>
      </c>
      <c r="F463" s="868" t="s">
        <v>1034</v>
      </c>
      <c r="G463" s="868"/>
      <c r="H463" s="870"/>
      <c r="I463" s="768"/>
      <c r="P463" s="700"/>
    </row>
    <row r="464" spans="1:16" x14ac:dyDescent="0.3">
      <c r="A464" s="973" t="s">
        <v>968</v>
      </c>
      <c r="B464" s="872" t="s">
        <v>1063</v>
      </c>
      <c r="C464" s="879" t="str">
        <f>IF('Overzicht BTA'!$C$42= TRUE,_xlfn.CONCAT('Upload AXI - CONF'!$A464,'Upload AXI - CONF'!$B464),"")</f>
        <v/>
      </c>
      <c r="D464" s="879">
        <f>ROUND('Overzicht BTA'!$D$52,2)</f>
        <v>0</v>
      </c>
      <c r="E464" s="872" t="s">
        <v>1064</v>
      </c>
      <c r="F464" s="872" t="s">
        <v>1034</v>
      </c>
      <c r="G464" s="872"/>
      <c r="H464" s="874"/>
      <c r="I464" s="768"/>
      <c r="P464" s="700"/>
    </row>
    <row r="465" spans="1:16" x14ac:dyDescent="0.3">
      <c r="A465" s="889" t="s">
        <v>968</v>
      </c>
      <c r="B465" s="868" t="s">
        <v>1065</v>
      </c>
      <c r="C465" s="878" t="str">
        <f>IF('Overzicht BTA'!$C$42= TRUE,_xlfn.CONCAT('Upload AXI - CONF'!$A465,'Upload AXI - CONF'!$B465),"")</f>
        <v/>
      </c>
      <c r="D465" s="878">
        <f>ROUND('eindafrekening_ kost_zorg'!$D$95,2)</f>
        <v>0</v>
      </c>
      <c r="E465" s="868" t="s">
        <v>1066</v>
      </c>
      <c r="F465" s="868" t="s">
        <v>1034</v>
      </c>
      <c r="G465" s="868"/>
      <c r="H465" s="870"/>
      <c r="I465" s="595"/>
      <c r="P465" s="700"/>
    </row>
    <row r="466" spans="1:16" x14ac:dyDescent="0.3">
      <c r="A466" s="973" t="s">
        <v>969</v>
      </c>
      <c r="B466" s="872" t="s">
        <v>1032</v>
      </c>
      <c r="C466" s="871" t="str">
        <f>IF('Overzicht BTA'!$C$42= TRUE,_xlfn.CONCAT('Upload AXI - CONF'!$A466,'Upload AXI - CONF'!$B466),"")</f>
        <v/>
      </c>
      <c r="D466" s="871">
        <f>ROUND('eindafrekening_ kost_zorg'!$F$41,2)</f>
        <v>0</v>
      </c>
      <c r="E466" s="872" t="s">
        <v>1033</v>
      </c>
      <c r="F466" s="872" t="s">
        <v>1034</v>
      </c>
      <c r="G466" s="872"/>
      <c r="H466" s="874" t="s">
        <v>957</v>
      </c>
      <c r="I466" s="767"/>
      <c r="P466" s="700"/>
    </row>
    <row r="467" spans="1:16" x14ac:dyDescent="0.3">
      <c r="A467" s="889" t="s">
        <v>969</v>
      </c>
      <c r="B467" s="868" t="s">
        <v>1035</v>
      </c>
      <c r="C467" s="867" t="str">
        <f>IF('Overzicht BTA'!$C$42= TRUE,_xlfn.CONCAT('Upload AXI - CONF'!$A467,'Upload AXI - CONF'!$B467),"")</f>
        <v/>
      </c>
      <c r="D467" s="867">
        <f>ROUND('eindafrekening_ kost_zorg'!$F$13,2)</f>
        <v>0</v>
      </c>
      <c r="E467" s="868" t="s">
        <v>1036</v>
      </c>
      <c r="F467" s="868" t="s">
        <v>1034</v>
      </c>
      <c r="G467" s="868"/>
      <c r="H467" s="870" t="s">
        <v>957</v>
      </c>
      <c r="I467" s="767"/>
      <c r="P467" s="700"/>
    </row>
    <row r="468" spans="1:16" x14ac:dyDescent="0.3">
      <c r="A468" s="973" t="s">
        <v>969</v>
      </c>
      <c r="B468" s="872" t="s">
        <v>1037</v>
      </c>
      <c r="C468" s="871" t="str">
        <f>IF('Overzicht BTA'!$C$42= TRUE,_xlfn.CONCAT('Upload AXI - CONF'!$A468,'Upload AXI - CONF'!$B468),"")</f>
        <v/>
      </c>
      <c r="D468" s="871">
        <f>ROUND('eindafrekening_ kost_zorg'!$F$20,2)</f>
        <v>0</v>
      </c>
      <c r="E468" s="872" t="s">
        <v>1038</v>
      </c>
      <c r="F468" s="872" t="s">
        <v>1034</v>
      </c>
      <c r="G468" s="872"/>
      <c r="H468" s="874" t="s">
        <v>957</v>
      </c>
      <c r="I468" s="767"/>
      <c r="P468" s="700"/>
    </row>
    <row r="469" spans="1:16" x14ac:dyDescent="0.3">
      <c r="A469" s="889" t="s">
        <v>969</v>
      </c>
      <c r="B469" s="868" t="s">
        <v>1039</v>
      </c>
      <c r="C469" s="867" t="str">
        <f>IF('Overzicht BTA'!$C$42= TRUE,_xlfn.CONCAT('Upload AXI - CONF'!$A469,'Upload AXI - CONF'!$B469),"")</f>
        <v/>
      </c>
      <c r="D469" s="867">
        <f>ROUND('eindafrekening_ kost_zorg'!$F$28,2)</f>
        <v>0</v>
      </c>
      <c r="E469" s="868" t="s">
        <v>1040</v>
      </c>
      <c r="F469" s="868" t="s">
        <v>1034</v>
      </c>
      <c r="G469" s="868"/>
      <c r="H469" s="870" t="s">
        <v>957</v>
      </c>
      <c r="I469" s="767"/>
      <c r="P469" s="700"/>
    </row>
    <row r="470" spans="1:16" x14ac:dyDescent="0.3">
      <c r="A470" s="973" t="s">
        <v>969</v>
      </c>
      <c r="B470" s="872" t="s">
        <v>1041</v>
      </c>
      <c r="C470" s="871" t="str">
        <f>IF('Overzicht BTA'!$C$42= TRUE,_xlfn.CONCAT('Upload AXI - CONF'!$A470,'Upload AXI - CONF'!$B470),"")</f>
        <v/>
      </c>
      <c r="D470" s="871">
        <f>ROUND('eindafrekening_ kost_zorg'!$F$37,2)</f>
        <v>0</v>
      </c>
      <c r="E470" s="872" t="s">
        <v>1042</v>
      </c>
      <c r="F470" s="872" t="s">
        <v>1034</v>
      </c>
      <c r="G470" s="872"/>
      <c r="H470" s="874" t="s">
        <v>957</v>
      </c>
      <c r="I470" s="767"/>
      <c r="P470" s="700"/>
    </row>
    <row r="471" spans="1:16" x14ac:dyDescent="0.3">
      <c r="A471" s="889" t="s">
        <v>969</v>
      </c>
      <c r="B471" s="868" t="s">
        <v>1043</v>
      </c>
      <c r="C471" s="867" t="str">
        <f>IF('Overzicht BTA'!$C$42= TRUE,_xlfn.CONCAT('Upload AXI - CONF'!$A471,'Upload AXI - CONF'!$B471),"")</f>
        <v/>
      </c>
      <c r="D471" s="867">
        <f>ROUND('eindafrekening_ kost_zorg'!$F$38,2)</f>
        <v>0</v>
      </c>
      <c r="E471" s="868" t="s">
        <v>1044</v>
      </c>
      <c r="F471" s="868" t="s">
        <v>1034</v>
      </c>
      <c r="G471" s="868"/>
      <c r="H471" s="870" t="s">
        <v>957</v>
      </c>
      <c r="I471" s="767"/>
      <c r="P471" s="700"/>
    </row>
    <row r="472" spans="1:16" x14ac:dyDescent="0.3">
      <c r="A472" s="973" t="s">
        <v>969</v>
      </c>
      <c r="B472" s="872" t="s">
        <v>1045</v>
      </c>
      <c r="C472" s="871" t="str">
        <f>IF('Overzicht BTA'!$C$42= TRUE,_xlfn.CONCAT('Upload AXI - CONF'!$A472,'Upload AXI - CONF'!$B472),"")</f>
        <v/>
      </c>
      <c r="D472" s="871">
        <f>'eindafrekening_ kost_zorg'!$F$39</f>
        <v>0</v>
      </c>
      <c r="E472" s="872" t="s">
        <v>1046</v>
      </c>
      <c r="F472" s="872" t="s">
        <v>1034</v>
      </c>
      <c r="G472" s="872"/>
      <c r="H472" s="874" t="s">
        <v>957</v>
      </c>
      <c r="I472" s="767"/>
      <c r="P472" s="700"/>
    </row>
    <row r="473" spans="1:16" x14ac:dyDescent="0.3">
      <c r="A473" s="889" t="s">
        <v>969</v>
      </c>
      <c r="B473" s="868" t="s">
        <v>1047</v>
      </c>
      <c r="C473" s="867" t="str">
        <f>IF('Overzicht BTA'!$C$42= TRUE,_xlfn.CONCAT('Upload AXI - CONF'!$A473,'Upload AXI - CONF'!$B473),"")</f>
        <v/>
      </c>
      <c r="D473" s="867">
        <f>ROUND('eindafrekening_ kost_zorg'!$F$40,2)</f>
        <v>0</v>
      </c>
      <c r="E473" s="868" t="s">
        <v>1048</v>
      </c>
      <c r="F473" s="868" t="s">
        <v>1034</v>
      </c>
      <c r="G473" s="868"/>
      <c r="H473" s="870" t="s">
        <v>957</v>
      </c>
      <c r="I473" s="767"/>
      <c r="P473" s="700"/>
    </row>
    <row r="474" spans="1:16" x14ac:dyDescent="0.3">
      <c r="A474" s="973" t="s">
        <v>969</v>
      </c>
      <c r="B474" s="872" t="s">
        <v>1049</v>
      </c>
      <c r="C474" s="871" t="str">
        <f>IF('Overzicht BTA'!$C$42= TRUE,_xlfn.CONCAT('Upload AXI - CONF'!$A474,'Upload AXI - CONF'!$B474),"")</f>
        <v/>
      </c>
      <c r="D474" s="871">
        <f>ROUND('eindafrekening_ kost_zorg'!$F$45,2)</f>
        <v>0</v>
      </c>
      <c r="E474" s="872" t="s">
        <v>1050</v>
      </c>
      <c r="F474" s="872" t="s">
        <v>1034</v>
      </c>
      <c r="G474" s="872"/>
      <c r="H474" s="874" t="s">
        <v>957</v>
      </c>
      <c r="I474" s="767"/>
      <c r="P474" s="700"/>
    </row>
    <row r="475" spans="1:16" x14ac:dyDescent="0.3">
      <c r="A475" s="889" t="s">
        <v>969</v>
      </c>
      <c r="B475" s="868" t="s">
        <v>1051</v>
      </c>
      <c r="C475" s="867" t="str">
        <f>IF('Overzicht BTA'!$C$42= TRUE,_xlfn.CONCAT('Upload AXI - CONF'!$A475,'Upload AXI - CONF'!$B475),"")</f>
        <v/>
      </c>
      <c r="D475" s="867">
        <f>ROUND('eindafrekening_ kost_zorg'!$F$49,2)</f>
        <v>0</v>
      </c>
      <c r="E475" s="868" t="s">
        <v>1069</v>
      </c>
      <c r="F475" s="868" t="s">
        <v>1034</v>
      </c>
      <c r="G475" s="868"/>
      <c r="H475" s="870" t="s">
        <v>957</v>
      </c>
      <c r="I475" s="767"/>
      <c r="P475" s="700"/>
    </row>
    <row r="476" spans="1:16" x14ac:dyDescent="0.3">
      <c r="A476" s="973" t="s">
        <v>969</v>
      </c>
      <c r="B476" s="872" t="s">
        <v>1005</v>
      </c>
      <c r="C476" s="881" t="str">
        <f>IF('Overzicht BTA'!$C$42= TRUE,_xlfn.CONCAT('Upload AXI - CONF'!$A476,'Upload AXI - CONF'!$B476),"")</f>
        <v/>
      </c>
      <c r="D476" s="881">
        <f>ROUND('uitgebreide raming'!$G$19,2)</f>
        <v>0.21</v>
      </c>
      <c r="E476" s="872" t="s">
        <v>1006</v>
      </c>
      <c r="F476" s="872" t="s">
        <v>1034</v>
      </c>
      <c r="G476" s="872"/>
      <c r="H476" s="874"/>
      <c r="I476" s="595"/>
      <c r="P476" s="700"/>
    </row>
    <row r="477" spans="1:16" x14ac:dyDescent="0.3">
      <c r="A477" s="889" t="s">
        <v>969</v>
      </c>
      <c r="B477" s="868" t="s">
        <v>1053</v>
      </c>
      <c r="C477" s="867" t="str">
        <f>IF('Overzicht BTA'!$C$42= TRUE,_xlfn.CONCAT('Upload AXI - CONF'!$A477,'Upload AXI - CONF'!$B477),"")</f>
        <v/>
      </c>
      <c r="D477" s="867">
        <f>ROUND('eindafrekening_ kost_zorg'!$F$90,2)</f>
        <v>0</v>
      </c>
      <c r="E477" s="868" t="s">
        <v>1054</v>
      </c>
      <c r="F477" s="868" t="s">
        <v>1034</v>
      </c>
      <c r="G477" s="868"/>
      <c r="H477" s="870" t="s">
        <v>957</v>
      </c>
      <c r="I477" s="767"/>
      <c r="P477" s="700"/>
    </row>
    <row r="478" spans="1:16" x14ac:dyDescent="0.3">
      <c r="A478" s="973" t="s">
        <v>969</v>
      </c>
      <c r="B478" s="872" t="s">
        <v>1055</v>
      </c>
      <c r="C478" s="871" t="str">
        <f>IF('Overzicht BTA'!$C$42= TRUE,_xlfn.CONCAT('Upload AXI - CONF'!$A478,'Upload AXI - CONF'!$B478),"")</f>
        <v/>
      </c>
      <c r="D478" s="871">
        <f>ROUND('eindafrekening_ kost_zorg'!$F$92,2)</f>
        <v>0</v>
      </c>
      <c r="E478" s="872" t="s">
        <v>1056</v>
      </c>
      <c r="F478" s="872" t="s">
        <v>1034</v>
      </c>
      <c r="G478" s="872"/>
      <c r="H478" s="874" t="s">
        <v>957</v>
      </c>
      <c r="I478" s="767"/>
      <c r="P478" s="700"/>
    </row>
    <row r="479" spans="1:16" x14ac:dyDescent="0.3">
      <c r="A479" s="889" t="s">
        <v>969</v>
      </c>
      <c r="B479" s="868" t="s">
        <v>1057</v>
      </c>
      <c r="C479" s="867" t="str">
        <f>IF('Overzicht BTA'!$C$42= TRUE,_xlfn.CONCAT('Upload AXI - CONF'!$A479,'Upload AXI - CONF'!$B479),"")</f>
        <v/>
      </c>
      <c r="D479" s="867">
        <f>ROUND('eindafrekening_ kost_zorg'!$F$91,2)</f>
        <v>0</v>
      </c>
      <c r="E479" s="868" t="s">
        <v>1058</v>
      </c>
      <c r="F479" s="868" t="s">
        <v>1034</v>
      </c>
      <c r="G479" s="868"/>
      <c r="H479" s="870" t="s">
        <v>957</v>
      </c>
      <c r="I479" s="767"/>
      <c r="P479" s="700"/>
    </row>
    <row r="480" spans="1:16" x14ac:dyDescent="0.3">
      <c r="A480" s="973"/>
      <c r="B480" s="872"/>
      <c r="C480" s="871" t="str">
        <f>IF('Overzicht BTA'!$C$42= TRUE,_xlfn.CONCAT('Upload AXI - CONF'!$A480,'Upload AXI - CONF'!$B480),"")</f>
        <v/>
      </c>
      <c r="D480" s="871">
        <f>ROUND('uitgebreide raming'!$F$26,2)</f>
        <v>0</v>
      </c>
      <c r="E480" s="872" t="s">
        <v>1070</v>
      </c>
      <c r="F480" s="872" t="s">
        <v>1034</v>
      </c>
      <c r="G480" s="872"/>
      <c r="H480" s="886" t="s">
        <v>957</v>
      </c>
      <c r="I480" s="767"/>
      <c r="P480" s="700"/>
    </row>
    <row r="481" spans="1:16" x14ac:dyDescent="0.3">
      <c r="A481" s="889" t="s">
        <v>969</v>
      </c>
      <c r="B481" s="868" t="s">
        <v>1061</v>
      </c>
      <c r="C481" s="880" t="str">
        <f>IF('Overzicht BTA'!$C$42= TRUE,_xlfn.CONCAT('Upload AXI - CONF'!$A481,'Upload AXI - CONF'!$B481),"")</f>
        <v/>
      </c>
      <c r="D481" s="880">
        <f>ROUND('Overzicht BTA'!$C$53,2)</f>
        <v>0</v>
      </c>
      <c r="E481" s="868" t="s">
        <v>1062</v>
      </c>
      <c r="F481" s="868" t="s">
        <v>1034</v>
      </c>
      <c r="G481" s="868"/>
      <c r="H481" s="870"/>
      <c r="I481" s="768"/>
      <c r="P481" s="700"/>
    </row>
    <row r="482" spans="1:16" x14ac:dyDescent="0.3">
      <c r="A482" s="973" t="s">
        <v>969</v>
      </c>
      <c r="B482" s="872" t="s">
        <v>1063</v>
      </c>
      <c r="C482" s="882" t="str">
        <f>IF('Overzicht BTA'!$C$42= TRUE,_xlfn.CONCAT('Upload AXI - CONF'!$A482,'Upload AXI - CONF'!$B482),"")</f>
        <v/>
      </c>
      <c r="D482" s="882">
        <f>ROUND('Overzicht BTA'!$D$53,2)</f>
        <v>0</v>
      </c>
      <c r="E482" s="872" t="s">
        <v>1064</v>
      </c>
      <c r="F482" s="872" t="s">
        <v>1034</v>
      </c>
      <c r="G482" s="872"/>
      <c r="H482" s="874"/>
      <c r="I482" s="773"/>
      <c r="P482" s="700"/>
    </row>
    <row r="483" spans="1:16" x14ac:dyDescent="0.3">
      <c r="A483" s="889" t="s">
        <v>969</v>
      </c>
      <c r="B483" s="868" t="s">
        <v>1065</v>
      </c>
      <c r="C483" s="878" t="str">
        <f>IF('Overzicht BTA'!$C$42= TRUE,_xlfn.CONCAT('Upload AXI - CONF'!$A483,'Upload AXI - CONF'!$B483),"")</f>
        <v/>
      </c>
      <c r="D483" s="878">
        <f>ROUND('eindafrekening_ kost_zorg'!$F$95,2)</f>
        <v>0</v>
      </c>
      <c r="E483" s="868" t="s">
        <v>1066</v>
      </c>
      <c r="F483" s="868" t="s">
        <v>1034</v>
      </c>
      <c r="G483" s="868"/>
      <c r="H483" s="870"/>
      <c r="I483" s="595"/>
      <c r="P483" s="700"/>
    </row>
    <row r="484" spans="1:16" x14ac:dyDescent="0.3">
      <c r="A484" s="973" t="s">
        <v>970</v>
      </c>
      <c r="B484" s="872" t="s">
        <v>1032</v>
      </c>
      <c r="C484" s="871" t="str">
        <f>IF('Overzicht BTA'!$C$42= TRUE,_xlfn.CONCAT('Upload AXI - CONF'!$A484,'Upload AXI - CONF'!$B484),"")</f>
        <v/>
      </c>
      <c r="D484" s="871">
        <f>ROUND('eindafrekening_ kost_zorg'!$H$41,2)</f>
        <v>0</v>
      </c>
      <c r="E484" s="872" t="s">
        <v>1033</v>
      </c>
      <c r="F484" s="872" t="s">
        <v>1034</v>
      </c>
      <c r="G484" s="872"/>
      <c r="H484" s="874" t="s">
        <v>957</v>
      </c>
      <c r="I484" s="767"/>
      <c r="P484" s="700"/>
    </row>
    <row r="485" spans="1:16" x14ac:dyDescent="0.3">
      <c r="A485" s="889" t="s">
        <v>970</v>
      </c>
      <c r="B485" s="868" t="s">
        <v>1035</v>
      </c>
      <c r="C485" s="867" t="str">
        <f>IF('Overzicht BTA'!$C$42= TRUE,_xlfn.CONCAT('Upload AXI - CONF'!$A485,'Upload AXI - CONF'!$B485),"")</f>
        <v/>
      </c>
      <c r="D485" s="867">
        <f>ROUND('eindafrekening_ kost_zorg'!$H$13,2)</f>
        <v>0</v>
      </c>
      <c r="E485" s="868" t="s">
        <v>1036</v>
      </c>
      <c r="F485" s="868" t="s">
        <v>1034</v>
      </c>
      <c r="G485" s="868"/>
      <c r="H485" s="870" t="s">
        <v>957</v>
      </c>
      <c r="I485" s="767"/>
      <c r="P485" s="700"/>
    </row>
    <row r="486" spans="1:16" x14ac:dyDescent="0.3">
      <c r="A486" s="973" t="s">
        <v>970</v>
      </c>
      <c r="B486" s="872" t="s">
        <v>1037</v>
      </c>
      <c r="C486" s="871" t="str">
        <f>IF('Overzicht BTA'!$C$42= TRUE,_xlfn.CONCAT('Upload AXI - CONF'!$A486,'Upload AXI - CONF'!$B486),"")</f>
        <v/>
      </c>
      <c r="D486" s="871">
        <f>ROUND('eindafrekening_ kost_zorg'!$H$20,2)</f>
        <v>0</v>
      </c>
      <c r="E486" s="872" t="s">
        <v>1038</v>
      </c>
      <c r="F486" s="872" t="s">
        <v>1034</v>
      </c>
      <c r="G486" s="872"/>
      <c r="H486" s="874" t="s">
        <v>957</v>
      </c>
      <c r="I486" s="767"/>
      <c r="P486" s="700"/>
    </row>
    <row r="487" spans="1:16" x14ac:dyDescent="0.3">
      <c r="A487" s="889" t="s">
        <v>970</v>
      </c>
      <c r="B487" s="868" t="s">
        <v>1039</v>
      </c>
      <c r="C487" s="867" t="str">
        <f>IF('Overzicht BTA'!$C$42= TRUE,_xlfn.CONCAT('Upload AXI - CONF'!$A487,'Upload AXI - CONF'!$B487),"")</f>
        <v/>
      </c>
      <c r="D487" s="867">
        <f>ROUND('eindafrekening_ kost_zorg'!$H$28,2)</f>
        <v>0</v>
      </c>
      <c r="E487" s="868" t="s">
        <v>1040</v>
      </c>
      <c r="F487" s="868" t="s">
        <v>1034</v>
      </c>
      <c r="G487" s="868"/>
      <c r="H487" s="870" t="s">
        <v>957</v>
      </c>
      <c r="I487" s="767"/>
      <c r="P487" s="700"/>
    </row>
    <row r="488" spans="1:16" x14ac:dyDescent="0.3">
      <c r="A488" s="973" t="s">
        <v>970</v>
      </c>
      <c r="B488" s="872" t="s">
        <v>1041</v>
      </c>
      <c r="C488" s="871" t="str">
        <f>IF('Overzicht BTA'!$C$42= TRUE,_xlfn.CONCAT('Upload AXI - CONF'!$A488,'Upload AXI - CONF'!$B488),"")</f>
        <v/>
      </c>
      <c r="D488" s="871">
        <f>'eindafrekening_ kost_zorg'!$H$37</f>
        <v>0</v>
      </c>
      <c r="E488" s="872" t="s">
        <v>1042</v>
      </c>
      <c r="F488" s="872" t="s">
        <v>1034</v>
      </c>
      <c r="G488" s="872"/>
      <c r="H488" s="874" t="s">
        <v>957</v>
      </c>
      <c r="I488" s="767"/>
      <c r="P488" s="700"/>
    </row>
    <row r="489" spans="1:16" x14ac:dyDescent="0.3">
      <c r="A489" s="889" t="s">
        <v>970</v>
      </c>
      <c r="B489" s="868" t="s">
        <v>1043</v>
      </c>
      <c r="C489" s="867" t="str">
        <f>IF('Overzicht BTA'!$C$42= TRUE,_xlfn.CONCAT('Upload AXI - CONF'!$A489,'Upload AXI - CONF'!$B489),"")</f>
        <v/>
      </c>
      <c r="D489" s="867">
        <f>ROUND('eindafrekening_ kost_zorg'!$H$38,2)</f>
        <v>0</v>
      </c>
      <c r="E489" s="868" t="s">
        <v>1044</v>
      </c>
      <c r="F489" s="868" t="s">
        <v>1034</v>
      </c>
      <c r="G489" s="868"/>
      <c r="H489" s="870" t="s">
        <v>957</v>
      </c>
      <c r="I489" s="767"/>
      <c r="P489" s="700"/>
    </row>
    <row r="490" spans="1:16" x14ac:dyDescent="0.3">
      <c r="A490" s="973" t="s">
        <v>970</v>
      </c>
      <c r="B490" s="872" t="s">
        <v>1045</v>
      </c>
      <c r="C490" s="871" t="str">
        <f>IF('Overzicht BTA'!$C$42= TRUE,_xlfn.CONCAT('Upload AXI - CONF'!$A490,'Upload AXI - CONF'!$B490),"")</f>
        <v/>
      </c>
      <c r="D490" s="871">
        <f>'eindafrekening_ kost_zorg'!$H$39</f>
        <v>0</v>
      </c>
      <c r="E490" s="872" t="s">
        <v>1046</v>
      </c>
      <c r="F490" s="872" t="s">
        <v>1034</v>
      </c>
      <c r="G490" s="872"/>
      <c r="H490" s="874" t="s">
        <v>957</v>
      </c>
      <c r="I490" s="767"/>
      <c r="P490" s="700"/>
    </row>
    <row r="491" spans="1:16" x14ac:dyDescent="0.3">
      <c r="A491" s="889" t="s">
        <v>970</v>
      </c>
      <c r="B491" s="868" t="s">
        <v>1047</v>
      </c>
      <c r="C491" s="867" t="str">
        <f>IF('Overzicht BTA'!$C$42= TRUE,_xlfn.CONCAT('Upload AXI - CONF'!$A491,'Upload AXI - CONF'!$B491),"")</f>
        <v/>
      </c>
      <c r="D491" s="867">
        <f>ROUND('eindafrekening_ kost_zorg'!$H$40,2)</f>
        <v>0</v>
      </c>
      <c r="E491" s="868" t="s">
        <v>1048</v>
      </c>
      <c r="F491" s="868" t="s">
        <v>1034</v>
      </c>
      <c r="G491" s="868"/>
      <c r="H491" s="870" t="s">
        <v>957</v>
      </c>
      <c r="I491" s="767"/>
      <c r="P491" s="700"/>
    </row>
    <row r="492" spans="1:16" x14ac:dyDescent="0.3">
      <c r="A492" s="973" t="s">
        <v>970</v>
      </c>
      <c r="B492" s="872" t="s">
        <v>1049</v>
      </c>
      <c r="C492" s="871" t="str">
        <f>IF('Overzicht BTA'!$C$42= TRUE,_xlfn.CONCAT('Upload AXI - CONF'!$A492,'Upload AXI - CONF'!$B492),"")</f>
        <v/>
      </c>
      <c r="D492" s="871">
        <f>ROUND('eindafrekening_ kost_zorg'!$H$45,2)</f>
        <v>0</v>
      </c>
      <c r="E492" s="872" t="s">
        <v>1050</v>
      </c>
      <c r="F492" s="872" t="s">
        <v>1034</v>
      </c>
      <c r="G492" s="872"/>
      <c r="H492" s="874" t="s">
        <v>957</v>
      </c>
      <c r="I492" s="767"/>
      <c r="P492" s="700"/>
    </row>
    <row r="493" spans="1:16" x14ac:dyDescent="0.3">
      <c r="A493" s="889" t="s">
        <v>970</v>
      </c>
      <c r="B493" s="868" t="s">
        <v>1051</v>
      </c>
      <c r="C493" s="867" t="str">
        <f>IF('Overzicht BTA'!$C$42= TRUE,_xlfn.CONCAT('Upload AXI - CONF'!$A493,'Upload AXI - CONF'!$B493),"")</f>
        <v/>
      </c>
      <c r="D493" s="867">
        <f>ROUND('eindafrekening_ kost_zorg'!$H$49,2)</f>
        <v>0</v>
      </c>
      <c r="E493" s="868" t="s">
        <v>1071</v>
      </c>
      <c r="F493" s="868" t="s">
        <v>1034</v>
      </c>
      <c r="G493" s="868"/>
      <c r="H493" s="870" t="s">
        <v>957</v>
      </c>
      <c r="I493" s="767"/>
      <c r="P493" s="700"/>
    </row>
    <row r="494" spans="1:16" x14ac:dyDescent="0.3">
      <c r="A494" s="973" t="s">
        <v>970</v>
      </c>
      <c r="B494" s="872" t="s">
        <v>1005</v>
      </c>
      <c r="C494" s="881" t="str">
        <f>IF('Overzicht BTA'!$C$42= TRUE,_xlfn.CONCAT('Upload AXI - CONF'!$A494,'Upload AXI - CONF'!$B494),"")</f>
        <v/>
      </c>
      <c r="D494" s="881">
        <f>ROUND('uitgebreide raming'!$I$19,2)</f>
        <v>0.21</v>
      </c>
      <c r="E494" s="872" t="s">
        <v>1006</v>
      </c>
      <c r="F494" s="872" t="s">
        <v>1034</v>
      </c>
      <c r="G494" s="872"/>
      <c r="H494" s="874"/>
      <c r="I494" s="595"/>
      <c r="P494" s="700"/>
    </row>
    <row r="495" spans="1:16" x14ac:dyDescent="0.3">
      <c r="A495" s="889" t="s">
        <v>970</v>
      </c>
      <c r="B495" s="868" t="s">
        <v>1053</v>
      </c>
      <c r="C495" s="867" t="str">
        <f>IF('Overzicht BTA'!$C$42= TRUE,_xlfn.CONCAT('Upload AXI - CONF'!$A495,'Upload AXI - CONF'!$B495),"")</f>
        <v/>
      </c>
      <c r="D495" s="867">
        <f>ROUND('eindafrekening_ kost_zorg'!$H$90,2)</f>
        <v>0</v>
      </c>
      <c r="E495" s="868" t="s">
        <v>1054</v>
      </c>
      <c r="F495" s="868" t="s">
        <v>1034</v>
      </c>
      <c r="G495" s="868"/>
      <c r="H495" s="870" t="s">
        <v>957</v>
      </c>
      <c r="I495" s="767"/>
      <c r="P495" s="700"/>
    </row>
    <row r="496" spans="1:16" x14ac:dyDescent="0.3">
      <c r="A496" s="973" t="s">
        <v>970</v>
      </c>
      <c r="B496" s="872" t="s">
        <v>1055</v>
      </c>
      <c r="C496" s="871" t="str">
        <f>IF('Overzicht BTA'!$C$42= TRUE,_xlfn.CONCAT('Upload AXI - CONF'!$A496,'Upload AXI - CONF'!$B496),"")</f>
        <v/>
      </c>
      <c r="D496" s="871">
        <f>ROUND('eindafrekening_ kost_zorg'!$H$92,2)</f>
        <v>0</v>
      </c>
      <c r="E496" s="872" t="s">
        <v>1056</v>
      </c>
      <c r="F496" s="872" t="s">
        <v>1034</v>
      </c>
      <c r="G496" s="872"/>
      <c r="H496" s="874" t="s">
        <v>957</v>
      </c>
      <c r="I496" s="767"/>
      <c r="P496" s="700"/>
    </row>
    <row r="497" spans="1:16" x14ac:dyDescent="0.3">
      <c r="A497" s="889" t="s">
        <v>970</v>
      </c>
      <c r="B497" s="868" t="s">
        <v>1057</v>
      </c>
      <c r="C497" s="867" t="str">
        <f>IF('Overzicht BTA'!$C$42= TRUE,_xlfn.CONCAT('Upload AXI - CONF'!$A497,'Upload AXI - CONF'!$B497),"")</f>
        <v/>
      </c>
      <c r="D497" s="867">
        <f>ROUND('eindafrekening_ kost_zorg'!$H$91,2)</f>
        <v>0</v>
      </c>
      <c r="E497" s="868" t="s">
        <v>1058</v>
      </c>
      <c r="F497" s="868" t="s">
        <v>1034</v>
      </c>
      <c r="G497" s="868"/>
      <c r="H497" s="870" t="s">
        <v>957</v>
      </c>
      <c r="I497" s="767"/>
      <c r="P497" s="700"/>
    </row>
    <row r="498" spans="1:16" x14ac:dyDescent="0.3">
      <c r="A498" s="973"/>
      <c r="B498" s="872"/>
      <c r="C498" s="871" t="str">
        <f>IF('Overzicht BTA'!$C$42= TRUE,_xlfn.CONCAT('Upload AXI - CONF'!$A498,'Upload AXI - CONF'!$B498),"")</f>
        <v/>
      </c>
      <c r="D498" s="871">
        <f>ROUND('uitgebreide raming'!$H$26,2)</f>
        <v>0</v>
      </c>
      <c r="E498" s="872" t="s">
        <v>1072</v>
      </c>
      <c r="F498" s="872" t="s">
        <v>1034</v>
      </c>
      <c r="G498" s="872"/>
      <c r="H498" s="886" t="s">
        <v>957</v>
      </c>
      <c r="I498" s="767"/>
      <c r="P498" s="700"/>
    </row>
    <row r="499" spans="1:16" x14ac:dyDescent="0.3">
      <c r="A499" s="889" t="s">
        <v>970</v>
      </c>
      <c r="B499" s="868" t="s">
        <v>1061</v>
      </c>
      <c r="C499" s="880" t="str">
        <f>IF('Overzicht BTA'!$C$42= TRUE,_xlfn.CONCAT('Upload AXI - CONF'!$A499,'Upload AXI - CONF'!$B499),"")</f>
        <v/>
      </c>
      <c r="D499" s="880">
        <f>ROUND('Overzicht BTA'!$C$54,2)</f>
        <v>0</v>
      </c>
      <c r="E499" s="868" t="s">
        <v>1062</v>
      </c>
      <c r="F499" s="868" t="s">
        <v>1034</v>
      </c>
      <c r="G499" s="868"/>
      <c r="H499" s="870"/>
      <c r="I499" s="768"/>
      <c r="P499" s="700"/>
    </row>
    <row r="500" spans="1:16" x14ac:dyDescent="0.3">
      <c r="A500" s="973" t="s">
        <v>970</v>
      </c>
      <c r="B500" s="872" t="s">
        <v>1063</v>
      </c>
      <c r="C500" s="879" t="str">
        <f>IF('Overzicht BTA'!$C$42= TRUE,_xlfn.CONCAT('Upload AXI - CONF'!$A500,'Upload AXI - CONF'!$B500),"")</f>
        <v/>
      </c>
      <c r="D500" s="879">
        <f>ROUND('Overzicht BTA'!$D$54,2)</f>
        <v>0</v>
      </c>
      <c r="E500" s="872" t="s">
        <v>1064</v>
      </c>
      <c r="F500" s="872" t="s">
        <v>1034</v>
      </c>
      <c r="G500" s="872"/>
      <c r="H500" s="874"/>
      <c r="I500" s="768"/>
      <c r="P500" s="700"/>
    </row>
    <row r="501" spans="1:16" x14ac:dyDescent="0.3">
      <c r="A501" s="889" t="s">
        <v>970</v>
      </c>
      <c r="B501" s="868" t="s">
        <v>1065</v>
      </c>
      <c r="C501" s="878" t="str">
        <f>IF('Overzicht BTA'!$C$42= TRUE,_xlfn.CONCAT('Upload AXI - CONF'!$A501,'Upload AXI - CONF'!$B501),"")</f>
        <v/>
      </c>
      <c r="D501" s="878">
        <f>ROUND('eindafrekening_ kost_zorg'!$H$95,2)</f>
        <v>0</v>
      </c>
      <c r="E501" s="868" t="s">
        <v>1066</v>
      </c>
      <c r="F501" s="868" t="s">
        <v>1034</v>
      </c>
      <c r="G501" s="868"/>
      <c r="H501" s="870"/>
      <c r="I501" s="595"/>
      <c r="P501" s="700"/>
    </row>
    <row r="502" spans="1:16" x14ac:dyDescent="0.3">
      <c r="A502" s="973" t="s">
        <v>971</v>
      </c>
      <c r="B502" s="872" t="s">
        <v>1032</v>
      </c>
      <c r="C502" s="871" t="str">
        <f>IF('Overzicht BTA'!$C$42= TRUE,_xlfn.CONCAT('Upload AXI - CONF'!$A502,'Upload AXI - CONF'!$B502),"")</f>
        <v/>
      </c>
      <c r="D502" s="871">
        <f>ROUND('eindafrekening_ kost_zorg'!$J$41,2)</f>
        <v>0</v>
      </c>
      <c r="E502" s="872" t="s">
        <v>1033</v>
      </c>
      <c r="F502" s="872" t="s">
        <v>1034</v>
      </c>
      <c r="G502" s="872"/>
      <c r="H502" s="874" t="s">
        <v>957</v>
      </c>
      <c r="I502" s="767"/>
      <c r="P502" s="700"/>
    </row>
    <row r="503" spans="1:16" x14ac:dyDescent="0.3">
      <c r="A503" s="889" t="s">
        <v>971</v>
      </c>
      <c r="B503" s="868" t="s">
        <v>1035</v>
      </c>
      <c r="C503" s="867" t="str">
        <f>IF('Overzicht BTA'!$C$42= TRUE,_xlfn.CONCAT('Upload AXI - CONF'!$A503,'Upload AXI - CONF'!$B503),"")</f>
        <v/>
      </c>
      <c r="D503" s="867">
        <f>ROUND('eindafrekening_ kost_zorg'!$J$13,2)</f>
        <v>0</v>
      </c>
      <c r="E503" s="868" t="s">
        <v>1036</v>
      </c>
      <c r="F503" s="868" t="s">
        <v>1034</v>
      </c>
      <c r="G503" s="868"/>
      <c r="H503" s="870" t="s">
        <v>957</v>
      </c>
      <c r="I503" s="767"/>
      <c r="P503" s="700"/>
    </row>
    <row r="504" spans="1:16" x14ac:dyDescent="0.3">
      <c r="A504" s="973" t="s">
        <v>971</v>
      </c>
      <c r="B504" s="872" t="s">
        <v>1037</v>
      </c>
      <c r="C504" s="871" t="str">
        <f>IF('Overzicht BTA'!$C$42= TRUE,_xlfn.CONCAT('Upload AXI - CONF'!$A504,'Upload AXI - CONF'!$B504),"")</f>
        <v/>
      </c>
      <c r="D504" s="871">
        <f>ROUND('eindafrekening_ kost_zorg'!$J$20,2)</f>
        <v>0</v>
      </c>
      <c r="E504" s="872" t="s">
        <v>1038</v>
      </c>
      <c r="F504" s="872" t="s">
        <v>1034</v>
      </c>
      <c r="G504" s="872"/>
      <c r="H504" s="874" t="s">
        <v>957</v>
      </c>
      <c r="I504" s="767"/>
      <c r="P504" s="700"/>
    </row>
    <row r="505" spans="1:16" x14ac:dyDescent="0.3">
      <c r="A505" s="889" t="s">
        <v>971</v>
      </c>
      <c r="B505" s="868" t="s">
        <v>1039</v>
      </c>
      <c r="C505" s="867" t="str">
        <f>IF('Overzicht BTA'!$C$42= TRUE,_xlfn.CONCAT('Upload AXI - CONF'!$A505,'Upload AXI - CONF'!$B505),"")</f>
        <v/>
      </c>
      <c r="D505" s="867">
        <f>ROUND('eindafrekening_ kost_zorg'!$J$28,2)</f>
        <v>0</v>
      </c>
      <c r="E505" s="868" t="s">
        <v>1040</v>
      </c>
      <c r="F505" s="868" t="s">
        <v>1034</v>
      </c>
      <c r="G505" s="868"/>
      <c r="H505" s="870" t="s">
        <v>957</v>
      </c>
      <c r="I505" s="767"/>
      <c r="P505" s="700"/>
    </row>
    <row r="506" spans="1:16" x14ac:dyDescent="0.3">
      <c r="A506" s="973" t="s">
        <v>971</v>
      </c>
      <c r="B506" s="872" t="s">
        <v>1041</v>
      </c>
      <c r="C506" s="871" t="str">
        <f>IF('Overzicht BTA'!$C$42= TRUE,_xlfn.CONCAT('Upload AXI - CONF'!$A506,'Upload AXI - CONF'!$B506),"")</f>
        <v/>
      </c>
      <c r="D506" s="871">
        <f>'eindafrekening_ kost_zorg'!$J$37</f>
        <v>0</v>
      </c>
      <c r="E506" s="872" t="s">
        <v>1042</v>
      </c>
      <c r="F506" s="872" t="s">
        <v>1034</v>
      </c>
      <c r="G506" s="872"/>
      <c r="H506" s="874" t="s">
        <v>957</v>
      </c>
      <c r="I506" s="767"/>
      <c r="P506" s="700"/>
    </row>
    <row r="507" spans="1:16" x14ac:dyDescent="0.3">
      <c r="A507" s="889" t="s">
        <v>971</v>
      </c>
      <c r="B507" s="868" t="s">
        <v>1043</v>
      </c>
      <c r="C507" s="867" t="str">
        <f>IF('Overzicht BTA'!$C$42= TRUE,_xlfn.CONCAT('Upload AXI - CONF'!$A507,'Upload AXI - CONF'!$B507),"")</f>
        <v/>
      </c>
      <c r="D507" s="867">
        <f>ROUND('eindafrekening_ kost_zorg'!$J$38,2)</f>
        <v>0</v>
      </c>
      <c r="E507" s="868" t="s">
        <v>1044</v>
      </c>
      <c r="F507" s="868" t="s">
        <v>1034</v>
      </c>
      <c r="G507" s="868"/>
      <c r="H507" s="870" t="s">
        <v>957</v>
      </c>
      <c r="I507" s="767"/>
      <c r="P507" s="700"/>
    </row>
    <row r="508" spans="1:16" x14ac:dyDescent="0.3">
      <c r="A508" s="973" t="s">
        <v>971</v>
      </c>
      <c r="B508" s="872" t="s">
        <v>1045</v>
      </c>
      <c r="C508" s="871" t="str">
        <f>IF('Overzicht BTA'!$C$42= TRUE,_xlfn.CONCAT('Upload AXI - CONF'!$A508,'Upload AXI - CONF'!$B508),"")</f>
        <v/>
      </c>
      <c r="D508" s="871">
        <f>'eindafrekening_ kost_zorg'!$J$39</f>
        <v>0</v>
      </c>
      <c r="E508" s="872" t="s">
        <v>1046</v>
      </c>
      <c r="F508" s="872" t="s">
        <v>1034</v>
      </c>
      <c r="G508" s="872"/>
      <c r="H508" s="874" t="s">
        <v>957</v>
      </c>
      <c r="I508" s="767"/>
      <c r="P508" s="700"/>
    </row>
    <row r="509" spans="1:16" x14ac:dyDescent="0.3">
      <c r="A509" s="889" t="s">
        <v>971</v>
      </c>
      <c r="B509" s="868" t="s">
        <v>1047</v>
      </c>
      <c r="C509" s="867" t="str">
        <f>IF('Overzicht BTA'!$C$42= TRUE,_xlfn.CONCAT('Upload AXI - CONF'!$A509,'Upload AXI - CONF'!$B509),"")</f>
        <v/>
      </c>
      <c r="D509" s="867">
        <f>ROUND('eindafrekening_ kost_zorg'!$J$40,2)</f>
        <v>0</v>
      </c>
      <c r="E509" s="868" t="s">
        <v>1048</v>
      </c>
      <c r="F509" s="868" t="s">
        <v>1034</v>
      </c>
      <c r="G509" s="868"/>
      <c r="H509" s="870" t="s">
        <v>957</v>
      </c>
      <c r="I509" s="767"/>
      <c r="P509" s="700"/>
    </row>
    <row r="510" spans="1:16" x14ac:dyDescent="0.3">
      <c r="A510" s="973" t="s">
        <v>971</v>
      </c>
      <c r="B510" s="872" t="s">
        <v>1049</v>
      </c>
      <c r="C510" s="871" t="str">
        <f>IF('Overzicht BTA'!$C$42= TRUE,_xlfn.CONCAT('Upload AXI - CONF'!$A510,'Upload AXI - CONF'!$B510),"")</f>
        <v/>
      </c>
      <c r="D510" s="871">
        <f>ROUND('eindafrekening_ kost_zorg'!$J$45,2)</f>
        <v>0</v>
      </c>
      <c r="E510" s="872" t="s">
        <v>1050</v>
      </c>
      <c r="F510" s="872" t="s">
        <v>1034</v>
      </c>
      <c r="G510" s="872"/>
      <c r="H510" s="874" t="s">
        <v>957</v>
      </c>
      <c r="I510" s="767"/>
      <c r="P510" s="700"/>
    </row>
    <row r="511" spans="1:16" x14ac:dyDescent="0.3">
      <c r="A511" s="889" t="s">
        <v>971</v>
      </c>
      <c r="B511" s="868" t="s">
        <v>1051</v>
      </c>
      <c r="C511" s="867" t="str">
        <f>IF('Overzicht BTA'!$C$42= TRUE,_xlfn.CONCAT('Upload AXI - CONF'!$A511,'Upload AXI - CONF'!$B511),"")</f>
        <v/>
      </c>
      <c r="D511" s="867">
        <f>ROUND('eindafrekening_ kost_zorg'!$J$49,2)</f>
        <v>0</v>
      </c>
      <c r="E511" s="868" t="s">
        <v>1073</v>
      </c>
      <c r="F511" s="868" t="s">
        <v>1034</v>
      </c>
      <c r="G511" s="868"/>
      <c r="H511" s="870" t="s">
        <v>957</v>
      </c>
      <c r="I511" s="767"/>
      <c r="P511" s="700"/>
    </row>
    <row r="512" spans="1:16" x14ac:dyDescent="0.3">
      <c r="A512" s="973" t="s">
        <v>971</v>
      </c>
      <c r="B512" s="872" t="s">
        <v>1005</v>
      </c>
      <c r="C512" s="881" t="str">
        <f>IF('Overzicht BTA'!$C$42= TRUE,_xlfn.CONCAT('Upload AXI - CONF'!$A512,'Upload AXI - CONF'!$B512),"")</f>
        <v/>
      </c>
      <c r="D512" s="881">
        <f>ROUND('uitgebreide raming'!$C$46,2)</f>
        <v>0.21</v>
      </c>
      <c r="E512" s="872" t="s">
        <v>1006</v>
      </c>
      <c r="F512" s="872" t="s">
        <v>1034</v>
      </c>
      <c r="G512" s="872"/>
      <c r="H512" s="874"/>
      <c r="I512" s="595"/>
      <c r="P512" s="700"/>
    </row>
    <row r="513" spans="1:16" x14ac:dyDescent="0.3">
      <c r="A513" s="889" t="s">
        <v>971</v>
      </c>
      <c r="B513" s="868" t="s">
        <v>1053</v>
      </c>
      <c r="C513" s="867" t="str">
        <f>IF('Overzicht BTA'!$C$42= TRUE,_xlfn.CONCAT('Upload AXI - CONF'!$A513,'Upload AXI - CONF'!$B513),"")</f>
        <v/>
      </c>
      <c r="D513" s="867">
        <f>ROUND('eindafrekening_ kost_zorg'!$J$90,2)</f>
        <v>0</v>
      </c>
      <c r="E513" s="868" t="s">
        <v>1054</v>
      </c>
      <c r="F513" s="868" t="s">
        <v>1034</v>
      </c>
      <c r="G513" s="868"/>
      <c r="H513" s="870" t="s">
        <v>957</v>
      </c>
      <c r="I513" s="767"/>
      <c r="P513" s="700"/>
    </row>
    <row r="514" spans="1:16" x14ac:dyDescent="0.3">
      <c r="A514" s="973" t="s">
        <v>971</v>
      </c>
      <c r="B514" s="872" t="s">
        <v>1055</v>
      </c>
      <c r="C514" s="871" t="str">
        <f>IF('Overzicht BTA'!$C$42= TRUE,_xlfn.CONCAT('Upload AXI - CONF'!$A514,'Upload AXI - CONF'!$B514),"")</f>
        <v/>
      </c>
      <c r="D514" s="871">
        <f>ROUND('eindafrekening_ kost_zorg'!$J$92,2)</f>
        <v>0</v>
      </c>
      <c r="E514" s="872" t="s">
        <v>1056</v>
      </c>
      <c r="F514" s="872" t="s">
        <v>1034</v>
      </c>
      <c r="G514" s="872"/>
      <c r="H514" s="874" t="s">
        <v>957</v>
      </c>
      <c r="I514" s="767"/>
      <c r="P514" s="700"/>
    </row>
    <row r="515" spans="1:16" x14ac:dyDescent="0.3">
      <c r="A515" s="889" t="s">
        <v>971</v>
      </c>
      <c r="B515" s="868" t="s">
        <v>1057</v>
      </c>
      <c r="C515" s="867" t="str">
        <f>IF('Overzicht BTA'!$C$42= TRUE,_xlfn.CONCAT('Upload AXI - CONF'!$A515,'Upload AXI - CONF'!$B515),"")</f>
        <v/>
      </c>
      <c r="D515" s="867">
        <f>ROUND('eindafrekening_ kost_zorg'!$J$91,2)</f>
        <v>0</v>
      </c>
      <c r="E515" s="868" t="s">
        <v>1058</v>
      </c>
      <c r="F515" s="868" t="s">
        <v>1034</v>
      </c>
      <c r="G515" s="868"/>
      <c r="H515" s="870" t="s">
        <v>957</v>
      </c>
      <c r="I515" s="767"/>
      <c r="P515" s="700"/>
    </row>
    <row r="516" spans="1:16" x14ac:dyDescent="0.3">
      <c r="A516" s="973"/>
      <c r="B516" s="872"/>
      <c r="C516" s="871" t="str">
        <f>IF('Overzicht BTA'!$C$42= TRUE,_xlfn.CONCAT('Upload AXI - CONF'!$A516,'Upload AXI - CONF'!$B516),"")</f>
        <v/>
      </c>
      <c r="D516" s="871">
        <f>ROUND('uitgebreide raming'!$B$53,2)</f>
        <v>0</v>
      </c>
      <c r="E516" s="872" t="s">
        <v>1074</v>
      </c>
      <c r="F516" s="872" t="s">
        <v>1034</v>
      </c>
      <c r="G516" s="872"/>
      <c r="H516" s="886" t="s">
        <v>957</v>
      </c>
      <c r="I516" s="767"/>
      <c r="P516" s="700"/>
    </row>
    <row r="517" spans="1:16" x14ac:dyDescent="0.3">
      <c r="A517" s="889" t="s">
        <v>971</v>
      </c>
      <c r="B517" s="868" t="s">
        <v>1061</v>
      </c>
      <c r="C517" s="880" t="str">
        <f>IF('Overzicht BTA'!$C$42= TRUE,_xlfn.CONCAT('Upload AXI - CONF'!$A517,'Upload AXI - CONF'!$B517),"")</f>
        <v/>
      </c>
      <c r="D517" s="880">
        <f>ROUND('Overzicht BTA'!$I$51,2)</f>
        <v>0</v>
      </c>
      <c r="E517" s="868" t="s">
        <v>1062</v>
      </c>
      <c r="F517" s="868" t="s">
        <v>1034</v>
      </c>
      <c r="G517" s="868"/>
      <c r="H517" s="870"/>
      <c r="I517" s="768"/>
      <c r="P517" s="700"/>
    </row>
    <row r="518" spans="1:16" x14ac:dyDescent="0.3">
      <c r="A518" s="973" t="s">
        <v>971</v>
      </c>
      <c r="B518" s="872" t="s">
        <v>1063</v>
      </c>
      <c r="C518" s="879" t="str">
        <f>IF('Overzicht BTA'!$C$42= TRUE,_xlfn.CONCAT('Upload AXI - CONF'!$A518,'Upload AXI - CONF'!$B518),"")</f>
        <v/>
      </c>
      <c r="D518" s="879">
        <f>ROUND('Overzicht BTA'!$J$51,2)</f>
        <v>0</v>
      </c>
      <c r="E518" s="872" t="s">
        <v>1064</v>
      </c>
      <c r="F518" s="872" t="s">
        <v>1034</v>
      </c>
      <c r="G518" s="872"/>
      <c r="H518" s="874"/>
      <c r="I518" s="768"/>
      <c r="P518" s="700"/>
    </row>
    <row r="519" spans="1:16" x14ac:dyDescent="0.3">
      <c r="A519" s="889" t="s">
        <v>971</v>
      </c>
      <c r="B519" s="868" t="s">
        <v>1065</v>
      </c>
      <c r="C519" s="878" t="str">
        <f>IF('Overzicht BTA'!$C$42= TRUE,_xlfn.CONCAT('Upload AXI - CONF'!$A519,'Upload AXI - CONF'!$B519),"")</f>
        <v/>
      </c>
      <c r="D519" s="878">
        <f>ROUND('eindafrekening_ kost_zorg'!$J$95,2)</f>
        <v>0</v>
      </c>
      <c r="E519" s="868" t="s">
        <v>1066</v>
      </c>
      <c r="F519" s="868" t="s">
        <v>1034</v>
      </c>
      <c r="G519" s="868"/>
      <c r="H519" s="870"/>
      <c r="I519" s="595"/>
      <c r="P519" s="700"/>
    </row>
    <row r="520" spans="1:16" x14ac:dyDescent="0.3">
      <c r="A520" s="973" t="s">
        <v>972</v>
      </c>
      <c r="B520" s="872" t="s">
        <v>1032</v>
      </c>
      <c r="C520" s="871" t="str">
        <f>IF('Overzicht BTA'!$C$42= TRUE,_xlfn.CONCAT('Upload AXI - CONF'!$A520,'Upload AXI - CONF'!$B520),"")</f>
        <v/>
      </c>
      <c r="D520" s="871">
        <f>ROUND('eindafrekening_ kost_zorg'!$L$41,2)</f>
        <v>0</v>
      </c>
      <c r="E520" s="872" t="s">
        <v>1033</v>
      </c>
      <c r="F520" s="872" t="s">
        <v>1034</v>
      </c>
      <c r="G520" s="872"/>
      <c r="H520" s="874" t="s">
        <v>957</v>
      </c>
      <c r="I520" s="767"/>
      <c r="P520" s="700"/>
    </row>
    <row r="521" spans="1:16" x14ac:dyDescent="0.3">
      <c r="A521" s="889" t="s">
        <v>972</v>
      </c>
      <c r="B521" s="868" t="s">
        <v>1035</v>
      </c>
      <c r="C521" s="867" t="str">
        <f>IF('Overzicht BTA'!$C$42= TRUE,_xlfn.CONCAT('Upload AXI - CONF'!$A521,'Upload AXI - CONF'!$B521),"")</f>
        <v/>
      </c>
      <c r="D521" s="867">
        <f>ROUND('eindafrekening_ kost_zorg'!$L$13,2)</f>
        <v>0</v>
      </c>
      <c r="E521" s="868" t="s">
        <v>1036</v>
      </c>
      <c r="F521" s="868" t="s">
        <v>1034</v>
      </c>
      <c r="G521" s="868"/>
      <c r="H521" s="870" t="s">
        <v>957</v>
      </c>
      <c r="I521" s="767"/>
      <c r="P521" s="700"/>
    </row>
    <row r="522" spans="1:16" x14ac:dyDescent="0.3">
      <c r="A522" s="973" t="s">
        <v>972</v>
      </c>
      <c r="B522" s="872" t="s">
        <v>1037</v>
      </c>
      <c r="C522" s="871" t="str">
        <f>IF('Overzicht BTA'!$C$42= TRUE,_xlfn.CONCAT('Upload AXI - CONF'!$A522,'Upload AXI - CONF'!$B522),"")</f>
        <v/>
      </c>
      <c r="D522" s="871">
        <f>ROUND('eindafrekening_ kost_zorg'!$L$20,2)</f>
        <v>0</v>
      </c>
      <c r="E522" s="872" t="s">
        <v>1038</v>
      </c>
      <c r="F522" s="872" t="s">
        <v>1034</v>
      </c>
      <c r="G522" s="872"/>
      <c r="H522" s="874" t="s">
        <v>957</v>
      </c>
      <c r="I522" s="767"/>
      <c r="P522" s="700"/>
    </row>
    <row r="523" spans="1:16" x14ac:dyDescent="0.3">
      <c r="A523" s="889" t="s">
        <v>972</v>
      </c>
      <c r="B523" s="868" t="s">
        <v>1039</v>
      </c>
      <c r="C523" s="867" t="str">
        <f>IF('Overzicht BTA'!$C$42= TRUE,_xlfn.CONCAT('Upload AXI - CONF'!$A523,'Upload AXI - CONF'!$B523),"")</f>
        <v/>
      </c>
      <c r="D523" s="867">
        <f>ROUND('eindafrekening_ kost_zorg'!$L$28,2)</f>
        <v>0</v>
      </c>
      <c r="E523" s="868" t="s">
        <v>1040</v>
      </c>
      <c r="F523" s="868" t="s">
        <v>1034</v>
      </c>
      <c r="G523" s="868"/>
      <c r="H523" s="870" t="s">
        <v>957</v>
      </c>
      <c r="I523" s="767"/>
      <c r="P523" s="700"/>
    </row>
    <row r="524" spans="1:16" x14ac:dyDescent="0.3">
      <c r="A524" s="973" t="s">
        <v>972</v>
      </c>
      <c r="B524" s="872" t="s">
        <v>1041</v>
      </c>
      <c r="C524" s="871" t="str">
        <f>IF('Overzicht BTA'!$C$42= TRUE,_xlfn.CONCAT('Upload AXI - CONF'!$A524,'Upload AXI - CONF'!$B524),"")</f>
        <v/>
      </c>
      <c r="D524" s="871">
        <f>ROUND('eindafrekening_ kost_zorg'!$L$37,2)</f>
        <v>0</v>
      </c>
      <c r="E524" s="872" t="s">
        <v>1042</v>
      </c>
      <c r="F524" s="872" t="s">
        <v>1034</v>
      </c>
      <c r="G524" s="872"/>
      <c r="H524" s="874" t="s">
        <v>957</v>
      </c>
      <c r="I524" s="767"/>
      <c r="P524" s="700"/>
    </row>
    <row r="525" spans="1:16" x14ac:dyDescent="0.3">
      <c r="A525" s="889" t="s">
        <v>972</v>
      </c>
      <c r="B525" s="868" t="s">
        <v>1043</v>
      </c>
      <c r="C525" s="867" t="str">
        <f>IF('Overzicht BTA'!$C$42= TRUE,_xlfn.CONCAT('Upload AXI - CONF'!$A525,'Upload AXI - CONF'!$B525),"")</f>
        <v/>
      </c>
      <c r="D525" s="867">
        <f>ROUND('eindafrekening_ kost_zorg'!$L$38,2)</f>
        <v>0</v>
      </c>
      <c r="E525" s="868" t="s">
        <v>1044</v>
      </c>
      <c r="F525" s="868" t="s">
        <v>1034</v>
      </c>
      <c r="G525" s="868"/>
      <c r="H525" s="870" t="s">
        <v>957</v>
      </c>
      <c r="I525" s="767"/>
      <c r="P525" s="700"/>
    </row>
    <row r="526" spans="1:16" x14ac:dyDescent="0.3">
      <c r="A526" s="973" t="s">
        <v>972</v>
      </c>
      <c r="B526" s="872" t="s">
        <v>1045</v>
      </c>
      <c r="C526" s="871" t="str">
        <f>IF('Overzicht BTA'!$C$42= TRUE,_xlfn.CONCAT('Upload AXI - CONF'!$A526,'Upload AXI - CONF'!$B526),"")</f>
        <v/>
      </c>
      <c r="D526" s="871">
        <f>ROUND('eindafrekening_ kost_zorg'!$L$39,2)</f>
        <v>0</v>
      </c>
      <c r="E526" s="872" t="s">
        <v>1046</v>
      </c>
      <c r="F526" s="872" t="s">
        <v>1034</v>
      </c>
      <c r="G526" s="872"/>
      <c r="H526" s="874" t="s">
        <v>957</v>
      </c>
      <c r="I526" s="767"/>
      <c r="P526" s="700"/>
    </row>
    <row r="527" spans="1:16" x14ac:dyDescent="0.3">
      <c r="A527" s="889" t="s">
        <v>972</v>
      </c>
      <c r="B527" s="868" t="s">
        <v>1047</v>
      </c>
      <c r="C527" s="867" t="str">
        <f>IF('Overzicht BTA'!$C$42= TRUE,_xlfn.CONCAT('Upload AXI - CONF'!$A527,'Upload AXI - CONF'!$B527),"")</f>
        <v/>
      </c>
      <c r="D527" s="867">
        <f>ROUND('eindafrekening_ kost_zorg'!$L$40,2)</f>
        <v>0</v>
      </c>
      <c r="E527" s="868" t="s">
        <v>1048</v>
      </c>
      <c r="F527" s="868" t="s">
        <v>1034</v>
      </c>
      <c r="G527" s="868"/>
      <c r="H527" s="870" t="s">
        <v>957</v>
      </c>
      <c r="I527" s="767"/>
      <c r="P527" s="700"/>
    </row>
    <row r="528" spans="1:16" x14ac:dyDescent="0.3">
      <c r="A528" s="973" t="s">
        <v>972</v>
      </c>
      <c r="B528" s="872" t="s">
        <v>1049</v>
      </c>
      <c r="C528" s="871" t="str">
        <f>IF('Overzicht BTA'!$C$42= TRUE,_xlfn.CONCAT('Upload AXI - CONF'!$A528,'Upload AXI - CONF'!$B528),"")</f>
        <v/>
      </c>
      <c r="D528" s="871">
        <f>ROUND('eindafrekening_ kost_zorg'!$L$45,2)</f>
        <v>0</v>
      </c>
      <c r="E528" s="872" t="s">
        <v>1050</v>
      </c>
      <c r="F528" s="872" t="s">
        <v>1034</v>
      </c>
      <c r="G528" s="872"/>
      <c r="H528" s="874" t="s">
        <v>957</v>
      </c>
      <c r="I528" s="767"/>
      <c r="P528" s="700"/>
    </row>
    <row r="529" spans="1:16" x14ac:dyDescent="0.3">
      <c r="A529" s="889" t="s">
        <v>972</v>
      </c>
      <c r="B529" s="868" t="s">
        <v>1051</v>
      </c>
      <c r="C529" s="867" t="str">
        <f>IF('Overzicht BTA'!$C$42= TRUE,_xlfn.CONCAT('Upload AXI - CONF'!$A529,'Upload AXI - CONF'!$B529),"")</f>
        <v/>
      </c>
      <c r="D529" s="867">
        <f>ROUND('eindafrekening_ kost_zorg'!$L$49,2)</f>
        <v>0</v>
      </c>
      <c r="E529" s="868" t="s">
        <v>1075</v>
      </c>
      <c r="F529" s="868" t="s">
        <v>1034</v>
      </c>
      <c r="G529" s="868"/>
      <c r="H529" s="870" t="s">
        <v>957</v>
      </c>
      <c r="I529" s="767"/>
      <c r="P529" s="700"/>
    </row>
    <row r="530" spans="1:16" x14ac:dyDescent="0.3">
      <c r="A530" s="973" t="s">
        <v>972</v>
      </c>
      <c r="B530" s="872" t="s">
        <v>1005</v>
      </c>
      <c r="C530" s="881" t="str">
        <f>IF('Overzicht BTA'!$C$42= TRUE,_xlfn.CONCAT('Upload AXI - CONF'!$A530,'Upload AXI - CONF'!$B530),"")</f>
        <v/>
      </c>
      <c r="D530" s="881">
        <f>ROUND('uitgebreide raming'!$E$46,2)</f>
        <v>0.21</v>
      </c>
      <c r="E530" s="872" t="s">
        <v>1006</v>
      </c>
      <c r="F530" s="872" t="s">
        <v>1034</v>
      </c>
      <c r="G530" s="872"/>
      <c r="H530" s="874"/>
      <c r="I530" s="595"/>
      <c r="P530" s="700"/>
    </row>
    <row r="531" spans="1:16" x14ac:dyDescent="0.3">
      <c r="A531" s="889" t="s">
        <v>972</v>
      </c>
      <c r="B531" s="868" t="s">
        <v>1053</v>
      </c>
      <c r="C531" s="867" t="str">
        <f>IF('Overzicht BTA'!$C$42= TRUE,_xlfn.CONCAT('Upload AXI - CONF'!$A531,'Upload AXI - CONF'!$B531),"")</f>
        <v/>
      </c>
      <c r="D531" s="867">
        <f>ROUND('eindafrekening_ kost_zorg'!$L$90,2)</f>
        <v>0</v>
      </c>
      <c r="E531" s="868" t="s">
        <v>1054</v>
      </c>
      <c r="F531" s="868" t="s">
        <v>1034</v>
      </c>
      <c r="G531" s="868"/>
      <c r="H531" s="870" t="s">
        <v>957</v>
      </c>
      <c r="I531" s="767"/>
      <c r="P531" s="700"/>
    </row>
    <row r="532" spans="1:16" x14ac:dyDescent="0.3">
      <c r="A532" s="973" t="s">
        <v>972</v>
      </c>
      <c r="B532" s="872" t="s">
        <v>1055</v>
      </c>
      <c r="C532" s="871" t="str">
        <f>IF('Overzicht BTA'!$C$42= TRUE,_xlfn.CONCAT('Upload AXI - CONF'!$A532,'Upload AXI - CONF'!$B532),"")</f>
        <v/>
      </c>
      <c r="D532" s="871">
        <f>ROUND('eindafrekening_ kost_zorg'!$L$92,2)</f>
        <v>0</v>
      </c>
      <c r="E532" s="872" t="s">
        <v>1056</v>
      </c>
      <c r="F532" s="872" t="s">
        <v>1034</v>
      </c>
      <c r="G532" s="872"/>
      <c r="H532" s="874" t="s">
        <v>957</v>
      </c>
      <c r="I532" s="767"/>
      <c r="P532" s="700"/>
    </row>
    <row r="533" spans="1:16" x14ac:dyDescent="0.3">
      <c r="A533" s="889" t="s">
        <v>972</v>
      </c>
      <c r="B533" s="868" t="s">
        <v>1057</v>
      </c>
      <c r="C533" s="867" t="str">
        <f>IF('Overzicht BTA'!$C$42= TRUE,_xlfn.CONCAT('Upload AXI - CONF'!$A533,'Upload AXI - CONF'!$B533),"")</f>
        <v/>
      </c>
      <c r="D533" s="867">
        <f>ROUND('eindafrekening_ kost_zorg'!$L$91,2)</f>
        <v>0</v>
      </c>
      <c r="E533" s="868" t="s">
        <v>1058</v>
      </c>
      <c r="F533" s="868" t="s">
        <v>1034</v>
      </c>
      <c r="G533" s="868"/>
      <c r="H533" s="870" t="s">
        <v>957</v>
      </c>
      <c r="I533" s="767"/>
      <c r="P533" s="700"/>
    </row>
    <row r="534" spans="1:16" x14ac:dyDescent="0.3">
      <c r="A534" s="973"/>
      <c r="B534" s="872"/>
      <c r="C534" s="871" t="str">
        <f>IF('Overzicht BTA'!$C$42= TRUE,_xlfn.CONCAT('Upload AXI - CONF'!$A534,'Upload AXI - CONF'!$B534),"")</f>
        <v/>
      </c>
      <c r="D534" s="871">
        <f>ROUND('uitgebreide raming'!$D$53,2)</f>
        <v>0</v>
      </c>
      <c r="E534" s="872" t="s">
        <v>1076</v>
      </c>
      <c r="F534" s="872" t="s">
        <v>1034</v>
      </c>
      <c r="G534" s="872"/>
      <c r="H534" s="886" t="s">
        <v>957</v>
      </c>
      <c r="I534" s="767"/>
      <c r="P534" s="700"/>
    </row>
    <row r="535" spans="1:16" x14ac:dyDescent="0.3">
      <c r="A535" s="889" t="s">
        <v>972</v>
      </c>
      <c r="B535" s="868" t="s">
        <v>1061</v>
      </c>
      <c r="C535" s="880" t="str">
        <f>IF('Overzicht BTA'!$C$42= TRUE,_xlfn.CONCAT('Upload AXI - CONF'!$A535,'Upload AXI - CONF'!$B535),"")</f>
        <v/>
      </c>
      <c r="D535" s="880">
        <f>ROUND('Overzicht BTA'!$I$8,0)</f>
        <v>0</v>
      </c>
      <c r="E535" s="868" t="s">
        <v>1062</v>
      </c>
      <c r="F535" s="868" t="s">
        <v>1034</v>
      </c>
      <c r="G535" s="868"/>
      <c r="H535" s="870"/>
      <c r="I535" s="768"/>
      <c r="P535" s="700"/>
    </row>
    <row r="536" spans="1:16" x14ac:dyDescent="0.3">
      <c r="A536" s="973" t="s">
        <v>972</v>
      </c>
      <c r="B536" s="872" t="s">
        <v>1063</v>
      </c>
      <c r="C536" s="879" t="str">
        <f>IF('Overzicht BTA'!$C$42= TRUE,_xlfn.CONCAT('Upload AXI - CONF'!$A536,'Upload AXI - CONF'!$B536),"")</f>
        <v/>
      </c>
      <c r="D536" s="879">
        <f>ROUND('Overzicht BTA'!$J$8,0)</f>
        <v>0</v>
      </c>
      <c r="E536" s="872" t="s">
        <v>1064</v>
      </c>
      <c r="F536" s="872" t="s">
        <v>1034</v>
      </c>
      <c r="G536" s="872"/>
      <c r="H536" s="874"/>
      <c r="I536" s="768"/>
      <c r="P536" s="700"/>
    </row>
    <row r="537" spans="1:16" x14ac:dyDescent="0.3">
      <c r="A537" s="889" t="s">
        <v>972</v>
      </c>
      <c r="B537" s="868" t="s">
        <v>1065</v>
      </c>
      <c r="C537" s="878" t="str">
        <f>IF('Overzicht BTA'!$C$42= TRUE,_xlfn.CONCAT('Upload AXI - CONF'!$A537,'Upload AXI - CONF'!$B537),"")</f>
        <v/>
      </c>
      <c r="D537" s="878">
        <f>ROUND('eindafrekening_ kost_zorg'!$L$95,2)</f>
        <v>0</v>
      </c>
      <c r="E537" s="868" t="s">
        <v>1066</v>
      </c>
      <c r="F537" s="868" t="s">
        <v>1034</v>
      </c>
      <c r="G537" s="868"/>
      <c r="H537" s="870"/>
      <c r="I537" s="595"/>
      <c r="P537" s="700"/>
    </row>
    <row r="538" spans="1:16" x14ac:dyDescent="0.3">
      <c r="A538" s="973" t="s">
        <v>973</v>
      </c>
      <c r="B538" s="872" t="s">
        <v>1032</v>
      </c>
      <c r="C538" s="871" t="str">
        <f>IF('Overzicht BTA'!$C$42= TRUE,_xlfn.CONCAT('Upload AXI - CONF'!$A538,'Upload AXI - CONF'!$B538),"")</f>
        <v/>
      </c>
      <c r="D538" s="871">
        <f>ROUND('eindafrekening_ kost_zorg'!$N$41,2)</f>
        <v>0</v>
      </c>
      <c r="E538" s="872" t="s">
        <v>1033</v>
      </c>
      <c r="F538" s="872" t="s">
        <v>1034</v>
      </c>
      <c r="G538" s="872"/>
      <c r="H538" s="874" t="s">
        <v>957</v>
      </c>
      <c r="I538" s="767"/>
      <c r="P538" s="700"/>
    </row>
    <row r="539" spans="1:16" x14ac:dyDescent="0.3">
      <c r="A539" s="889" t="s">
        <v>973</v>
      </c>
      <c r="B539" s="868" t="s">
        <v>1035</v>
      </c>
      <c r="C539" s="867" t="str">
        <f>IF('Overzicht BTA'!$C$42= TRUE,_xlfn.CONCAT('Upload AXI - CONF'!$A539,'Upload AXI - CONF'!$B539),"")</f>
        <v/>
      </c>
      <c r="D539" s="867">
        <f>ROUND('eindafrekening_ kost_zorg'!$N$13,2)</f>
        <v>0</v>
      </c>
      <c r="E539" s="868" t="s">
        <v>1036</v>
      </c>
      <c r="F539" s="868" t="s">
        <v>1034</v>
      </c>
      <c r="G539" s="868"/>
      <c r="H539" s="870" t="s">
        <v>957</v>
      </c>
      <c r="I539" s="767"/>
      <c r="P539" s="700"/>
    </row>
    <row r="540" spans="1:16" x14ac:dyDescent="0.3">
      <c r="A540" s="973" t="s">
        <v>973</v>
      </c>
      <c r="B540" s="872" t="s">
        <v>1037</v>
      </c>
      <c r="C540" s="871" t="str">
        <f>IF('Overzicht BTA'!$C$42= TRUE,_xlfn.CONCAT('Upload AXI - CONF'!$A540,'Upload AXI - CONF'!$B540),"")</f>
        <v/>
      </c>
      <c r="D540" s="871">
        <f>ROUND('eindafrekening_ kost_zorg'!$N$20,2)</f>
        <v>0</v>
      </c>
      <c r="E540" s="872" t="s">
        <v>1038</v>
      </c>
      <c r="F540" s="872" t="s">
        <v>1034</v>
      </c>
      <c r="G540" s="872"/>
      <c r="H540" s="874" t="s">
        <v>957</v>
      </c>
      <c r="I540" s="767"/>
      <c r="P540" s="700"/>
    </row>
    <row r="541" spans="1:16" x14ac:dyDescent="0.3">
      <c r="A541" s="889" t="s">
        <v>973</v>
      </c>
      <c r="B541" s="868" t="s">
        <v>1039</v>
      </c>
      <c r="C541" s="867" t="str">
        <f>IF('Overzicht BTA'!$C$42= TRUE,_xlfn.CONCAT('Upload AXI - CONF'!$A541,'Upload AXI - CONF'!$B541),"")</f>
        <v/>
      </c>
      <c r="D541" s="867">
        <f>ROUND('eindafrekening_ kost_zorg'!$N$28,2)</f>
        <v>0</v>
      </c>
      <c r="E541" s="868" t="s">
        <v>1040</v>
      </c>
      <c r="F541" s="868" t="s">
        <v>1034</v>
      </c>
      <c r="G541" s="868"/>
      <c r="H541" s="870" t="s">
        <v>957</v>
      </c>
      <c r="I541" s="767"/>
      <c r="P541" s="700"/>
    </row>
    <row r="542" spans="1:16" x14ac:dyDescent="0.3">
      <c r="A542" s="973" t="s">
        <v>973</v>
      </c>
      <c r="B542" s="872" t="s">
        <v>1041</v>
      </c>
      <c r="C542" s="887" t="str">
        <f>IF('Overzicht BTA'!$C$42= TRUE,_xlfn.CONCAT('Upload AXI - CONF'!$A542,'Upload AXI - CONF'!$B542),"")</f>
        <v/>
      </c>
      <c r="D542" s="887">
        <f>ROUND('eindafrekening_ kost_zorg'!$N$37,2)</f>
        <v>0</v>
      </c>
      <c r="E542" s="872" t="s">
        <v>1042</v>
      </c>
      <c r="F542" s="872" t="s">
        <v>1034</v>
      </c>
      <c r="G542" s="872"/>
      <c r="H542" s="874" t="s">
        <v>957</v>
      </c>
      <c r="I542" s="769"/>
      <c r="P542" s="700"/>
    </row>
    <row r="543" spans="1:16" x14ac:dyDescent="0.3">
      <c r="A543" s="889" t="s">
        <v>973</v>
      </c>
      <c r="B543" s="868" t="s">
        <v>1043</v>
      </c>
      <c r="C543" s="888" t="str">
        <f>IF('Overzicht BTA'!$C$42= TRUE,_xlfn.CONCAT('Upload AXI - CONF'!$A543,'Upload AXI - CONF'!$B543),"")</f>
        <v/>
      </c>
      <c r="D543" s="888">
        <f>ROUND('eindafrekening_ kost_zorg'!$N$38,2)</f>
        <v>0</v>
      </c>
      <c r="E543" s="868" t="s">
        <v>1044</v>
      </c>
      <c r="F543" s="868" t="s">
        <v>1034</v>
      </c>
      <c r="G543" s="868"/>
      <c r="H543" s="870" t="s">
        <v>957</v>
      </c>
      <c r="I543" s="769"/>
      <c r="P543" s="700"/>
    </row>
    <row r="544" spans="1:16" x14ac:dyDescent="0.3">
      <c r="A544" s="973" t="s">
        <v>973</v>
      </c>
      <c r="B544" s="872" t="s">
        <v>1045</v>
      </c>
      <c r="C544" s="887" t="str">
        <f>IF('Overzicht BTA'!$C$42= TRUE,_xlfn.CONCAT('Upload AXI - CONF'!$A544,'Upload AXI - CONF'!$B544),"")</f>
        <v/>
      </c>
      <c r="D544" s="887">
        <f>ROUND('eindafrekening_ kost_zorg'!$N$39,2)</f>
        <v>0</v>
      </c>
      <c r="E544" s="872" t="s">
        <v>1046</v>
      </c>
      <c r="F544" s="872" t="s">
        <v>1034</v>
      </c>
      <c r="G544" s="872"/>
      <c r="H544" s="874" t="s">
        <v>957</v>
      </c>
      <c r="I544" s="769"/>
      <c r="P544" s="700"/>
    </row>
    <row r="545" spans="1:16" x14ac:dyDescent="0.3">
      <c r="A545" s="889" t="s">
        <v>973</v>
      </c>
      <c r="B545" s="868" t="s">
        <v>1047</v>
      </c>
      <c r="C545" s="867" t="str">
        <f>IF('Overzicht BTA'!$C$42= TRUE,_xlfn.CONCAT('Upload AXI - CONF'!$A545,'Upload AXI - CONF'!$B545),"")</f>
        <v/>
      </c>
      <c r="D545" s="867">
        <f>ROUND('eindafrekening_ kost_zorg'!$N$40,2)</f>
        <v>0</v>
      </c>
      <c r="E545" s="868" t="s">
        <v>1048</v>
      </c>
      <c r="F545" s="868" t="s">
        <v>1034</v>
      </c>
      <c r="G545" s="868"/>
      <c r="H545" s="870" t="s">
        <v>957</v>
      </c>
      <c r="I545" s="767"/>
      <c r="P545" s="700"/>
    </row>
    <row r="546" spans="1:16" x14ac:dyDescent="0.3">
      <c r="A546" s="973" t="s">
        <v>973</v>
      </c>
      <c r="B546" s="872" t="s">
        <v>1049</v>
      </c>
      <c r="C546" s="871" t="str">
        <f>IF('Overzicht BTA'!$C$42= TRUE,_xlfn.CONCAT('Upload AXI - CONF'!$A546,'Upload AXI - CONF'!$B546),"")</f>
        <v/>
      </c>
      <c r="D546" s="871">
        <f>ROUND('eindafrekening_ kost_zorg'!$N$45,2)</f>
        <v>0</v>
      </c>
      <c r="E546" s="872" t="s">
        <v>1050</v>
      </c>
      <c r="F546" s="872" t="s">
        <v>1034</v>
      </c>
      <c r="G546" s="872"/>
      <c r="H546" s="874" t="s">
        <v>957</v>
      </c>
      <c r="I546" s="767"/>
      <c r="P546" s="700"/>
    </row>
    <row r="547" spans="1:16" x14ac:dyDescent="0.3">
      <c r="A547" s="889" t="s">
        <v>973</v>
      </c>
      <c r="B547" s="868" t="s">
        <v>1051</v>
      </c>
      <c r="C547" s="867" t="str">
        <f>IF('Overzicht BTA'!$C$42= TRUE,_xlfn.CONCAT('Upload AXI - CONF'!$A547,'Upload AXI - CONF'!$B547),"")</f>
        <v/>
      </c>
      <c r="D547" s="867">
        <f>ROUND('eindafrekening_ kost_zorg'!$N$49,2)</f>
        <v>0</v>
      </c>
      <c r="E547" s="868" t="s">
        <v>1077</v>
      </c>
      <c r="F547" s="868" t="s">
        <v>1034</v>
      </c>
      <c r="G547" s="868"/>
      <c r="H547" s="870" t="s">
        <v>957</v>
      </c>
      <c r="I547" s="767"/>
      <c r="P547" s="700"/>
    </row>
    <row r="548" spans="1:16" x14ac:dyDescent="0.3">
      <c r="A548" s="973" t="s">
        <v>973</v>
      </c>
      <c r="B548" s="872" t="s">
        <v>1005</v>
      </c>
      <c r="C548" s="881" t="str">
        <f>IF('Overzicht BTA'!$C$42= TRUE,_xlfn.CONCAT('Upload AXI - CONF'!$A548,'Upload AXI - CONF'!$B548),"")</f>
        <v/>
      </c>
      <c r="D548" s="881">
        <f>ROUND('uitgebreide raming'!$G$46,2)</f>
        <v>0.21</v>
      </c>
      <c r="E548" s="872" t="s">
        <v>1006</v>
      </c>
      <c r="F548" s="872" t="s">
        <v>1034</v>
      </c>
      <c r="G548" s="872"/>
      <c r="H548" s="874"/>
      <c r="I548" s="595"/>
      <c r="P548" s="700"/>
    </row>
    <row r="549" spans="1:16" x14ac:dyDescent="0.3">
      <c r="A549" s="889" t="s">
        <v>973</v>
      </c>
      <c r="B549" s="868" t="s">
        <v>1053</v>
      </c>
      <c r="C549" s="867" t="str">
        <f>IF('Overzicht BTA'!$C$42= TRUE,_xlfn.CONCAT('Upload AXI - CONF'!$A549,'Upload AXI - CONF'!$B549),"")</f>
        <v/>
      </c>
      <c r="D549" s="867">
        <f>ROUND('eindafrekening_ kost_zorg'!$N$90,2)</f>
        <v>0</v>
      </c>
      <c r="E549" s="868" t="s">
        <v>1054</v>
      </c>
      <c r="F549" s="868" t="s">
        <v>1034</v>
      </c>
      <c r="G549" s="868"/>
      <c r="H549" s="870" t="s">
        <v>957</v>
      </c>
      <c r="I549" s="767"/>
      <c r="P549" s="700"/>
    </row>
    <row r="550" spans="1:16" x14ac:dyDescent="0.3">
      <c r="A550" s="973" t="s">
        <v>973</v>
      </c>
      <c r="B550" s="872" t="s">
        <v>1055</v>
      </c>
      <c r="C550" s="871" t="str">
        <f>IF('Overzicht BTA'!$C$42= TRUE,_xlfn.CONCAT('Upload AXI - CONF'!$A550,'Upload AXI - CONF'!$B550),"")</f>
        <v/>
      </c>
      <c r="D550" s="871">
        <f>ROUND('eindafrekening_ kost_zorg'!$N$92,2)</f>
        <v>0</v>
      </c>
      <c r="E550" s="872" t="s">
        <v>1056</v>
      </c>
      <c r="F550" s="872" t="s">
        <v>1034</v>
      </c>
      <c r="G550" s="872"/>
      <c r="H550" s="874" t="s">
        <v>957</v>
      </c>
      <c r="I550" s="767"/>
      <c r="P550" s="700"/>
    </row>
    <row r="551" spans="1:16" x14ac:dyDescent="0.3">
      <c r="A551" s="889" t="s">
        <v>973</v>
      </c>
      <c r="B551" s="868" t="s">
        <v>1057</v>
      </c>
      <c r="C551" s="867" t="str">
        <f>IF('Overzicht BTA'!$C$42= TRUE,_xlfn.CONCAT('Upload AXI - CONF'!$A551,'Upload AXI - CONF'!$B551),"")</f>
        <v/>
      </c>
      <c r="D551" s="867">
        <f>ROUND('eindafrekening_ kost_zorg'!$N$91,2)</f>
        <v>0</v>
      </c>
      <c r="E551" s="868" t="s">
        <v>1058</v>
      </c>
      <c r="F551" s="868" t="s">
        <v>1034</v>
      </c>
      <c r="G551" s="868"/>
      <c r="H551" s="870" t="s">
        <v>957</v>
      </c>
      <c r="I551" s="767"/>
      <c r="P551" s="700"/>
    </row>
    <row r="552" spans="1:16" x14ac:dyDescent="0.3">
      <c r="A552" s="973"/>
      <c r="B552" s="872"/>
      <c r="C552" s="871" t="str">
        <f>IF('Overzicht BTA'!$C$42= TRUE,_xlfn.CONCAT('Upload AXI - CONF'!$A552,'Upload AXI - CONF'!$B552),"")</f>
        <v/>
      </c>
      <c r="D552" s="871">
        <f>ROUND('uitgebreide raming'!$F$53,2)</f>
        <v>0</v>
      </c>
      <c r="E552" s="872" t="s">
        <v>1078</v>
      </c>
      <c r="F552" s="872" t="s">
        <v>1034</v>
      </c>
      <c r="G552" s="872"/>
      <c r="H552" s="886" t="s">
        <v>957</v>
      </c>
      <c r="I552" s="767"/>
      <c r="P552" s="700"/>
    </row>
    <row r="553" spans="1:16" x14ac:dyDescent="0.3">
      <c r="A553" s="889" t="s">
        <v>973</v>
      </c>
      <c r="B553" s="868" t="s">
        <v>1061</v>
      </c>
      <c r="C553" s="880" t="str">
        <f>IF('Overzicht BTA'!$C$42= TRUE,_xlfn.CONCAT('Upload AXI - CONF'!$A553,'Upload AXI - CONF'!$B553),"")</f>
        <v/>
      </c>
      <c r="D553" s="880">
        <f>ROUND('Overzicht BTA'!$I$9,2)</f>
        <v>0</v>
      </c>
      <c r="E553" s="868" t="s">
        <v>1062</v>
      </c>
      <c r="F553" s="868" t="s">
        <v>1034</v>
      </c>
      <c r="G553" s="868"/>
      <c r="H553" s="870"/>
      <c r="I553" s="768"/>
      <c r="P553" s="700"/>
    </row>
    <row r="554" spans="1:16" x14ac:dyDescent="0.3">
      <c r="A554" s="973" t="s">
        <v>973</v>
      </c>
      <c r="B554" s="872" t="s">
        <v>1063</v>
      </c>
      <c r="C554" s="879" t="str">
        <f>IF('Overzicht BTA'!$C$42= TRUE,_xlfn.CONCAT('Upload AXI - CONF'!$A554,'Upload AXI - CONF'!$B554),"")</f>
        <v/>
      </c>
      <c r="D554" s="879">
        <f>ROUND('Overzicht BTA'!$J$9,2)</f>
        <v>0</v>
      </c>
      <c r="E554" s="872" t="s">
        <v>1064</v>
      </c>
      <c r="F554" s="872" t="s">
        <v>1034</v>
      </c>
      <c r="G554" s="872"/>
      <c r="H554" s="874"/>
      <c r="I554" s="768"/>
      <c r="P554" s="700"/>
    </row>
    <row r="555" spans="1:16" x14ac:dyDescent="0.3">
      <c r="A555" s="889" t="s">
        <v>973</v>
      </c>
      <c r="B555" s="868" t="s">
        <v>1065</v>
      </c>
      <c r="C555" s="878" t="str">
        <f>IF('Overzicht BTA'!$C$42= TRUE,_xlfn.CONCAT('Upload AXI - CONF'!$A555,'Upload AXI - CONF'!$B555),"")</f>
        <v/>
      </c>
      <c r="D555" s="878">
        <f>ROUND('eindafrekening_ kost_zorg'!$N$95,2)</f>
        <v>0</v>
      </c>
      <c r="E555" s="868" t="s">
        <v>1066</v>
      </c>
      <c r="F555" s="868" t="s">
        <v>1034</v>
      </c>
      <c r="G555" s="868"/>
      <c r="H555" s="870"/>
      <c r="I555" s="595"/>
      <c r="P555" s="700"/>
    </row>
    <row r="556" spans="1:16" x14ac:dyDescent="0.3">
      <c r="A556" s="973" t="s">
        <v>974</v>
      </c>
      <c r="B556" s="872" t="s">
        <v>1032</v>
      </c>
      <c r="C556" s="871" t="str">
        <f>IF('Overzicht BTA'!$C$42= TRUE,_xlfn.CONCAT('Upload AXI - CONF'!$A556,'Upload AXI - CONF'!$B556),"")</f>
        <v/>
      </c>
      <c r="D556" s="871">
        <f>ROUND('eindafrekening_ kost_zorg'!$P$41,2)</f>
        <v>0</v>
      </c>
      <c r="E556" s="872" t="s">
        <v>1033</v>
      </c>
      <c r="F556" s="872" t="s">
        <v>1034</v>
      </c>
      <c r="G556" s="872"/>
      <c r="H556" s="874" t="s">
        <v>957</v>
      </c>
      <c r="I556" s="767"/>
      <c r="P556" s="700"/>
    </row>
    <row r="557" spans="1:16" x14ac:dyDescent="0.3">
      <c r="A557" s="889" t="s">
        <v>974</v>
      </c>
      <c r="B557" s="868" t="s">
        <v>1035</v>
      </c>
      <c r="C557" s="867" t="str">
        <f>IF('Overzicht BTA'!$C$42= TRUE,_xlfn.CONCAT('Upload AXI - CONF'!$A557,'Upload AXI - CONF'!$B557),"")</f>
        <v/>
      </c>
      <c r="D557" s="867">
        <f>ROUND('eindafrekening_ kost_zorg'!$P$13,2)</f>
        <v>0</v>
      </c>
      <c r="E557" s="868" t="s">
        <v>1036</v>
      </c>
      <c r="F557" s="868" t="s">
        <v>1034</v>
      </c>
      <c r="G557" s="868"/>
      <c r="H557" s="870" t="s">
        <v>957</v>
      </c>
      <c r="I557" s="767"/>
      <c r="P557" s="700"/>
    </row>
    <row r="558" spans="1:16" x14ac:dyDescent="0.3">
      <c r="A558" s="973" t="s">
        <v>974</v>
      </c>
      <c r="B558" s="872" t="s">
        <v>1037</v>
      </c>
      <c r="C558" s="871" t="str">
        <f>IF('Overzicht BTA'!$C$42= TRUE,_xlfn.CONCAT('Upload AXI - CONF'!$A558,'Upload AXI - CONF'!$B558),"")</f>
        <v/>
      </c>
      <c r="D558" s="871">
        <f>ROUND('eindafrekening_ kost_zorg'!$P$20,2)</f>
        <v>0</v>
      </c>
      <c r="E558" s="872" t="s">
        <v>1038</v>
      </c>
      <c r="F558" s="872" t="s">
        <v>1034</v>
      </c>
      <c r="G558" s="872"/>
      <c r="H558" s="874" t="s">
        <v>957</v>
      </c>
      <c r="I558" s="767"/>
      <c r="P558" s="700"/>
    </row>
    <row r="559" spans="1:16" x14ac:dyDescent="0.3">
      <c r="A559" s="889" t="s">
        <v>974</v>
      </c>
      <c r="B559" s="868" t="s">
        <v>1039</v>
      </c>
      <c r="C559" s="867" t="str">
        <f>IF('Overzicht BTA'!$C$42= TRUE,_xlfn.CONCAT('Upload AXI - CONF'!$A559,'Upload AXI - CONF'!$B559),"")</f>
        <v/>
      </c>
      <c r="D559" s="867">
        <f>ROUND('eindafrekening_ kost_zorg'!$P$28,2)</f>
        <v>0</v>
      </c>
      <c r="E559" s="868" t="s">
        <v>1040</v>
      </c>
      <c r="F559" s="868" t="s">
        <v>1034</v>
      </c>
      <c r="G559" s="868"/>
      <c r="H559" s="870" t="s">
        <v>957</v>
      </c>
      <c r="I559" s="767"/>
      <c r="P559" s="700"/>
    </row>
    <row r="560" spans="1:16" x14ac:dyDescent="0.3">
      <c r="A560" s="973" t="s">
        <v>974</v>
      </c>
      <c r="B560" s="872" t="s">
        <v>1041</v>
      </c>
      <c r="C560" s="871" t="str">
        <f>IF('Overzicht BTA'!$C$42= TRUE,_xlfn.CONCAT('Upload AXI - CONF'!$A560,'Upload AXI - CONF'!$B560),"")</f>
        <v/>
      </c>
      <c r="D560" s="871">
        <f>ROUND('eindafrekening_ kost_zorg'!$P$37,2)</f>
        <v>0</v>
      </c>
      <c r="E560" s="872" t="s">
        <v>1042</v>
      </c>
      <c r="F560" s="872" t="s">
        <v>1034</v>
      </c>
      <c r="G560" s="872"/>
      <c r="H560" s="874" t="s">
        <v>957</v>
      </c>
      <c r="I560" s="767"/>
      <c r="P560" s="700"/>
    </row>
    <row r="561" spans="1:16" x14ac:dyDescent="0.3">
      <c r="A561" s="889" t="s">
        <v>974</v>
      </c>
      <c r="B561" s="868" t="s">
        <v>1043</v>
      </c>
      <c r="C561" s="867" t="str">
        <f>IF('Overzicht BTA'!$C$42= TRUE,_xlfn.CONCAT('Upload AXI - CONF'!$A561,'Upload AXI - CONF'!$B561),"")</f>
        <v/>
      </c>
      <c r="D561" s="867">
        <f>ROUND('eindafrekening_ kost_zorg'!$P$38,2)</f>
        <v>0</v>
      </c>
      <c r="E561" s="868" t="s">
        <v>1044</v>
      </c>
      <c r="F561" s="868" t="s">
        <v>1034</v>
      </c>
      <c r="G561" s="868"/>
      <c r="H561" s="870" t="s">
        <v>957</v>
      </c>
      <c r="I561" s="767"/>
      <c r="P561" s="700"/>
    </row>
    <row r="562" spans="1:16" x14ac:dyDescent="0.3">
      <c r="A562" s="973" t="s">
        <v>974</v>
      </c>
      <c r="B562" s="872" t="s">
        <v>1045</v>
      </c>
      <c r="C562" s="871" t="str">
        <f>IF('Overzicht BTA'!$C$42= TRUE,_xlfn.CONCAT('Upload AXI - CONF'!$A562,'Upload AXI - CONF'!$B562),"")</f>
        <v/>
      </c>
      <c r="D562" s="871">
        <f>ROUND('eindafrekening_ kost_zorg'!$P$39,2)</f>
        <v>0</v>
      </c>
      <c r="E562" s="872" t="s">
        <v>1046</v>
      </c>
      <c r="F562" s="872" t="s">
        <v>1034</v>
      </c>
      <c r="G562" s="872"/>
      <c r="H562" s="874" t="s">
        <v>957</v>
      </c>
      <c r="I562" s="767"/>
      <c r="P562" s="700"/>
    </row>
    <row r="563" spans="1:16" x14ac:dyDescent="0.3">
      <c r="A563" s="889" t="s">
        <v>974</v>
      </c>
      <c r="B563" s="868" t="s">
        <v>1047</v>
      </c>
      <c r="C563" s="867" t="str">
        <f>IF('Overzicht BTA'!$C$42= TRUE,_xlfn.CONCAT('Upload AXI - CONF'!$A563,'Upload AXI - CONF'!$B563),"")</f>
        <v/>
      </c>
      <c r="D563" s="867">
        <f>ROUND('eindafrekening_ kost_zorg'!$P$40,2)</f>
        <v>0</v>
      </c>
      <c r="E563" s="868" t="s">
        <v>1048</v>
      </c>
      <c r="F563" s="868" t="s">
        <v>1034</v>
      </c>
      <c r="G563" s="868"/>
      <c r="H563" s="870" t="s">
        <v>957</v>
      </c>
      <c r="I563" s="767"/>
      <c r="P563" s="700"/>
    </row>
    <row r="564" spans="1:16" x14ac:dyDescent="0.3">
      <c r="A564" s="973" t="s">
        <v>974</v>
      </c>
      <c r="B564" s="872" t="s">
        <v>1049</v>
      </c>
      <c r="C564" s="871" t="str">
        <f>IF('Overzicht BTA'!$C$42= TRUE,_xlfn.CONCAT('Upload AXI - CONF'!$A564,'Upload AXI - CONF'!$B564),"")</f>
        <v/>
      </c>
      <c r="D564" s="871">
        <f>ROUND('eindafrekening_ kost_zorg'!$P$45,2)</f>
        <v>0</v>
      </c>
      <c r="E564" s="872" t="s">
        <v>1050</v>
      </c>
      <c r="F564" s="872" t="s">
        <v>1034</v>
      </c>
      <c r="G564" s="872"/>
      <c r="H564" s="874" t="s">
        <v>957</v>
      </c>
      <c r="I564" s="767"/>
      <c r="P564" s="700"/>
    </row>
    <row r="565" spans="1:16" x14ac:dyDescent="0.3">
      <c r="A565" s="889" t="s">
        <v>974</v>
      </c>
      <c r="B565" s="868" t="s">
        <v>1051</v>
      </c>
      <c r="C565" s="867" t="str">
        <f>IF('Overzicht BTA'!$C$42= TRUE,_xlfn.CONCAT('Upload AXI - CONF'!$A565,'Upload AXI - CONF'!$B565),"")</f>
        <v/>
      </c>
      <c r="D565" s="867">
        <f>ROUND('eindafrekening_ kost_zorg'!$P$49,2)</f>
        <v>0</v>
      </c>
      <c r="E565" s="868" t="s">
        <v>1079</v>
      </c>
      <c r="F565" s="868" t="s">
        <v>1034</v>
      </c>
      <c r="G565" s="868"/>
      <c r="H565" s="870" t="s">
        <v>957</v>
      </c>
      <c r="I565" s="767"/>
      <c r="P565" s="700"/>
    </row>
    <row r="566" spans="1:16" x14ac:dyDescent="0.3">
      <c r="A566" s="973" t="s">
        <v>974</v>
      </c>
      <c r="B566" s="872" t="s">
        <v>1005</v>
      </c>
      <c r="C566" s="881" t="str">
        <f>IF('Overzicht BTA'!$C$42= TRUE,_xlfn.CONCAT('Upload AXI - CONF'!$A566,'Upload AXI - CONF'!$B566),"")</f>
        <v/>
      </c>
      <c r="D566" s="881">
        <f>ROUND('uitgebreide raming'!$I$46,2)</f>
        <v>0.21</v>
      </c>
      <c r="E566" s="872" t="s">
        <v>1006</v>
      </c>
      <c r="F566" s="872" t="s">
        <v>1034</v>
      </c>
      <c r="G566" s="872"/>
      <c r="H566" s="874"/>
      <c r="I566" s="595"/>
      <c r="P566" s="700"/>
    </row>
    <row r="567" spans="1:16" x14ac:dyDescent="0.3">
      <c r="A567" s="889" t="s">
        <v>974</v>
      </c>
      <c r="B567" s="868" t="s">
        <v>1053</v>
      </c>
      <c r="C567" s="867" t="str">
        <f>IF('Overzicht BTA'!$C$42= TRUE,_xlfn.CONCAT('Upload AXI - CONF'!$A567,'Upload AXI - CONF'!$B567),"")</f>
        <v/>
      </c>
      <c r="D567" s="867">
        <f>ROUND('eindafrekening_ kost_zorg'!$P$90,2)</f>
        <v>0</v>
      </c>
      <c r="E567" s="868" t="s">
        <v>1054</v>
      </c>
      <c r="F567" s="868" t="s">
        <v>1034</v>
      </c>
      <c r="G567" s="868"/>
      <c r="H567" s="870" t="s">
        <v>957</v>
      </c>
      <c r="I567" s="767"/>
      <c r="P567" s="700"/>
    </row>
    <row r="568" spans="1:16" x14ac:dyDescent="0.3">
      <c r="A568" s="973" t="s">
        <v>974</v>
      </c>
      <c r="B568" s="872" t="s">
        <v>1055</v>
      </c>
      <c r="C568" s="871" t="str">
        <f>IF('Overzicht BTA'!$C$42= TRUE,_xlfn.CONCAT('Upload AXI - CONF'!$A568,'Upload AXI - CONF'!$B568),"")</f>
        <v/>
      </c>
      <c r="D568" s="871">
        <f>ROUND('eindafrekening_ kost_zorg'!$P$92,2)</f>
        <v>0</v>
      </c>
      <c r="E568" s="872" t="s">
        <v>1056</v>
      </c>
      <c r="F568" s="872" t="s">
        <v>1034</v>
      </c>
      <c r="G568" s="872"/>
      <c r="H568" s="874" t="s">
        <v>957</v>
      </c>
      <c r="I568" s="767"/>
      <c r="P568" s="700"/>
    </row>
    <row r="569" spans="1:16" x14ac:dyDescent="0.3">
      <c r="A569" s="889" t="s">
        <v>974</v>
      </c>
      <c r="B569" s="868" t="s">
        <v>1057</v>
      </c>
      <c r="C569" s="867" t="str">
        <f>IF('Overzicht BTA'!$C$42= TRUE,_xlfn.CONCAT('Upload AXI - CONF'!$A569,'Upload AXI - CONF'!$B569),"")</f>
        <v/>
      </c>
      <c r="D569" s="867">
        <f>ROUND('eindafrekening_ kost_zorg'!$P$91,2)</f>
        <v>0</v>
      </c>
      <c r="E569" s="868" t="s">
        <v>1058</v>
      </c>
      <c r="F569" s="868" t="s">
        <v>1034</v>
      </c>
      <c r="G569" s="868"/>
      <c r="H569" s="870" t="s">
        <v>957</v>
      </c>
      <c r="I569" s="767"/>
      <c r="P569" s="700"/>
    </row>
    <row r="570" spans="1:16" x14ac:dyDescent="0.3">
      <c r="A570" s="973"/>
      <c r="B570" s="872"/>
      <c r="C570" s="871" t="str">
        <f>IF('Overzicht BTA'!$C$42= TRUE,_xlfn.CONCAT('Upload AXI - CONF'!$A570,'Upload AXI - CONF'!$B570),"")</f>
        <v/>
      </c>
      <c r="D570" s="871">
        <f>ROUND('uitgebreide raming'!$H$53,2)</f>
        <v>0</v>
      </c>
      <c r="E570" s="872" t="s">
        <v>1080</v>
      </c>
      <c r="F570" s="872" t="s">
        <v>1034</v>
      </c>
      <c r="G570" s="872"/>
      <c r="H570" s="886" t="s">
        <v>957</v>
      </c>
      <c r="I570" s="767"/>
      <c r="P570" s="700"/>
    </row>
    <row r="571" spans="1:16" x14ac:dyDescent="0.3">
      <c r="A571" s="889" t="s">
        <v>974</v>
      </c>
      <c r="B571" s="868" t="s">
        <v>1061</v>
      </c>
      <c r="C571" s="880" t="str">
        <f>IF('Overzicht BTA'!$C$42= TRUE,_xlfn.CONCAT('Upload AXI - CONF'!$A571,'Upload AXI - CONF'!$B571),"")</f>
        <v/>
      </c>
      <c r="D571" s="880">
        <f>ROUND('Overzicht BTA'!$I$10,2)</f>
        <v>0</v>
      </c>
      <c r="E571" s="868" t="s">
        <v>1062</v>
      </c>
      <c r="F571" s="868" t="s">
        <v>1034</v>
      </c>
      <c r="G571" s="868"/>
      <c r="H571" s="870"/>
      <c r="I571" s="768"/>
      <c r="P571" s="700"/>
    </row>
    <row r="572" spans="1:16" x14ac:dyDescent="0.3">
      <c r="A572" s="973" t="s">
        <v>974</v>
      </c>
      <c r="B572" s="872" t="s">
        <v>1063</v>
      </c>
      <c r="C572" s="879" t="str">
        <f>IF('Overzicht BTA'!$C$42= TRUE,_xlfn.CONCAT('Upload AXI - CONF'!$A572,'Upload AXI - CONF'!$B572),"")</f>
        <v/>
      </c>
      <c r="D572" s="879">
        <f>ROUND('Overzicht BTA'!$J$10,2)</f>
        <v>0</v>
      </c>
      <c r="E572" s="872" t="s">
        <v>1064</v>
      </c>
      <c r="F572" s="872" t="s">
        <v>1034</v>
      </c>
      <c r="G572" s="872"/>
      <c r="H572" s="874"/>
      <c r="I572" s="768"/>
      <c r="P572" s="700"/>
    </row>
    <row r="573" spans="1:16" x14ac:dyDescent="0.3">
      <c r="A573" s="889" t="s">
        <v>974</v>
      </c>
      <c r="B573" s="868" t="s">
        <v>1065</v>
      </c>
      <c r="C573" s="878" t="str">
        <f>IF('Overzicht BTA'!$C$42= TRUE,_xlfn.CONCAT('Upload AXI - CONF'!$A573,'Upload AXI - CONF'!$B573),"")</f>
        <v/>
      </c>
      <c r="D573" s="878">
        <f>ROUND('eindafrekening_ kost_zorg'!$P$95,2)</f>
        <v>0</v>
      </c>
      <c r="E573" s="868" t="s">
        <v>1066</v>
      </c>
      <c r="F573" s="868" t="s">
        <v>1034</v>
      </c>
      <c r="G573" s="868"/>
      <c r="H573" s="870"/>
      <c r="I573" s="595"/>
      <c r="P573" s="700"/>
    </row>
    <row r="574" spans="1:16" x14ac:dyDescent="0.3">
      <c r="A574" s="973" t="s">
        <v>975</v>
      </c>
      <c r="B574" s="872" t="s">
        <v>1032</v>
      </c>
      <c r="C574" s="871" t="str">
        <f>IF('Overzicht BTA'!$C$42= TRUE,_xlfn.CONCAT('Upload AXI - CONF'!$A574,'Upload AXI - CONF'!$B574),"")</f>
        <v/>
      </c>
      <c r="D574" s="871">
        <f>ROUND('eindafrekening_ kost_zorg'!$R$41,2)</f>
        <v>0</v>
      </c>
      <c r="E574" s="872" t="s">
        <v>1033</v>
      </c>
      <c r="F574" s="872" t="s">
        <v>1034</v>
      </c>
      <c r="G574" s="872"/>
      <c r="H574" s="874" t="s">
        <v>957</v>
      </c>
      <c r="I574" s="767"/>
      <c r="P574" s="700"/>
    </row>
    <row r="575" spans="1:16" x14ac:dyDescent="0.3">
      <c r="A575" s="889" t="s">
        <v>975</v>
      </c>
      <c r="B575" s="868" t="s">
        <v>1035</v>
      </c>
      <c r="C575" s="867" t="str">
        <f>IF('Overzicht BTA'!$C$42= TRUE,_xlfn.CONCAT('Upload AXI - CONF'!$A575,'Upload AXI - CONF'!$B575),"")</f>
        <v/>
      </c>
      <c r="D575" s="867">
        <f>ROUND('eindafrekening_ kost_zorg'!$R$13,2)</f>
        <v>0</v>
      </c>
      <c r="E575" s="868" t="s">
        <v>1036</v>
      </c>
      <c r="F575" s="868" t="s">
        <v>1034</v>
      </c>
      <c r="G575" s="868"/>
      <c r="H575" s="870" t="s">
        <v>957</v>
      </c>
      <c r="I575" s="767"/>
      <c r="P575" s="700"/>
    </row>
    <row r="576" spans="1:16" x14ac:dyDescent="0.3">
      <c r="A576" s="973" t="s">
        <v>975</v>
      </c>
      <c r="B576" s="872" t="s">
        <v>1037</v>
      </c>
      <c r="C576" s="871" t="str">
        <f>IF('Overzicht BTA'!$C$42= TRUE,_xlfn.CONCAT('Upload AXI - CONF'!$A576,'Upload AXI - CONF'!$B576),"")</f>
        <v/>
      </c>
      <c r="D576" s="871">
        <f>ROUND('eindafrekening_ kost_zorg'!$R$20,2)</f>
        <v>0</v>
      </c>
      <c r="E576" s="872" t="s">
        <v>1038</v>
      </c>
      <c r="F576" s="872" t="s">
        <v>1034</v>
      </c>
      <c r="G576" s="872"/>
      <c r="H576" s="874" t="s">
        <v>957</v>
      </c>
      <c r="I576" s="767"/>
      <c r="P576" s="700"/>
    </row>
    <row r="577" spans="1:16" x14ac:dyDescent="0.3">
      <c r="A577" s="889" t="s">
        <v>975</v>
      </c>
      <c r="B577" s="868" t="s">
        <v>1039</v>
      </c>
      <c r="C577" s="867" t="str">
        <f>IF('Overzicht BTA'!$C$42= TRUE,_xlfn.CONCAT('Upload AXI - CONF'!$A577,'Upload AXI - CONF'!$B577),"")</f>
        <v/>
      </c>
      <c r="D577" s="867">
        <f>ROUND('eindafrekening_ kost_zorg'!$R$28,2)</f>
        <v>0</v>
      </c>
      <c r="E577" s="868" t="s">
        <v>1040</v>
      </c>
      <c r="F577" s="868" t="s">
        <v>1034</v>
      </c>
      <c r="G577" s="868"/>
      <c r="H577" s="870" t="s">
        <v>957</v>
      </c>
      <c r="I577" s="767"/>
      <c r="P577" s="700"/>
    </row>
    <row r="578" spans="1:16" x14ac:dyDescent="0.3">
      <c r="A578" s="973" t="s">
        <v>975</v>
      </c>
      <c r="B578" s="872" t="s">
        <v>1041</v>
      </c>
      <c r="C578" s="871" t="str">
        <f>IF('Overzicht BTA'!$C$42= TRUE,_xlfn.CONCAT('Upload AXI - CONF'!$A578,'Upload AXI - CONF'!$B578),"")</f>
        <v/>
      </c>
      <c r="D578" s="871">
        <f>ROUND('eindafrekening_ kost_zorg'!$R$37,2)</f>
        <v>0</v>
      </c>
      <c r="E578" s="872" t="s">
        <v>1042</v>
      </c>
      <c r="F578" s="872" t="s">
        <v>1034</v>
      </c>
      <c r="G578" s="872"/>
      <c r="H578" s="874" t="s">
        <v>957</v>
      </c>
      <c r="I578" s="767"/>
      <c r="P578" s="700"/>
    </row>
    <row r="579" spans="1:16" x14ac:dyDescent="0.3">
      <c r="A579" s="889" t="s">
        <v>975</v>
      </c>
      <c r="B579" s="868" t="s">
        <v>1043</v>
      </c>
      <c r="C579" s="867" t="str">
        <f>IF('Overzicht BTA'!$C$42= TRUE,_xlfn.CONCAT('Upload AXI - CONF'!$A579,'Upload AXI - CONF'!$B579),"")</f>
        <v/>
      </c>
      <c r="D579" s="867">
        <f>ROUND('eindafrekening_ kost_zorg'!$R$38,2)</f>
        <v>0</v>
      </c>
      <c r="E579" s="868" t="s">
        <v>1044</v>
      </c>
      <c r="F579" s="868" t="s">
        <v>1034</v>
      </c>
      <c r="G579" s="868"/>
      <c r="H579" s="870" t="s">
        <v>957</v>
      </c>
      <c r="I579" s="767"/>
      <c r="P579" s="700"/>
    </row>
    <row r="580" spans="1:16" x14ac:dyDescent="0.3">
      <c r="A580" s="973" t="s">
        <v>975</v>
      </c>
      <c r="B580" s="872" t="s">
        <v>1045</v>
      </c>
      <c r="C580" s="871" t="str">
        <f>IF('Overzicht BTA'!$C$42= TRUE,_xlfn.CONCAT('Upload AXI - CONF'!$A580,'Upload AXI - CONF'!$B580),"")</f>
        <v/>
      </c>
      <c r="D580" s="871">
        <f>ROUND('eindafrekening_ kost_zorg'!$R$39,2)</f>
        <v>0</v>
      </c>
      <c r="E580" s="872" t="s">
        <v>1046</v>
      </c>
      <c r="F580" s="872" t="s">
        <v>1034</v>
      </c>
      <c r="G580" s="872"/>
      <c r="H580" s="874" t="s">
        <v>957</v>
      </c>
      <c r="I580" s="767"/>
      <c r="P580" s="700"/>
    </row>
    <row r="581" spans="1:16" x14ac:dyDescent="0.3">
      <c r="A581" s="889" t="s">
        <v>975</v>
      </c>
      <c r="B581" s="868" t="s">
        <v>1047</v>
      </c>
      <c r="C581" s="867" t="str">
        <f>IF('Overzicht BTA'!$C$42= TRUE,_xlfn.CONCAT('Upload AXI - CONF'!$A581,'Upload AXI - CONF'!$B581),"")</f>
        <v/>
      </c>
      <c r="D581" s="867">
        <f>ROUND('eindafrekening_ kost_zorg'!$R$40,2)</f>
        <v>0</v>
      </c>
      <c r="E581" s="868" t="s">
        <v>1048</v>
      </c>
      <c r="F581" s="868" t="s">
        <v>1034</v>
      </c>
      <c r="G581" s="868"/>
      <c r="H581" s="870" t="s">
        <v>957</v>
      </c>
      <c r="I581" s="767"/>
      <c r="P581" s="700"/>
    </row>
    <row r="582" spans="1:16" x14ac:dyDescent="0.3">
      <c r="A582" s="973" t="s">
        <v>975</v>
      </c>
      <c r="B582" s="872" t="s">
        <v>1049</v>
      </c>
      <c r="C582" s="871" t="str">
        <f>IF('Overzicht BTA'!$C$42= TRUE,_xlfn.CONCAT('Upload AXI - CONF'!$A582,'Upload AXI - CONF'!$B582),"")</f>
        <v/>
      </c>
      <c r="D582" s="871">
        <f>ROUND('eindafrekening_ kost_zorg'!$R$45,2)</f>
        <v>0</v>
      </c>
      <c r="E582" s="872" t="s">
        <v>1050</v>
      </c>
      <c r="F582" s="872" t="s">
        <v>1034</v>
      </c>
      <c r="G582" s="872"/>
      <c r="H582" s="874" t="s">
        <v>957</v>
      </c>
      <c r="I582" s="767"/>
      <c r="P582" s="700"/>
    </row>
    <row r="583" spans="1:16" x14ac:dyDescent="0.3">
      <c r="A583" s="889" t="s">
        <v>975</v>
      </c>
      <c r="B583" s="868" t="s">
        <v>1051</v>
      </c>
      <c r="C583" s="867" t="str">
        <f>IF('Overzicht BTA'!$C$42= TRUE,_xlfn.CONCAT('Upload AXI - CONF'!$A583,'Upload AXI - CONF'!$B583),"")</f>
        <v/>
      </c>
      <c r="D583" s="867">
        <f>ROUND('eindafrekening_ kost_zorg'!$R$49,2)</f>
        <v>0</v>
      </c>
      <c r="E583" s="868" t="s">
        <v>1081</v>
      </c>
      <c r="F583" s="868" t="s">
        <v>1034</v>
      </c>
      <c r="G583" s="868"/>
      <c r="H583" s="870" t="s">
        <v>957</v>
      </c>
      <c r="I583" s="767"/>
      <c r="P583" s="700"/>
    </row>
    <row r="584" spans="1:16" x14ac:dyDescent="0.3">
      <c r="A584" s="973" t="s">
        <v>975</v>
      </c>
      <c r="B584" s="872" t="s">
        <v>1005</v>
      </c>
      <c r="C584" s="881" t="str">
        <f>IF('Overzicht BTA'!$C$42= TRUE,_xlfn.CONCAT('Upload AXI - CONF'!$A584,'Upload AXI - CONF'!$B584),"")</f>
        <v/>
      </c>
      <c r="D584" s="881">
        <f>ROUND('uitgebreide raming'!$E$73,2)</f>
        <v>0.21</v>
      </c>
      <c r="E584" s="872" t="s">
        <v>1006</v>
      </c>
      <c r="F584" s="872" t="s">
        <v>1034</v>
      </c>
      <c r="G584" s="872"/>
      <c r="H584" s="874"/>
      <c r="I584" s="595"/>
      <c r="P584" s="700"/>
    </row>
    <row r="585" spans="1:16" x14ac:dyDescent="0.3">
      <c r="A585" s="889" t="s">
        <v>975</v>
      </c>
      <c r="B585" s="868" t="s">
        <v>1053</v>
      </c>
      <c r="C585" s="867" t="str">
        <f>IF('Overzicht BTA'!$C$42= TRUE,_xlfn.CONCAT('Upload AXI - CONF'!$A585,'Upload AXI - CONF'!$B585),"")</f>
        <v/>
      </c>
      <c r="D585" s="867">
        <f>ROUND('eindafrekening_ kost_zorg'!$R$90,2)</f>
        <v>0</v>
      </c>
      <c r="E585" s="868" t="s">
        <v>1054</v>
      </c>
      <c r="F585" s="868" t="s">
        <v>1034</v>
      </c>
      <c r="G585" s="868"/>
      <c r="H585" s="870" t="s">
        <v>957</v>
      </c>
      <c r="I585" s="767"/>
      <c r="P585" s="700"/>
    </row>
    <row r="586" spans="1:16" x14ac:dyDescent="0.3">
      <c r="A586" s="973" t="s">
        <v>975</v>
      </c>
      <c r="B586" s="872" t="s">
        <v>1055</v>
      </c>
      <c r="C586" s="871" t="str">
        <f>IF('Overzicht BTA'!$C$42= TRUE,_xlfn.CONCAT('Upload AXI - CONF'!$A586,'Upload AXI - CONF'!$B586),"")</f>
        <v/>
      </c>
      <c r="D586" s="871">
        <f>ROUND('eindafrekening_ kost_zorg'!$R$92,2)</f>
        <v>0</v>
      </c>
      <c r="E586" s="872" t="s">
        <v>1056</v>
      </c>
      <c r="F586" s="872" t="s">
        <v>1034</v>
      </c>
      <c r="G586" s="872"/>
      <c r="H586" s="874" t="s">
        <v>957</v>
      </c>
      <c r="I586" s="767"/>
      <c r="P586" s="700"/>
    </row>
    <row r="587" spans="1:16" x14ac:dyDescent="0.3">
      <c r="A587" s="889" t="s">
        <v>975</v>
      </c>
      <c r="B587" s="868" t="s">
        <v>1057</v>
      </c>
      <c r="C587" s="867" t="str">
        <f>IF('Overzicht BTA'!$C$42= TRUE,_xlfn.CONCAT('Upload AXI - CONF'!$A587,'Upload AXI - CONF'!$B587),"")</f>
        <v/>
      </c>
      <c r="D587" s="867">
        <f>ROUND('eindafrekening_ kost_zorg'!$R$91,2)</f>
        <v>0</v>
      </c>
      <c r="E587" s="868" t="s">
        <v>1058</v>
      </c>
      <c r="F587" s="868" t="s">
        <v>1034</v>
      </c>
      <c r="G587" s="868"/>
      <c r="H587" s="870" t="s">
        <v>957</v>
      </c>
      <c r="I587" s="767"/>
      <c r="P587" s="700"/>
    </row>
    <row r="588" spans="1:16" x14ac:dyDescent="0.3">
      <c r="A588" s="973"/>
      <c r="B588" s="872"/>
      <c r="C588" s="871" t="str">
        <f>IF('Overzicht BTA'!$C$42= TRUE,_xlfn.CONCAT('Upload AXI - CONF'!$A588,'Upload AXI - CONF'!$B588),"")</f>
        <v/>
      </c>
      <c r="D588" s="871">
        <f>ROUND('uitgebreide raming'!$B$80,2)</f>
        <v>0</v>
      </c>
      <c r="E588" s="872" t="s">
        <v>1082</v>
      </c>
      <c r="F588" s="872" t="s">
        <v>1034</v>
      </c>
      <c r="G588" s="872"/>
      <c r="H588" s="886" t="s">
        <v>957</v>
      </c>
      <c r="I588" s="767"/>
      <c r="P588" s="700"/>
    </row>
    <row r="589" spans="1:16" x14ac:dyDescent="0.3">
      <c r="A589" s="889" t="s">
        <v>975</v>
      </c>
      <c r="B589" s="868" t="s">
        <v>1061</v>
      </c>
      <c r="C589" s="880" t="str">
        <f>IF('Overzicht BTA'!$C$42= TRUE,_xlfn.CONCAT('Upload AXI - CONF'!$A589,'Upload AXI - CONF'!$B589),"")</f>
        <v/>
      </c>
      <c r="D589" s="880">
        <f>ROUND('Overzicht BTA'!$O$7,2)</f>
        <v>0</v>
      </c>
      <c r="E589" s="868" t="s">
        <v>1062</v>
      </c>
      <c r="F589" s="868" t="s">
        <v>1034</v>
      </c>
      <c r="G589" s="868"/>
      <c r="H589" s="870"/>
      <c r="I589" s="768"/>
      <c r="P589" s="700"/>
    </row>
    <row r="590" spans="1:16" x14ac:dyDescent="0.3">
      <c r="A590" s="973" t="s">
        <v>975</v>
      </c>
      <c r="B590" s="872" t="s">
        <v>1063</v>
      </c>
      <c r="C590" s="879" t="str">
        <f>IF('Overzicht BTA'!$C$42= TRUE,_xlfn.CONCAT('Upload AXI - CONF'!$A590,'Upload AXI - CONF'!$B590),"")</f>
        <v/>
      </c>
      <c r="D590" s="879">
        <f>ROUND('Overzicht BTA'!$P$7,2)</f>
        <v>0</v>
      </c>
      <c r="E590" s="872" t="s">
        <v>1064</v>
      </c>
      <c r="F590" s="872" t="s">
        <v>1034</v>
      </c>
      <c r="G590" s="872"/>
      <c r="H590" s="874"/>
      <c r="I590" s="768"/>
      <c r="P590" s="700"/>
    </row>
    <row r="591" spans="1:16" x14ac:dyDescent="0.3">
      <c r="A591" s="889" t="s">
        <v>975</v>
      </c>
      <c r="B591" s="868" t="s">
        <v>1065</v>
      </c>
      <c r="C591" s="878" t="str">
        <f>IF('Overzicht BTA'!$C$42= TRUE,_xlfn.CONCAT('Upload AXI - CONF'!$A591,'Upload AXI - CONF'!$B591),"")</f>
        <v/>
      </c>
      <c r="D591" s="878">
        <f>ROUND('eindafrekening_ kost_zorg'!$R$95,2)</f>
        <v>0</v>
      </c>
      <c r="E591" s="868" t="s">
        <v>1066</v>
      </c>
      <c r="F591" s="868" t="s">
        <v>1034</v>
      </c>
      <c r="G591" s="868"/>
      <c r="H591" s="870"/>
      <c r="I591" s="595"/>
      <c r="P591" s="700"/>
    </row>
    <row r="592" spans="1:16" x14ac:dyDescent="0.3">
      <c r="A592" s="973" t="s">
        <v>976</v>
      </c>
      <c r="B592" s="872" t="s">
        <v>1032</v>
      </c>
      <c r="C592" s="871" t="str">
        <f>IF('Overzicht BTA'!$C$42= TRUE,_xlfn.CONCAT('Upload AXI - CONF'!$A592,'Upload AXI - CONF'!$B592),"")</f>
        <v/>
      </c>
      <c r="D592" s="871">
        <f>ROUND('eindafrekening_ kost_zorg'!$T$41,2)</f>
        <v>0</v>
      </c>
      <c r="E592" s="872" t="s">
        <v>1033</v>
      </c>
      <c r="F592" s="872" t="s">
        <v>1034</v>
      </c>
      <c r="G592" s="872"/>
      <c r="H592" s="874" t="s">
        <v>957</v>
      </c>
      <c r="I592" s="767"/>
      <c r="P592" s="700"/>
    </row>
    <row r="593" spans="1:16" x14ac:dyDescent="0.3">
      <c r="A593" s="889" t="s">
        <v>976</v>
      </c>
      <c r="B593" s="868" t="s">
        <v>1035</v>
      </c>
      <c r="C593" s="867" t="str">
        <f>IF('Overzicht BTA'!$C$42= TRUE,_xlfn.CONCAT('Upload AXI - CONF'!$A593,'Upload AXI - CONF'!$B593),"")</f>
        <v/>
      </c>
      <c r="D593" s="867">
        <f>ROUND('eindafrekening_ kost_zorg'!$T$13,2)</f>
        <v>0</v>
      </c>
      <c r="E593" s="868" t="s">
        <v>1036</v>
      </c>
      <c r="F593" s="868" t="s">
        <v>1034</v>
      </c>
      <c r="G593" s="868"/>
      <c r="H593" s="870" t="s">
        <v>957</v>
      </c>
      <c r="I593" s="767"/>
      <c r="P593" s="700"/>
    </row>
    <row r="594" spans="1:16" x14ac:dyDescent="0.3">
      <c r="A594" s="973" t="s">
        <v>976</v>
      </c>
      <c r="B594" s="872" t="s">
        <v>1037</v>
      </c>
      <c r="C594" s="871" t="str">
        <f>IF('Overzicht BTA'!$C$42= TRUE,_xlfn.CONCAT('Upload AXI - CONF'!$A594,'Upload AXI - CONF'!$B594),"")</f>
        <v/>
      </c>
      <c r="D594" s="871">
        <f>ROUND('eindafrekening_ kost_zorg'!$T$20,2)</f>
        <v>0</v>
      </c>
      <c r="E594" s="872" t="s">
        <v>1038</v>
      </c>
      <c r="F594" s="872" t="s">
        <v>1034</v>
      </c>
      <c r="G594" s="872"/>
      <c r="H594" s="874" t="s">
        <v>957</v>
      </c>
      <c r="I594" s="767"/>
      <c r="P594" s="700"/>
    </row>
    <row r="595" spans="1:16" x14ac:dyDescent="0.3">
      <c r="A595" s="889" t="s">
        <v>976</v>
      </c>
      <c r="B595" s="868" t="s">
        <v>1039</v>
      </c>
      <c r="C595" s="867" t="str">
        <f>IF('Overzicht BTA'!$C$42= TRUE,_xlfn.CONCAT('Upload AXI - CONF'!$A595,'Upload AXI - CONF'!$B595),"")</f>
        <v/>
      </c>
      <c r="D595" s="867">
        <f>ROUND('eindafrekening_ kost_zorg'!$T$28,2)</f>
        <v>0</v>
      </c>
      <c r="E595" s="868" t="s">
        <v>1040</v>
      </c>
      <c r="F595" s="868" t="s">
        <v>1034</v>
      </c>
      <c r="G595" s="868"/>
      <c r="H595" s="870" t="s">
        <v>957</v>
      </c>
      <c r="I595" s="767"/>
      <c r="P595" s="700"/>
    </row>
    <row r="596" spans="1:16" x14ac:dyDescent="0.3">
      <c r="A596" s="973" t="s">
        <v>976</v>
      </c>
      <c r="B596" s="872" t="s">
        <v>1041</v>
      </c>
      <c r="C596" s="871" t="str">
        <f>IF('Overzicht BTA'!$C$42= TRUE,_xlfn.CONCAT('Upload AXI - CONF'!$A596,'Upload AXI - CONF'!$B596),"")</f>
        <v/>
      </c>
      <c r="D596" s="871">
        <f>ROUND('eindafrekening_ kost_zorg'!$T$37,2)</f>
        <v>0</v>
      </c>
      <c r="E596" s="872" t="s">
        <v>1042</v>
      </c>
      <c r="F596" s="872" t="s">
        <v>1034</v>
      </c>
      <c r="G596" s="872"/>
      <c r="H596" s="874" t="s">
        <v>957</v>
      </c>
      <c r="I596" s="767"/>
      <c r="P596" s="700"/>
    </row>
    <row r="597" spans="1:16" x14ac:dyDescent="0.3">
      <c r="A597" s="889" t="s">
        <v>976</v>
      </c>
      <c r="B597" s="868" t="s">
        <v>1043</v>
      </c>
      <c r="C597" s="867" t="str">
        <f>IF('Overzicht BTA'!$C$42= TRUE,_xlfn.CONCAT('Upload AXI - CONF'!$A597,'Upload AXI - CONF'!$B597),"")</f>
        <v/>
      </c>
      <c r="D597" s="867">
        <f>ROUND('eindafrekening_ kost_zorg'!$T$38,2)</f>
        <v>0</v>
      </c>
      <c r="E597" s="868" t="s">
        <v>1044</v>
      </c>
      <c r="F597" s="868" t="s">
        <v>1034</v>
      </c>
      <c r="G597" s="868"/>
      <c r="H597" s="870" t="s">
        <v>957</v>
      </c>
      <c r="I597" s="767"/>
      <c r="P597" s="700"/>
    </row>
    <row r="598" spans="1:16" x14ac:dyDescent="0.3">
      <c r="A598" s="973" t="s">
        <v>976</v>
      </c>
      <c r="B598" s="872" t="s">
        <v>1045</v>
      </c>
      <c r="C598" s="871" t="str">
        <f>IF('Overzicht BTA'!$C$42= TRUE,_xlfn.CONCAT('Upload AXI - CONF'!$A598,'Upload AXI - CONF'!$B598),"")</f>
        <v/>
      </c>
      <c r="D598" s="871">
        <f>ROUND('eindafrekening_ kost_zorg'!$T$39,2)</f>
        <v>0</v>
      </c>
      <c r="E598" s="872" t="s">
        <v>1046</v>
      </c>
      <c r="F598" s="872" t="s">
        <v>1034</v>
      </c>
      <c r="G598" s="872"/>
      <c r="H598" s="874" t="s">
        <v>957</v>
      </c>
      <c r="I598" s="767"/>
      <c r="P598" s="700"/>
    </row>
    <row r="599" spans="1:16" x14ac:dyDescent="0.3">
      <c r="A599" s="889" t="s">
        <v>976</v>
      </c>
      <c r="B599" s="868" t="s">
        <v>1047</v>
      </c>
      <c r="C599" s="867" t="str">
        <f>IF('Overzicht BTA'!$C$42= TRUE,_xlfn.CONCAT('Upload AXI - CONF'!$A599,'Upload AXI - CONF'!$B599),"")</f>
        <v/>
      </c>
      <c r="D599" s="867">
        <f>ROUND('eindafrekening_ kost_zorg'!$T$40,2)</f>
        <v>0</v>
      </c>
      <c r="E599" s="868" t="s">
        <v>1048</v>
      </c>
      <c r="F599" s="868" t="s">
        <v>1034</v>
      </c>
      <c r="G599" s="868"/>
      <c r="H599" s="870" t="s">
        <v>957</v>
      </c>
      <c r="I599" s="767"/>
      <c r="P599" s="700"/>
    </row>
    <row r="600" spans="1:16" x14ac:dyDescent="0.3">
      <c r="A600" s="973" t="s">
        <v>976</v>
      </c>
      <c r="B600" s="872" t="s">
        <v>1049</v>
      </c>
      <c r="C600" s="871" t="str">
        <f>IF('Overzicht BTA'!$C$42= TRUE,_xlfn.CONCAT('Upload AXI - CONF'!$A600,'Upload AXI - CONF'!$B600),"")</f>
        <v/>
      </c>
      <c r="D600" s="871">
        <f>ROUND('eindafrekening_ kost_zorg'!$T$45,2)</f>
        <v>0</v>
      </c>
      <c r="E600" s="872" t="s">
        <v>1050</v>
      </c>
      <c r="F600" s="872" t="s">
        <v>1034</v>
      </c>
      <c r="G600" s="872"/>
      <c r="H600" s="874" t="s">
        <v>957</v>
      </c>
      <c r="I600" s="767"/>
      <c r="P600" s="700"/>
    </row>
    <row r="601" spans="1:16" x14ac:dyDescent="0.3">
      <c r="A601" s="889" t="s">
        <v>976</v>
      </c>
      <c r="B601" s="868" t="s">
        <v>1051</v>
      </c>
      <c r="C601" s="867" t="str">
        <f>IF('Overzicht BTA'!$C$42= TRUE,_xlfn.CONCAT('Upload AXI - CONF'!$A601,'Upload AXI - CONF'!$B601),"")</f>
        <v/>
      </c>
      <c r="D601" s="867">
        <f>ROUND('eindafrekening_ kost_zorg'!$T$49,2)</f>
        <v>0</v>
      </c>
      <c r="E601" s="868" t="s">
        <v>1083</v>
      </c>
      <c r="F601" s="868" t="s">
        <v>1034</v>
      </c>
      <c r="G601" s="868"/>
      <c r="H601" s="870" t="s">
        <v>957</v>
      </c>
      <c r="I601" s="767"/>
      <c r="P601" s="700"/>
    </row>
    <row r="602" spans="1:16" x14ac:dyDescent="0.3">
      <c r="A602" s="973" t="s">
        <v>976</v>
      </c>
      <c r="B602" s="872" t="s">
        <v>1005</v>
      </c>
      <c r="C602" s="881" t="str">
        <f>IF('Overzicht BTA'!$C$42= TRUE,_xlfn.CONCAT('Upload AXI - CONF'!$A602,'Upload AXI - CONF'!$B602),"")</f>
        <v/>
      </c>
      <c r="D602" s="881">
        <f>ROUND('uitgebreide raming'!$E$73,2)</f>
        <v>0.21</v>
      </c>
      <c r="E602" s="872" t="s">
        <v>1006</v>
      </c>
      <c r="F602" s="872" t="s">
        <v>1034</v>
      </c>
      <c r="G602" s="872"/>
      <c r="H602" s="874"/>
      <c r="I602" s="595"/>
      <c r="P602" s="700"/>
    </row>
    <row r="603" spans="1:16" x14ac:dyDescent="0.3">
      <c r="A603" s="889" t="s">
        <v>976</v>
      </c>
      <c r="B603" s="868" t="s">
        <v>1053</v>
      </c>
      <c r="C603" s="867" t="str">
        <f>IF('Overzicht BTA'!$C$42= TRUE,_xlfn.CONCAT('Upload AXI - CONF'!$A603,'Upload AXI - CONF'!$B603),"")</f>
        <v/>
      </c>
      <c r="D603" s="867">
        <f>ROUND('eindafrekening_ kost_zorg'!$T$90,2)</f>
        <v>0</v>
      </c>
      <c r="E603" s="868" t="s">
        <v>1054</v>
      </c>
      <c r="F603" s="868" t="s">
        <v>1034</v>
      </c>
      <c r="G603" s="868"/>
      <c r="H603" s="870" t="s">
        <v>957</v>
      </c>
      <c r="I603" s="767"/>
      <c r="P603" s="700"/>
    </row>
    <row r="604" spans="1:16" x14ac:dyDescent="0.3">
      <c r="A604" s="973" t="s">
        <v>976</v>
      </c>
      <c r="B604" s="872" t="s">
        <v>1055</v>
      </c>
      <c r="C604" s="871" t="str">
        <f>IF('Overzicht BTA'!$C$42= TRUE,_xlfn.CONCAT('Upload AXI - CONF'!$A604,'Upload AXI - CONF'!$B604),"")</f>
        <v/>
      </c>
      <c r="D604" s="871">
        <f>ROUND('eindafrekening_ kost_zorg'!$T$92,2)</f>
        <v>0</v>
      </c>
      <c r="E604" s="872" t="s">
        <v>1056</v>
      </c>
      <c r="F604" s="872" t="s">
        <v>1034</v>
      </c>
      <c r="G604" s="872"/>
      <c r="H604" s="874" t="s">
        <v>957</v>
      </c>
      <c r="I604" s="767"/>
      <c r="P604" s="700"/>
    </row>
    <row r="605" spans="1:16" x14ac:dyDescent="0.3">
      <c r="A605" s="889" t="s">
        <v>976</v>
      </c>
      <c r="B605" s="868" t="s">
        <v>1057</v>
      </c>
      <c r="C605" s="867" t="str">
        <f>IF('Overzicht BTA'!$C$42= TRUE,_xlfn.CONCAT('Upload AXI - CONF'!$A605,'Upload AXI - CONF'!$B605),"")</f>
        <v/>
      </c>
      <c r="D605" s="867">
        <f>ROUND('eindafrekening_ kost_zorg'!$T$91,2)</f>
        <v>0</v>
      </c>
      <c r="E605" s="868" t="s">
        <v>1058</v>
      </c>
      <c r="F605" s="868" t="s">
        <v>1034</v>
      </c>
      <c r="G605" s="868"/>
      <c r="H605" s="870" t="s">
        <v>957</v>
      </c>
      <c r="I605" s="767"/>
      <c r="P605" s="700"/>
    </row>
    <row r="606" spans="1:16" x14ac:dyDescent="0.3">
      <c r="A606" s="973"/>
      <c r="B606" s="872"/>
      <c r="C606" s="871" t="str">
        <f>IF('Overzicht BTA'!$C$42= TRUE,_xlfn.CONCAT('Upload AXI - CONF'!$A606,'Upload AXI - CONF'!$B606),"")</f>
        <v/>
      </c>
      <c r="D606" s="871">
        <f>ROUND('uitgebreide raming'!$D$80,2)</f>
        <v>0</v>
      </c>
      <c r="E606" s="872" t="s">
        <v>1084</v>
      </c>
      <c r="F606" s="872" t="s">
        <v>1034</v>
      </c>
      <c r="G606" s="872"/>
      <c r="H606" s="886" t="s">
        <v>957</v>
      </c>
      <c r="I606" s="767"/>
      <c r="P606" s="700"/>
    </row>
    <row r="607" spans="1:16" x14ac:dyDescent="0.3">
      <c r="A607" s="889" t="s">
        <v>976</v>
      </c>
      <c r="B607" s="868" t="s">
        <v>1061</v>
      </c>
      <c r="C607" s="880" t="str">
        <f>IF('Overzicht BTA'!$C$42= TRUE,_xlfn.CONCAT('Upload AXI - CONF'!$A607,'Upload AXI - CONF'!$B607),"")</f>
        <v/>
      </c>
      <c r="D607" s="880">
        <f>ROUND('Overzicht BTA'!$O$8,0)</f>
        <v>0</v>
      </c>
      <c r="E607" s="868" t="s">
        <v>1062</v>
      </c>
      <c r="F607" s="868" t="s">
        <v>1034</v>
      </c>
      <c r="G607" s="868"/>
      <c r="H607" s="870"/>
      <c r="I607" s="768"/>
      <c r="P607" s="700"/>
    </row>
    <row r="608" spans="1:16" x14ac:dyDescent="0.3">
      <c r="A608" s="973" t="s">
        <v>976</v>
      </c>
      <c r="B608" s="872" t="s">
        <v>1063</v>
      </c>
      <c r="C608" s="879" t="str">
        <f>IF('Overzicht BTA'!$C$42= TRUE,_xlfn.CONCAT('Upload AXI - CONF'!$A608,'Upload AXI - CONF'!$B608),"")</f>
        <v/>
      </c>
      <c r="D608" s="879">
        <f>ROUND('Overzicht BTA'!$P$8,0)</f>
        <v>0</v>
      </c>
      <c r="E608" s="872" t="s">
        <v>1064</v>
      </c>
      <c r="F608" s="872" t="s">
        <v>1034</v>
      </c>
      <c r="G608" s="872"/>
      <c r="H608" s="874"/>
      <c r="I608" s="768"/>
      <c r="P608" s="700"/>
    </row>
    <row r="609" spans="1:16" x14ac:dyDescent="0.3">
      <c r="A609" s="889" t="s">
        <v>976</v>
      </c>
      <c r="B609" s="868" t="s">
        <v>1065</v>
      </c>
      <c r="C609" s="878" t="str">
        <f>IF('Overzicht BTA'!$C$42= TRUE,_xlfn.CONCAT('Upload AXI - CONF'!$A609,'Upload AXI - CONF'!$B609),"")</f>
        <v/>
      </c>
      <c r="D609" s="878">
        <f>ROUND('eindafrekening_ kost_zorg'!$T$95,2)</f>
        <v>0</v>
      </c>
      <c r="E609" s="868" t="s">
        <v>1066</v>
      </c>
      <c r="F609" s="868" t="s">
        <v>1034</v>
      </c>
      <c r="G609" s="868"/>
      <c r="H609" s="870"/>
      <c r="I609" s="595"/>
      <c r="P609" s="700"/>
    </row>
    <row r="610" spans="1:16" x14ac:dyDescent="0.3">
      <c r="A610" s="973" t="s">
        <v>977</v>
      </c>
      <c r="B610" s="872" t="s">
        <v>1032</v>
      </c>
      <c r="C610" s="871" t="str">
        <f>IF('Overzicht BTA'!$C$42= TRUE,_xlfn.CONCAT('Upload AXI - CONF'!$A610,'Upload AXI - CONF'!$B610),"")</f>
        <v/>
      </c>
      <c r="D610" s="871">
        <f>ROUND('eindafrekening_ kost_zorg'!$V$41,2)</f>
        <v>0</v>
      </c>
      <c r="E610" s="872" t="s">
        <v>1033</v>
      </c>
      <c r="F610" s="872" t="s">
        <v>1034</v>
      </c>
      <c r="G610" s="872"/>
      <c r="H610" s="874" t="s">
        <v>957</v>
      </c>
      <c r="I610" s="767"/>
      <c r="P610" s="700"/>
    </row>
    <row r="611" spans="1:16" x14ac:dyDescent="0.3">
      <c r="A611" s="889" t="s">
        <v>977</v>
      </c>
      <c r="B611" s="868" t="s">
        <v>1035</v>
      </c>
      <c r="C611" s="867" t="str">
        <f>IF('Overzicht BTA'!$C$42= TRUE,_xlfn.CONCAT('Upload AXI - CONF'!$A611,'Upload AXI - CONF'!$B611),"")</f>
        <v/>
      </c>
      <c r="D611" s="867">
        <f>ROUND('eindafrekening_ kost_zorg'!$V$13,2)</f>
        <v>0</v>
      </c>
      <c r="E611" s="868" t="s">
        <v>1036</v>
      </c>
      <c r="F611" s="868" t="s">
        <v>1034</v>
      </c>
      <c r="G611" s="868"/>
      <c r="H611" s="870" t="s">
        <v>957</v>
      </c>
      <c r="I611" s="767"/>
      <c r="P611" s="700"/>
    </row>
    <row r="612" spans="1:16" x14ac:dyDescent="0.3">
      <c r="A612" s="973" t="s">
        <v>977</v>
      </c>
      <c r="B612" s="872" t="s">
        <v>1037</v>
      </c>
      <c r="C612" s="871" t="str">
        <f>IF('Overzicht BTA'!$C$42= TRUE,_xlfn.CONCAT('Upload AXI - CONF'!$A612,'Upload AXI - CONF'!$B612),"")</f>
        <v/>
      </c>
      <c r="D612" s="871">
        <f>ROUND('eindafrekening_ kost_zorg'!$V$20,2)</f>
        <v>0</v>
      </c>
      <c r="E612" s="872" t="s">
        <v>1038</v>
      </c>
      <c r="F612" s="872" t="s">
        <v>1034</v>
      </c>
      <c r="G612" s="872"/>
      <c r="H612" s="874" t="s">
        <v>957</v>
      </c>
      <c r="I612" s="767"/>
      <c r="P612" s="700"/>
    </row>
    <row r="613" spans="1:16" x14ac:dyDescent="0.3">
      <c r="A613" s="889" t="s">
        <v>977</v>
      </c>
      <c r="B613" s="868" t="s">
        <v>1039</v>
      </c>
      <c r="C613" s="867" t="str">
        <f>IF('Overzicht BTA'!$C$42= TRUE,_xlfn.CONCAT('Upload AXI - CONF'!$A613,'Upload AXI - CONF'!$B613),"")</f>
        <v/>
      </c>
      <c r="D613" s="867">
        <f>ROUND('eindafrekening_ kost_zorg'!$V$28,2)</f>
        <v>0</v>
      </c>
      <c r="E613" s="868" t="s">
        <v>1040</v>
      </c>
      <c r="F613" s="868" t="s">
        <v>1034</v>
      </c>
      <c r="G613" s="868"/>
      <c r="H613" s="870" t="s">
        <v>957</v>
      </c>
      <c r="I613" s="767"/>
      <c r="P613" s="700"/>
    </row>
    <row r="614" spans="1:16" x14ac:dyDescent="0.3">
      <c r="A614" s="973" t="s">
        <v>977</v>
      </c>
      <c r="B614" s="872" t="s">
        <v>1041</v>
      </c>
      <c r="C614" s="871" t="str">
        <f>IF('Overzicht BTA'!$C$42= TRUE,_xlfn.CONCAT('Upload AXI - CONF'!$A614,'Upload AXI - CONF'!$B614),"")</f>
        <v/>
      </c>
      <c r="D614" s="871">
        <f>ROUND('eindafrekening_ kost_zorg'!$V$37,2)</f>
        <v>0</v>
      </c>
      <c r="E614" s="872" t="s">
        <v>1042</v>
      </c>
      <c r="F614" s="872" t="s">
        <v>1034</v>
      </c>
      <c r="G614" s="872"/>
      <c r="H614" s="874" t="s">
        <v>957</v>
      </c>
      <c r="I614" s="767"/>
      <c r="P614" s="700"/>
    </row>
    <row r="615" spans="1:16" x14ac:dyDescent="0.3">
      <c r="A615" s="889" t="s">
        <v>977</v>
      </c>
      <c r="B615" s="868" t="s">
        <v>1043</v>
      </c>
      <c r="C615" s="867" t="str">
        <f>IF('Overzicht BTA'!$C$42= TRUE,_xlfn.CONCAT('Upload AXI - CONF'!$A615,'Upload AXI - CONF'!$B615),"")</f>
        <v/>
      </c>
      <c r="D615" s="867">
        <f>ROUND('eindafrekening_ kost_zorg'!$V$38,2)</f>
        <v>0</v>
      </c>
      <c r="E615" s="868" t="s">
        <v>1044</v>
      </c>
      <c r="F615" s="868" t="s">
        <v>1034</v>
      </c>
      <c r="G615" s="868"/>
      <c r="H615" s="870" t="s">
        <v>957</v>
      </c>
      <c r="I615" s="767"/>
      <c r="P615" s="700"/>
    </row>
    <row r="616" spans="1:16" x14ac:dyDescent="0.3">
      <c r="A616" s="973" t="s">
        <v>977</v>
      </c>
      <c r="B616" s="872" t="s">
        <v>1045</v>
      </c>
      <c r="C616" s="871" t="str">
        <f>IF('Overzicht BTA'!$C$42= TRUE,_xlfn.CONCAT('Upload AXI - CONF'!$A616,'Upload AXI - CONF'!$B616),"")</f>
        <v/>
      </c>
      <c r="D616" s="871">
        <f>ROUND('eindafrekening_ kost_zorg'!$V$39,2)</f>
        <v>0</v>
      </c>
      <c r="E616" s="872" t="s">
        <v>1046</v>
      </c>
      <c r="F616" s="872" t="s">
        <v>1034</v>
      </c>
      <c r="G616" s="872"/>
      <c r="H616" s="874" t="s">
        <v>957</v>
      </c>
      <c r="I616" s="767"/>
      <c r="P616" s="700"/>
    </row>
    <row r="617" spans="1:16" x14ac:dyDescent="0.3">
      <c r="A617" s="889" t="s">
        <v>977</v>
      </c>
      <c r="B617" s="868" t="s">
        <v>1047</v>
      </c>
      <c r="C617" s="867" t="str">
        <f>IF('Overzicht BTA'!$C$42= TRUE,_xlfn.CONCAT('Upload AXI - CONF'!$A617,'Upload AXI - CONF'!$B617),"")</f>
        <v/>
      </c>
      <c r="D617" s="867">
        <f>ROUND('eindafrekening_ kost_zorg'!$V$40,2)</f>
        <v>0</v>
      </c>
      <c r="E617" s="868" t="s">
        <v>1048</v>
      </c>
      <c r="F617" s="868" t="s">
        <v>1034</v>
      </c>
      <c r="G617" s="868"/>
      <c r="H617" s="870" t="s">
        <v>957</v>
      </c>
      <c r="I617" s="767"/>
      <c r="P617" s="700"/>
    </row>
    <row r="618" spans="1:16" x14ac:dyDescent="0.3">
      <c r="A618" s="973" t="s">
        <v>977</v>
      </c>
      <c r="B618" s="872" t="s">
        <v>1049</v>
      </c>
      <c r="C618" s="871" t="str">
        <f>IF('Overzicht BTA'!$C$42= TRUE,_xlfn.CONCAT('Upload AXI - CONF'!$A618,'Upload AXI - CONF'!$B618),"")</f>
        <v/>
      </c>
      <c r="D618" s="871">
        <f>ROUND('eindafrekening_ kost_zorg'!$V$45,2)</f>
        <v>0</v>
      </c>
      <c r="E618" s="872" t="s">
        <v>1050</v>
      </c>
      <c r="F618" s="872" t="s">
        <v>1034</v>
      </c>
      <c r="G618" s="872"/>
      <c r="H618" s="874" t="s">
        <v>957</v>
      </c>
      <c r="I618" s="767"/>
      <c r="P618" s="700"/>
    </row>
    <row r="619" spans="1:16" x14ac:dyDescent="0.3">
      <c r="A619" s="889" t="s">
        <v>977</v>
      </c>
      <c r="B619" s="868" t="s">
        <v>1051</v>
      </c>
      <c r="C619" s="867" t="str">
        <f>IF('Overzicht BTA'!$C$42= TRUE,_xlfn.CONCAT('Upload AXI - CONF'!$A619,'Upload AXI - CONF'!$B619),"")</f>
        <v/>
      </c>
      <c r="D619" s="867">
        <f>ROUND('eindafrekening_ kost_zorg'!$V$49,2)</f>
        <v>0</v>
      </c>
      <c r="E619" s="868" t="s">
        <v>1085</v>
      </c>
      <c r="F619" s="868" t="s">
        <v>1034</v>
      </c>
      <c r="G619" s="868"/>
      <c r="H619" s="870" t="s">
        <v>957</v>
      </c>
      <c r="I619" s="767"/>
      <c r="P619" s="700"/>
    </row>
    <row r="620" spans="1:16" x14ac:dyDescent="0.3">
      <c r="A620" s="973" t="s">
        <v>977</v>
      </c>
      <c r="B620" s="872" t="s">
        <v>1005</v>
      </c>
      <c r="C620" s="881" t="str">
        <f>IF('Overzicht BTA'!$C$42= TRUE,_xlfn.CONCAT('Upload AXI - CONF'!$A620,'Upload AXI - CONF'!$B620),"")</f>
        <v/>
      </c>
      <c r="D620" s="881">
        <f>ROUND('uitgebreide raming'!$G$73,2)</f>
        <v>0.21</v>
      </c>
      <c r="E620" s="872" t="s">
        <v>1006</v>
      </c>
      <c r="F620" s="872" t="s">
        <v>1034</v>
      </c>
      <c r="G620" s="872"/>
      <c r="H620" s="874"/>
      <c r="I620" s="595"/>
      <c r="P620" s="700"/>
    </row>
    <row r="621" spans="1:16" x14ac:dyDescent="0.3">
      <c r="A621" s="889" t="s">
        <v>977</v>
      </c>
      <c r="B621" s="868" t="s">
        <v>1053</v>
      </c>
      <c r="C621" s="867" t="str">
        <f>IF('Overzicht BTA'!$C$42= TRUE,_xlfn.CONCAT('Upload AXI - CONF'!$A621,'Upload AXI - CONF'!$B621),"")</f>
        <v/>
      </c>
      <c r="D621" s="867">
        <f>ROUND('eindafrekening_ kost_zorg'!$V$90,2)</f>
        <v>0</v>
      </c>
      <c r="E621" s="868" t="s">
        <v>1054</v>
      </c>
      <c r="F621" s="868" t="s">
        <v>1034</v>
      </c>
      <c r="G621" s="868"/>
      <c r="H621" s="870" t="s">
        <v>957</v>
      </c>
      <c r="I621" s="767"/>
      <c r="P621" s="700"/>
    </row>
    <row r="622" spans="1:16" x14ac:dyDescent="0.3">
      <c r="A622" s="973" t="s">
        <v>977</v>
      </c>
      <c r="B622" s="872" t="s">
        <v>1055</v>
      </c>
      <c r="C622" s="871" t="str">
        <f>IF('Overzicht BTA'!$C$42= TRUE,_xlfn.CONCAT('Upload AXI - CONF'!$A622,'Upload AXI - CONF'!$B622),"")</f>
        <v/>
      </c>
      <c r="D622" s="871">
        <f>ROUND('eindafrekening_ kost_zorg'!$V$92,2)</f>
        <v>0</v>
      </c>
      <c r="E622" s="872" t="s">
        <v>1056</v>
      </c>
      <c r="F622" s="872" t="s">
        <v>1034</v>
      </c>
      <c r="G622" s="872"/>
      <c r="H622" s="874" t="s">
        <v>957</v>
      </c>
      <c r="I622" s="767"/>
      <c r="P622" s="700"/>
    </row>
    <row r="623" spans="1:16" x14ac:dyDescent="0.3">
      <c r="A623" s="889" t="s">
        <v>977</v>
      </c>
      <c r="B623" s="868" t="s">
        <v>1057</v>
      </c>
      <c r="C623" s="867" t="str">
        <f>IF('Overzicht BTA'!$C$42= TRUE,_xlfn.CONCAT('Upload AXI - CONF'!$A623,'Upload AXI - CONF'!$B623),"")</f>
        <v/>
      </c>
      <c r="D623" s="867">
        <f>ROUND('eindafrekening_ kost_zorg'!$V$91,2)</f>
        <v>0</v>
      </c>
      <c r="E623" s="868" t="s">
        <v>1058</v>
      </c>
      <c r="F623" s="868" t="s">
        <v>1034</v>
      </c>
      <c r="G623" s="868"/>
      <c r="H623" s="870" t="s">
        <v>957</v>
      </c>
      <c r="I623" s="767"/>
      <c r="P623" s="700"/>
    </row>
    <row r="624" spans="1:16" x14ac:dyDescent="0.3">
      <c r="A624" s="973"/>
      <c r="B624" s="872"/>
      <c r="C624" s="871" t="str">
        <f>IF('Overzicht BTA'!$C$42= TRUE,_xlfn.CONCAT('Upload AXI - CONF'!$A624,'Upload AXI - CONF'!$B624),"")</f>
        <v/>
      </c>
      <c r="D624" s="871">
        <f>ROUND('uitgebreide raming'!$F$80,2)</f>
        <v>0</v>
      </c>
      <c r="E624" s="872" t="s">
        <v>1086</v>
      </c>
      <c r="F624" s="872" t="s">
        <v>1034</v>
      </c>
      <c r="G624" s="872"/>
      <c r="H624" s="886" t="s">
        <v>957</v>
      </c>
      <c r="I624" s="767"/>
      <c r="P624" s="700"/>
    </row>
    <row r="625" spans="1:16" x14ac:dyDescent="0.3">
      <c r="A625" s="889" t="s">
        <v>977</v>
      </c>
      <c r="B625" s="868" t="s">
        <v>1061</v>
      </c>
      <c r="C625" s="880" t="str">
        <f>IF('Overzicht BTA'!$C$42= TRUE,_xlfn.CONCAT('Upload AXI - CONF'!$A625,'Upload AXI - CONF'!$B625),"")</f>
        <v/>
      </c>
      <c r="D625" s="880">
        <f>ROUND('Overzicht BTA'!$O$9,2)</f>
        <v>0</v>
      </c>
      <c r="E625" s="868" t="s">
        <v>1062</v>
      </c>
      <c r="F625" s="868" t="s">
        <v>1034</v>
      </c>
      <c r="G625" s="868"/>
      <c r="H625" s="870"/>
      <c r="I625" s="768"/>
      <c r="P625" s="700"/>
    </row>
    <row r="626" spans="1:16" x14ac:dyDescent="0.3">
      <c r="A626" s="973" t="s">
        <v>977</v>
      </c>
      <c r="B626" s="872" t="s">
        <v>1063</v>
      </c>
      <c r="C626" s="879" t="str">
        <f>IF('Overzicht BTA'!$C$42= TRUE,_xlfn.CONCAT('Upload AXI - CONF'!$A626,'Upload AXI - CONF'!$B626),"")</f>
        <v/>
      </c>
      <c r="D626" s="879">
        <f>ROUND('Overzicht BTA'!$P$9,2)</f>
        <v>0</v>
      </c>
      <c r="E626" s="872" t="s">
        <v>1064</v>
      </c>
      <c r="F626" s="872" t="s">
        <v>1034</v>
      </c>
      <c r="G626" s="872"/>
      <c r="H626" s="874"/>
      <c r="I626" s="768"/>
      <c r="P626" s="700"/>
    </row>
    <row r="627" spans="1:16" x14ac:dyDescent="0.3">
      <c r="A627" s="889" t="s">
        <v>977</v>
      </c>
      <c r="B627" s="868" t="s">
        <v>1065</v>
      </c>
      <c r="C627" s="878" t="str">
        <f>IF('Overzicht BTA'!$C$42= TRUE,_xlfn.CONCAT('Upload AXI - CONF'!$A627,'Upload AXI - CONF'!$B627),"")</f>
        <v/>
      </c>
      <c r="D627" s="878">
        <f>ROUND('eindafrekening_ kost_zorg'!$V$95,2)</f>
        <v>0</v>
      </c>
      <c r="E627" s="868" t="s">
        <v>1066</v>
      </c>
      <c r="F627" s="868" t="s">
        <v>1034</v>
      </c>
      <c r="G627" s="868"/>
      <c r="H627" s="870"/>
      <c r="I627" s="595"/>
      <c r="P627" s="700"/>
    </row>
    <row r="628" spans="1:16" x14ac:dyDescent="0.3">
      <c r="A628" s="973" t="s">
        <v>978</v>
      </c>
      <c r="B628" s="872" t="s">
        <v>1032</v>
      </c>
      <c r="C628" s="871" t="str">
        <f>IF('Overzicht BTA'!$C$42= TRUE,_xlfn.CONCAT('Upload AXI - CONF'!$A628,'Upload AXI - CONF'!$B628),"")</f>
        <v/>
      </c>
      <c r="D628" s="871">
        <f>ROUND('eindafrekening_ kost_zorg'!$X$41,2)</f>
        <v>0</v>
      </c>
      <c r="E628" s="872" t="s">
        <v>1033</v>
      </c>
      <c r="F628" s="872" t="s">
        <v>1034</v>
      </c>
      <c r="G628" s="872"/>
      <c r="H628" s="874" t="s">
        <v>957</v>
      </c>
      <c r="I628" s="767"/>
      <c r="P628" s="700"/>
    </row>
    <row r="629" spans="1:16" x14ac:dyDescent="0.3">
      <c r="A629" s="889" t="s">
        <v>978</v>
      </c>
      <c r="B629" s="868" t="s">
        <v>1035</v>
      </c>
      <c r="C629" s="867" t="str">
        <f>IF('Overzicht BTA'!$C$42= TRUE,_xlfn.CONCAT('Upload AXI - CONF'!$A629,'Upload AXI - CONF'!$B629),"")</f>
        <v/>
      </c>
      <c r="D629" s="867">
        <f>ROUND('eindafrekening_ kost_zorg'!$X$13,2)</f>
        <v>0</v>
      </c>
      <c r="E629" s="868" t="s">
        <v>1036</v>
      </c>
      <c r="F629" s="868" t="s">
        <v>1034</v>
      </c>
      <c r="G629" s="868"/>
      <c r="H629" s="870" t="s">
        <v>957</v>
      </c>
      <c r="I629" s="767"/>
      <c r="P629" s="700"/>
    </row>
    <row r="630" spans="1:16" x14ac:dyDescent="0.3">
      <c r="A630" s="973" t="s">
        <v>978</v>
      </c>
      <c r="B630" s="872" t="s">
        <v>1037</v>
      </c>
      <c r="C630" s="871" t="str">
        <f>IF('Overzicht BTA'!$C$42= TRUE,_xlfn.CONCAT('Upload AXI - CONF'!$A630,'Upload AXI - CONF'!$B630),"")</f>
        <v/>
      </c>
      <c r="D630" s="871">
        <f>ROUND('eindafrekening_ kost_zorg'!$X$20,2)</f>
        <v>0</v>
      </c>
      <c r="E630" s="872" t="s">
        <v>1038</v>
      </c>
      <c r="F630" s="872" t="s">
        <v>1034</v>
      </c>
      <c r="G630" s="872"/>
      <c r="H630" s="874" t="s">
        <v>957</v>
      </c>
      <c r="I630" s="767"/>
      <c r="P630" s="700"/>
    </row>
    <row r="631" spans="1:16" x14ac:dyDescent="0.3">
      <c r="A631" s="889" t="s">
        <v>978</v>
      </c>
      <c r="B631" s="868" t="s">
        <v>1039</v>
      </c>
      <c r="C631" s="867" t="str">
        <f>IF('Overzicht BTA'!$C$42= TRUE,_xlfn.CONCAT('Upload AXI - CONF'!$A631,'Upload AXI - CONF'!$B631),"")</f>
        <v/>
      </c>
      <c r="D631" s="867">
        <f>ROUND('eindafrekening_ kost_zorg'!$X$28,2)</f>
        <v>0</v>
      </c>
      <c r="E631" s="868" t="s">
        <v>1040</v>
      </c>
      <c r="F631" s="868" t="s">
        <v>1034</v>
      </c>
      <c r="G631" s="868"/>
      <c r="H631" s="870" t="s">
        <v>957</v>
      </c>
      <c r="I631" s="767"/>
      <c r="P631" s="700"/>
    </row>
    <row r="632" spans="1:16" x14ac:dyDescent="0.3">
      <c r="A632" s="973" t="s">
        <v>978</v>
      </c>
      <c r="B632" s="872" t="s">
        <v>1041</v>
      </c>
      <c r="C632" s="871" t="str">
        <f>IF('Overzicht BTA'!$C$42= TRUE,_xlfn.CONCAT('Upload AXI - CONF'!$A632,'Upload AXI - CONF'!$B632),"")</f>
        <v/>
      </c>
      <c r="D632" s="871">
        <f>ROUND('eindafrekening_ kost_zorg'!$X$37,2)</f>
        <v>0</v>
      </c>
      <c r="E632" s="872" t="s">
        <v>1042</v>
      </c>
      <c r="F632" s="872" t="s">
        <v>1034</v>
      </c>
      <c r="G632" s="872"/>
      <c r="H632" s="874" t="s">
        <v>957</v>
      </c>
      <c r="I632" s="767"/>
      <c r="P632" s="700"/>
    </row>
    <row r="633" spans="1:16" x14ac:dyDescent="0.3">
      <c r="A633" s="889" t="s">
        <v>978</v>
      </c>
      <c r="B633" s="868" t="s">
        <v>1043</v>
      </c>
      <c r="C633" s="867" t="str">
        <f>IF('Overzicht BTA'!$C$42= TRUE,_xlfn.CONCAT('Upload AXI - CONF'!$A633,'Upload AXI - CONF'!$B633),"")</f>
        <v/>
      </c>
      <c r="D633" s="867">
        <f>ROUND('eindafrekening_ kost_zorg'!$X$38,2)</f>
        <v>0</v>
      </c>
      <c r="E633" s="868" t="s">
        <v>1044</v>
      </c>
      <c r="F633" s="868" t="s">
        <v>1034</v>
      </c>
      <c r="G633" s="868"/>
      <c r="H633" s="870" t="s">
        <v>957</v>
      </c>
      <c r="I633" s="767"/>
      <c r="P633" s="700"/>
    </row>
    <row r="634" spans="1:16" x14ac:dyDescent="0.3">
      <c r="A634" s="973" t="s">
        <v>978</v>
      </c>
      <c r="B634" s="872" t="s">
        <v>1045</v>
      </c>
      <c r="C634" s="871" t="str">
        <f>IF('Overzicht BTA'!$C$42= TRUE,_xlfn.CONCAT('Upload AXI - CONF'!$A634,'Upload AXI - CONF'!$B634),"")</f>
        <v/>
      </c>
      <c r="D634" s="871">
        <f>ROUND('eindafrekening_ kost_zorg'!$X$39,2)</f>
        <v>0</v>
      </c>
      <c r="E634" s="872" t="s">
        <v>1046</v>
      </c>
      <c r="F634" s="872" t="s">
        <v>1034</v>
      </c>
      <c r="G634" s="872"/>
      <c r="H634" s="874" t="s">
        <v>957</v>
      </c>
      <c r="I634" s="767"/>
      <c r="P634" s="700"/>
    </row>
    <row r="635" spans="1:16" x14ac:dyDescent="0.3">
      <c r="A635" s="889" t="s">
        <v>978</v>
      </c>
      <c r="B635" s="868" t="s">
        <v>1047</v>
      </c>
      <c r="C635" s="867" t="str">
        <f>IF('Overzicht BTA'!$C$42= TRUE,_xlfn.CONCAT('Upload AXI - CONF'!$A635,'Upload AXI - CONF'!$B635),"")</f>
        <v/>
      </c>
      <c r="D635" s="867">
        <f>ROUND('eindafrekening_ kost_zorg'!$X$40,2)</f>
        <v>0</v>
      </c>
      <c r="E635" s="868" t="s">
        <v>1048</v>
      </c>
      <c r="F635" s="868" t="s">
        <v>1034</v>
      </c>
      <c r="G635" s="868"/>
      <c r="H635" s="870" t="s">
        <v>957</v>
      </c>
      <c r="I635" s="767"/>
      <c r="P635" s="700"/>
    </row>
    <row r="636" spans="1:16" x14ac:dyDescent="0.3">
      <c r="A636" s="973" t="s">
        <v>978</v>
      </c>
      <c r="B636" s="872" t="s">
        <v>1049</v>
      </c>
      <c r="C636" s="871" t="str">
        <f>IF('Overzicht BTA'!$C$42= TRUE,_xlfn.CONCAT('Upload AXI - CONF'!$A636,'Upload AXI - CONF'!$B636),"")</f>
        <v/>
      </c>
      <c r="D636" s="871">
        <f>ROUND('eindafrekening_ kost_zorg'!$X$45,2)</f>
        <v>0</v>
      </c>
      <c r="E636" s="872" t="s">
        <v>1050</v>
      </c>
      <c r="F636" s="872" t="s">
        <v>1034</v>
      </c>
      <c r="G636" s="872"/>
      <c r="H636" s="874" t="s">
        <v>957</v>
      </c>
      <c r="I636" s="767"/>
      <c r="P636" s="700"/>
    </row>
    <row r="637" spans="1:16" x14ac:dyDescent="0.3">
      <c r="A637" s="889" t="s">
        <v>978</v>
      </c>
      <c r="B637" s="868" t="s">
        <v>1051</v>
      </c>
      <c r="C637" s="867" t="str">
        <f>IF('Overzicht BTA'!$C$42= TRUE,_xlfn.CONCAT('Upload AXI - CONF'!$A637,'Upload AXI - CONF'!$B637),"")</f>
        <v/>
      </c>
      <c r="D637" s="867">
        <f>ROUND('eindafrekening_ kost_zorg'!$X$49,2)</f>
        <v>0</v>
      </c>
      <c r="E637" s="868" t="s">
        <v>1087</v>
      </c>
      <c r="F637" s="868" t="s">
        <v>1034</v>
      </c>
      <c r="G637" s="868"/>
      <c r="H637" s="870" t="s">
        <v>957</v>
      </c>
      <c r="I637" s="767"/>
      <c r="P637" s="700"/>
    </row>
    <row r="638" spans="1:16" x14ac:dyDescent="0.3">
      <c r="A638" s="973" t="s">
        <v>978</v>
      </c>
      <c r="B638" s="872" t="s">
        <v>1005</v>
      </c>
      <c r="C638" s="881" t="str">
        <f>IF('Overzicht BTA'!$C$42= TRUE,_xlfn.CONCAT('Upload AXI - CONF'!$A638,'Upload AXI - CONF'!$B638),"")</f>
        <v/>
      </c>
      <c r="D638" s="881">
        <f>ROUND('uitgebreide raming'!$I$73,2)</f>
        <v>0.21</v>
      </c>
      <c r="E638" s="872" t="s">
        <v>1006</v>
      </c>
      <c r="F638" s="872" t="s">
        <v>1034</v>
      </c>
      <c r="G638" s="872"/>
      <c r="H638" s="874"/>
      <c r="I638" s="595"/>
      <c r="P638" s="700"/>
    </row>
    <row r="639" spans="1:16" x14ac:dyDescent="0.3">
      <c r="A639" s="889" t="s">
        <v>978</v>
      </c>
      <c r="B639" s="868" t="s">
        <v>1053</v>
      </c>
      <c r="C639" s="867" t="str">
        <f>IF('Overzicht BTA'!$C$42= TRUE,_xlfn.CONCAT('Upload AXI - CONF'!$A639,'Upload AXI - CONF'!$B639),"")</f>
        <v/>
      </c>
      <c r="D639" s="867">
        <f>ROUND('eindafrekening_ kost_zorg'!$X$90,2)</f>
        <v>0</v>
      </c>
      <c r="E639" s="868" t="s">
        <v>1054</v>
      </c>
      <c r="F639" s="868" t="s">
        <v>1034</v>
      </c>
      <c r="G639" s="868"/>
      <c r="H639" s="870" t="s">
        <v>957</v>
      </c>
      <c r="I639" s="767"/>
      <c r="P639" s="700"/>
    </row>
    <row r="640" spans="1:16" x14ac:dyDescent="0.3">
      <c r="A640" s="973" t="s">
        <v>978</v>
      </c>
      <c r="B640" s="872" t="s">
        <v>1055</v>
      </c>
      <c r="C640" s="871" t="str">
        <f>IF('Overzicht BTA'!$C$42= TRUE,_xlfn.CONCAT('Upload AXI - CONF'!$A640,'Upload AXI - CONF'!$B640),"")</f>
        <v/>
      </c>
      <c r="D640" s="871">
        <f>ROUND('eindafrekening_ kost_zorg'!$X$92,2)</f>
        <v>0</v>
      </c>
      <c r="E640" s="872" t="s">
        <v>1056</v>
      </c>
      <c r="F640" s="872" t="s">
        <v>1034</v>
      </c>
      <c r="G640" s="872"/>
      <c r="H640" s="874" t="s">
        <v>957</v>
      </c>
      <c r="I640" s="767"/>
      <c r="P640" s="700"/>
    </row>
    <row r="641" spans="1:16" x14ac:dyDescent="0.3">
      <c r="A641" s="889" t="s">
        <v>978</v>
      </c>
      <c r="B641" s="868" t="s">
        <v>1057</v>
      </c>
      <c r="C641" s="867" t="str">
        <f>IF('Overzicht BTA'!$C$42= TRUE,_xlfn.CONCAT('Upload AXI - CONF'!$A641,'Upload AXI - CONF'!$B641),"")</f>
        <v/>
      </c>
      <c r="D641" s="867">
        <f>ROUND('eindafrekening_ kost_zorg'!$X$91,2)</f>
        <v>0</v>
      </c>
      <c r="E641" s="868" t="s">
        <v>1058</v>
      </c>
      <c r="F641" s="868" t="s">
        <v>1034</v>
      </c>
      <c r="G641" s="868"/>
      <c r="H641" s="870" t="s">
        <v>957</v>
      </c>
      <c r="I641" s="767"/>
      <c r="P641" s="700"/>
    </row>
    <row r="642" spans="1:16" x14ac:dyDescent="0.3">
      <c r="A642" s="973"/>
      <c r="B642" s="872"/>
      <c r="C642" s="871" t="str">
        <f>IF('Overzicht BTA'!$C$42= TRUE,_xlfn.CONCAT('Upload AXI - CONF'!$A642,'Upload AXI - CONF'!$B642),"")</f>
        <v/>
      </c>
      <c r="D642" s="871">
        <f>ROUND('uitgebreide raming'!$H$80,2)</f>
        <v>0</v>
      </c>
      <c r="E642" s="872" t="s">
        <v>1088</v>
      </c>
      <c r="F642" s="872" t="s">
        <v>1034</v>
      </c>
      <c r="G642" s="872"/>
      <c r="H642" s="886" t="s">
        <v>957</v>
      </c>
      <c r="I642" s="767"/>
      <c r="P642" s="700"/>
    </row>
    <row r="643" spans="1:16" x14ac:dyDescent="0.3">
      <c r="A643" s="889" t="s">
        <v>978</v>
      </c>
      <c r="B643" s="868" t="s">
        <v>1061</v>
      </c>
      <c r="C643" s="880" t="str">
        <f>IF('Overzicht BTA'!$C$42= TRUE,_xlfn.CONCAT('Upload AXI - CONF'!$A643,'Upload AXI - CONF'!$B643),"")</f>
        <v/>
      </c>
      <c r="D643" s="880">
        <f>ROUND('Overzicht BTA'!$O$10,2)</f>
        <v>0</v>
      </c>
      <c r="E643" s="868" t="s">
        <v>1062</v>
      </c>
      <c r="F643" s="868" t="s">
        <v>1034</v>
      </c>
      <c r="G643" s="868"/>
      <c r="H643" s="870"/>
      <c r="I643" s="768"/>
      <c r="P643" s="700"/>
    </row>
    <row r="644" spans="1:16" x14ac:dyDescent="0.3">
      <c r="A644" s="973" t="s">
        <v>978</v>
      </c>
      <c r="B644" s="872" t="s">
        <v>1063</v>
      </c>
      <c r="C644" s="879" t="str">
        <f>IF('Overzicht BTA'!$C$42= TRUE,_xlfn.CONCAT('Upload AXI - CONF'!$A644,'Upload AXI - CONF'!$B644),"")</f>
        <v/>
      </c>
      <c r="D644" s="879">
        <f>ROUND('Overzicht BTA'!$P$10,2)</f>
        <v>0</v>
      </c>
      <c r="E644" s="872" t="s">
        <v>1064</v>
      </c>
      <c r="F644" s="872" t="s">
        <v>1034</v>
      </c>
      <c r="G644" s="872"/>
      <c r="H644" s="874"/>
      <c r="I644" s="768"/>
      <c r="P644" s="700"/>
    </row>
    <row r="645" spans="1:16" x14ac:dyDescent="0.3">
      <c r="A645" s="889" t="s">
        <v>978</v>
      </c>
      <c r="B645" s="868" t="s">
        <v>1065</v>
      </c>
      <c r="C645" s="878" t="str">
        <f>IF('Overzicht BTA'!$C$42= TRUE,_xlfn.CONCAT('Upload AXI - CONF'!$A645,'Upload AXI - CONF'!$B645),"")</f>
        <v/>
      </c>
      <c r="D645" s="878">
        <f>ROUND('eindafrekening_ kost_zorg'!$X$95,2)</f>
        <v>0</v>
      </c>
      <c r="E645" s="868" t="s">
        <v>1066</v>
      </c>
      <c r="F645" s="868" t="s">
        <v>1034</v>
      </c>
      <c r="G645" s="868"/>
      <c r="H645" s="870"/>
      <c r="I645" s="595"/>
      <c r="P645" s="700"/>
    </row>
    <row r="646" spans="1:16" x14ac:dyDescent="0.3">
      <c r="A646" s="862" t="s">
        <v>1089</v>
      </c>
      <c r="B646" s="872" t="s">
        <v>1090</v>
      </c>
      <c r="C646" s="876" t="str">
        <f>IF(AND('Overzicht BTA'!$C$39=FALSE,'Overzicht BTA'!$C$42= FALSE),_xlfn.CONCAT('Upload AXI - CONF'!$A646,'Upload AXI - CONF'!$B646),"")</f>
        <v>Object.BTAD.FlexBTA50</v>
      </c>
      <c r="D646" s="876">
        <f>ROUND('Overzicht project'!$D$30,2)</f>
        <v>0</v>
      </c>
      <c r="E646" s="872" t="s">
        <v>1091</v>
      </c>
      <c r="F646" s="872" t="s">
        <v>1092</v>
      </c>
      <c r="G646" s="872"/>
      <c r="H646" s="874"/>
      <c r="I646" s="771"/>
      <c r="P646" s="700"/>
    </row>
    <row r="647" spans="1:16" x14ac:dyDescent="0.3">
      <c r="A647" s="866" t="s">
        <v>1089</v>
      </c>
      <c r="B647" s="868" t="s">
        <v>1093</v>
      </c>
      <c r="C647" s="876" t="str">
        <f>IF(AND('Overzicht BTA'!$C$39=FALSE,'Overzicht BTA'!$C$42= FALSE),_xlfn.CONCAT('Upload AXI - CONF'!$A647,'Upload AXI - CONF'!$B647),"")</f>
        <v>Object.BTAD.FlexBTA51</v>
      </c>
      <c r="D647" s="877">
        <f>ROUND(Oppervlakte!$R$4,2)</f>
        <v>0</v>
      </c>
      <c r="E647" s="868" t="s">
        <v>1094</v>
      </c>
      <c r="F647" s="868" t="s">
        <v>1092</v>
      </c>
      <c r="G647" s="868"/>
      <c r="H647" s="870"/>
      <c r="I647" s="771"/>
      <c r="P647" s="700"/>
    </row>
    <row r="648" spans="1:16" x14ac:dyDescent="0.3">
      <c r="A648" s="862" t="s">
        <v>1089</v>
      </c>
      <c r="B648" s="872" t="s">
        <v>1095</v>
      </c>
      <c r="C648" s="876" t="str">
        <f>IF(AND('Overzicht BTA'!$C$39=FALSE,'Overzicht BTA'!$C$42= FALSE),_xlfn.CONCAT('Upload AXI - CONF'!$A648,'Upload AXI - CONF'!$B648),"")</f>
        <v>Object.BTAD.FlexBTA3</v>
      </c>
      <c r="D648" s="876">
        <f>ROUND('Overzicht BTA'!$T$9,2)</f>
        <v>0</v>
      </c>
      <c r="E648" s="872" t="s">
        <v>1096</v>
      </c>
      <c r="F648" s="872" t="s">
        <v>1092</v>
      </c>
      <c r="G648" s="872"/>
      <c r="H648" s="874"/>
      <c r="I648" s="771"/>
      <c r="P648" s="700"/>
    </row>
    <row r="649" spans="1:16" x14ac:dyDescent="0.3">
      <c r="A649" s="862" t="s">
        <v>1089</v>
      </c>
      <c r="B649" s="1108" t="s">
        <v>1433</v>
      </c>
      <c r="C649" s="876" t="str">
        <f>IF(AND('Overzicht BTA'!$C$39=FALSE,'Overzicht BTA'!$C$42= FALSE),_xlfn.CONCAT('Upload AXI - CONF'!$A649,'Upload AXI - CONF'!$B649),"")</f>
        <v>Object.BTAD.FlexMAXSUPOPP</v>
      </c>
      <c r="D649" s="876">
        <f>'Overzicht BTA'!C31+'Overzicht BTA'!J31+'Overzicht BTA'!P31</f>
        <v>0</v>
      </c>
      <c r="E649" s="1108" t="s">
        <v>1434</v>
      </c>
      <c r="F649" s="872" t="s">
        <v>1092</v>
      </c>
      <c r="G649" s="872"/>
      <c r="H649" s="874"/>
      <c r="I649" s="771"/>
      <c r="P649" s="700"/>
    </row>
    <row r="650" spans="1:16" s="590" customFormat="1" x14ac:dyDescent="0.3">
      <c r="A650" s="889" t="s">
        <v>1089</v>
      </c>
      <c r="B650" s="869" t="s">
        <v>1097</v>
      </c>
      <c r="C650" s="876" t="str">
        <f>IF(AND('Overzicht BTA'!$C$39=FALSE,'Overzicht BTA'!$C$42= FALSE),_xlfn.CONCAT('Upload AXI - CONF'!$A650,'Upload AXI - CONF'!$B650),"")</f>
        <v>Object.BTAD.FlexBTA4</v>
      </c>
      <c r="D650" s="888">
        <f>ROUND('analyse bij belofte'!$R$51,2)</f>
        <v>0</v>
      </c>
      <c r="E650" s="869" t="s">
        <v>1098</v>
      </c>
      <c r="F650" s="869" t="s">
        <v>1092</v>
      </c>
      <c r="G650" s="869"/>
      <c r="H650" s="884"/>
      <c r="I650" s="769"/>
      <c r="P650" s="700"/>
    </row>
    <row r="651" spans="1:16" x14ac:dyDescent="0.3">
      <c r="A651" s="862" t="s">
        <v>1089</v>
      </c>
      <c r="B651" s="872" t="s">
        <v>1099</v>
      </c>
      <c r="C651" s="876" t="str">
        <f>IF(AND('Overzicht BTA'!$C$39=FALSE,'Overzicht BTA'!$C$42= FALSE),_xlfn.CONCAT('Upload AXI - CONF'!$A651,'Upload AXI - CONF'!$B651),"")</f>
        <v>Object.BTAD.FlexBTA5</v>
      </c>
      <c r="D651" s="871">
        <f>ROUND('analyse bij belofte'!$R$63,2)</f>
        <v>0</v>
      </c>
      <c r="E651" s="872" t="s">
        <v>384</v>
      </c>
      <c r="F651" s="872" t="s">
        <v>1092</v>
      </c>
      <c r="G651" s="872"/>
      <c r="H651" s="874"/>
      <c r="I651" s="767"/>
      <c r="P651" s="700"/>
    </row>
    <row r="652" spans="1:16" x14ac:dyDescent="0.3">
      <c r="A652" s="866" t="s">
        <v>1089</v>
      </c>
      <c r="B652" s="868" t="s">
        <v>1100</v>
      </c>
      <c r="C652" s="876" t="str">
        <f>IF(AND('Overzicht BTA'!$C$39=FALSE,'Overzicht BTA'!$C$42= FALSE),_xlfn.CONCAT('Upload AXI - CONF'!$A652,'Upload AXI - CONF'!$B652),"")</f>
        <v>Object.BTAD.FlexBTA9</v>
      </c>
      <c r="D652" s="867">
        <f>ROUND('analyse bij belofte'!$R$54,2)</f>
        <v>0</v>
      </c>
      <c r="E652" s="868" t="s">
        <v>1101</v>
      </c>
      <c r="F652" s="868" t="s">
        <v>1092</v>
      </c>
      <c r="G652" s="868"/>
      <c r="H652" s="870"/>
      <c r="I652" s="767"/>
      <c r="P652" s="700"/>
    </row>
    <row r="653" spans="1:16" x14ac:dyDescent="0.3">
      <c r="A653" s="862" t="s">
        <v>1089</v>
      </c>
      <c r="B653" s="872" t="s">
        <v>1102</v>
      </c>
      <c r="C653" s="876" t="str">
        <f>IF(AND('Overzicht BTA'!$C$39=FALSE,'Overzicht BTA'!$C$42= FALSE),_xlfn.CONCAT('Upload AXI - CONF'!$A653,'Upload AXI - CONF'!$B653),"")</f>
        <v>Object.BTAD.FlexBTA10</v>
      </c>
      <c r="D653" s="871">
        <f>ROUND(AKzondVERB!$T$8,2)</f>
        <v>0</v>
      </c>
      <c r="E653" s="872" t="s">
        <v>1103</v>
      </c>
      <c r="F653" s="872" t="s">
        <v>1092</v>
      </c>
      <c r="G653" s="872"/>
      <c r="H653" s="874"/>
      <c r="I653" s="767"/>
      <c r="P653" s="700"/>
    </row>
    <row r="654" spans="1:16" x14ac:dyDescent="0.3">
      <c r="A654" s="866" t="s">
        <v>1089</v>
      </c>
      <c r="B654" s="868" t="s">
        <v>1104</v>
      </c>
      <c r="C654" s="876" t="str">
        <f>IF(AND('Overzicht BTA'!$C$39=FALSE,'Overzicht BTA'!$C$42= FALSE),_xlfn.CONCAT('Upload AXI - CONF'!$A654,'Upload AXI - CONF'!$B654),"")</f>
        <v>Object.BTAD.FlexO011</v>
      </c>
      <c r="D654" s="867" t="e">
        <f ca="1">ROUND(kunst!$B$11,2)</f>
        <v>#REF!</v>
      </c>
      <c r="E654" s="868" t="s">
        <v>1105</v>
      </c>
      <c r="F654" s="868" t="s">
        <v>1092</v>
      </c>
      <c r="G654" s="868"/>
      <c r="H654" s="870" t="s">
        <v>957</v>
      </c>
      <c r="I654" s="767"/>
      <c r="P654" s="700"/>
    </row>
    <row r="655" spans="1:16" s="590" customFormat="1" x14ac:dyDescent="0.3">
      <c r="A655" s="862" t="s">
        <v>1089</v>
      </c>
      <c r="B655" s="891" t="s">
        <v>1106</v>
      </c>
      <c r="C655" s="876" t="str">
        <f>IF(AND('Overzicht BTA'!$C$39=FALSE,'Overzicht BTA'!$C$42= FALSE),_xlfn.CONCAT('Upload AXI - CONF'!$A655,'Upload AXI - CONF'!$B655),"")</f>
        <v>Object.BTAD.FlexBTA8</v>
      </c>
      <c r="D655" s="890" t="str">
        <f>_xlfn.TEXTJOIN(", ",TRUE,IF('Overzicht BTA'!$C$13=0,"",_xlfn.TEXTJOIN("-",TRUE,"Nieuwbouw",TEXT('Overzicht BTA'!$C$13,"0%"))),IF('Overzicht BTA'!$C$14=0,"",_xlfn.TEXTJOIN("-",TRUE,"Nieuwbouw",TEXT('Overzicht BTA'!$C$14,"0%"))),IF('Overzicht BTA'!$C$15=0,"",_xlfn.TEXTJOIN("-",TRUE,'Overzicht BTA'!$B$15,TEXT('Overzicht BTA'!$C$15,"0%"))),IF('Overzicht BTA'!$C$16=0,"",_xlfn.TEXTJOIN("-",TRUE,'Overzicht BTA'!$B$16,TEXT('Overzicht BTA'!$C$16,"0%"))),IF('Overzicht BTA'!$C$17=0,"",_xlfn.TEXTJOIN("-",TRUE,'Overzicht BTA'!$B$17,TEXT('Overzicht BTA'!$C$17,"0%"))),IF('Overzicht BTA'!$C$18=0,"",_xlfn.TEXTJOIN("-",TRUE,'Overzicht BTA'!$B$18,TEXT('Overzicht BTA'!$C$18,"0%"))),IF('Overzicht BTA'!$C$19=0,"",_xlfn.TEXTJOIN("-",TRUE,'Overzicht BTA'!$B$19,TEXT('Overzicht BTA'!$C$19,"0%"))))</f>
        <v/>
      </c>
      <c r="E655" s="891" t="s">
        <v>1107</v>
      </c>
      <c r="F655" s="872" t="s">
        <v>1092</v>
      </c>
      <c r="G655" s="891"/>
      <c r="H655" s="892"/>
      <c r="I655" s="596"/>
      <c r="P655" s="700"/>
    </row>
    <row r="656" spans="1:16" s="590" customFormat="1" x14ac:dyDescent="0.3">
      <c r="A656" s="866" t="s">
        <v>1089</v>
      </c>
      <c r="B656" s="869" t="s">
        <v>1108</v>
      </c>
      <c r="C656" s="876" t="str">
        <f>IF(AND('Overzicht BTA'!$C$39=FALSE,'Overzicht BTA'!$C$42= FALSE),_xlfn.CONCAT('Upload AXI - CONF'!$A656,'Upload AXI - CONF'!$B656),"")</f>
        <v>Object.BTAD.FlexBTA52</v>
      </c>
      <c r="D656" s="888">
        <f>ROUND('uitgebreide raming'!$B$87,2)</f>
        <v>0</v>
      </c>
      <c r="E656" s="869" t="s">
        <v>1109</v>
      </c>
      <c r="F656" s="868" t="s">
        <v>1092</v>
      </c>
      <c r="G656" s="869"/>
      <c r="H656" s="884"/>
      <c r="I656" s="769"/>
      <c r="P656" s="700"/>
    </row>
    <row r="657" spans="1:16" x14ac:dyDescent="0.3">
      <c r="A657" s="862" t="s">
        <v>1089</v>
      </c>
      <c r="B657" s="872" t="s">
        <v>1110</v>
      </c>
      <c r="C657" s="876" t="str">
        <f>IF(AND('Overzicht BTA'!$C$39=FALSE,'Overzicht BTA'!$C$42= FALSE),_xlfn.CONCAT('Upload AXI - CONF'!$A657,'Upload AXI - CONF'!$B657),"")</f>
        <v>Object.BTAD.FlexBTA12</v>
      </c>
      <c r="D657" s="887">
        <f>ROUND(AKzondVERB!$T$14,2)</f>
        <v>0</v>
      </c>
      <c r="E657" s="872" t="s">
        <v>1111</v>
      </c>
      <c r="F657" s="872" t="s">
        <v>1092</v>
      </c>
      <c r="G657" s="872"/>
      <c r="H657" s="874"/>
      <c r="I657" s="769"/>
      <c r="P657" s="700"/>
    </row>
    <row r="658" spans="1:16" x14ac:dyDescent="0.3">
      <c r="A658" s="866"/>
      <c r="B658" s="868"/>
      <c r="C658" s="876" t="str">
        <f>IF(AND('Overzicht BTA'!$C$39=FALSE,'Overzicht BTA'!$C$42= FALSE),_xlfn.CONCAT('Upload AXI - CONF'!$A658,'Upload AXI - CONF'!$B658),"")</f>
        <v/>
      </c>
      <c r="D658" s="893">
        <f>ROUND('Overzicht BTA'!D36,5)</f>
        <v>2.3958200000000001</v>
      </c>
      <c r="E658" s="868" t="s">
        <v>1112</v>
      </c>
      <c r="F658" s="868" t="s">
        <v>1092</v>
      </c>
      <c r="G658" s="868"/>
      <c r="H658" s="870"/>
      <c r="I658" s="701"/>
      <c r="P658" s="700"/>
    </row>
    <row r="659" spans="1:16" s="627" customFormat="1" x14ac:dyDescent="0.3">
      <c r="A659" s="862" t="s">
        <v>1089</v>
      </c>
      <c r="B659" s="891" t="s">
        <v>1113</v>
      </c>
      <c r="C659" s="876" t="str">
        <f>IF(AND('Overzicht BTA'!$C$39=FALSE,'Overzicht BTA'!$C$42= FALSE),_xlfn.CONCAT('Upload AXI - CONF'!$A659,'Upload AXI - CONF'!$B659),"")</f>
        <v>Object.BTAD.FlexVO12bis</v>
      </c>
      <c r="D659" s="891" t="str">
        <f>IF('Overzicht project'!$C$40=Bron!$E$2,"",'Overzicht project'!$C$40)</f>
        <v/>
      </c>
      <c r="E659" s="891" t="s">
        <v>36</v>
      </c>
      <c r="F659" s="872" t="s">
        <v>1092</v>
      </c>
      <c r="G659" s="894"/>
      <c r="H659" s="895"/>
      <c r="I659" s="590"/>
      <c r="P659" s="700"/>
    </row>
    <row r="660" spans="1:16" s="627" customFormat="1" x14ac:dyDescent="0.3">
      <c r="A660" s="866" t="s">
        <v>1089</v>
      </c>
      <c r="B660" s="869" t="s">
        <v>1114</v>
      </c>
      <c r="C660" s="876" t="str">
        <f>IF(AND('Overzicht BTA'!$C$39=FALSE,'Overzicht BTA'!$C$42= FALSE),_xlfn.CONCAT('Upload AXI - CONF'!$A660,'Upload AXI - CONF'!$B660),"")</f>
        <v>Object.BTAD.FlexVO511</v>
      </c>
      <c r="D660" s="869" t="str">
        <f>IF('Overzicht project'!$C48=Bron!$B$7,"",IF(OR('Overzicht project'!$C48=Bron!$C$8,Bron!$C$9='Overzicht project'!$C48),"Nieuwbouw",IF(OR('Overzicht project'!$C48=Bron!$C$13,Bron!$C$14='Overzicht project'!$C48),"Voltooiingswerken",'Overzicht project'!$C48)))</f>
        <v/>
      </c>
      <c r="E660" s="869" t="s">
        <v>1115</v>
      </c>
      <c r="F660" s="868" t="s">
        <v>1092</v>
      </c>
      <c r="G660" s="896"/>
      <c r="H660" s="897"/>
      <c r="I660" s="590"/>
      <c r="P660" s="700"/>
    </row>
    <row r="661" spans="1:16" s="627" customFormat="1" x14ac:dyDescent="0.3">
      <c r="A661" s="862" t="s">
        <v>1089</v>
      </c>
      <c r="B661" s="891" t="s">
        <v>1116</v>
      </c>
      <c r="C661" s="876" t="str">
        <f>IF(AND('Overzicht BTA'!$C$39=FALSE,'Overzicht BTA'!$C$42= FALSE),_xlfn.CONCAT('Upload AXI - CONF'!$A661,'Upload AXI - CONF'!$B661),"")</f>
        <v>Object.BTAD.FlexVO511T</v>
      </c>
      <c r="D661" s="898">
        <f>ROUND('analyse bij belofte 1'!$B$42,2)</f>
        <v>0</v>
      </c>
      <c r="E661" s="891" t="s">
        <v>1117</v>
      </c>
      <c r="F661" s="872" t="s">
        <v>1092</v>
      </c>
      <c r="G661" s="894"/>
      <c r="H661" s="895"/>
      <c r="I661" s="774"/>
      <c r="P661" s="700"/>
    </row>
    <row r="662" spans="1:16" s="627" customFormat="1" x14ac:dyDescent="0.3">
      <c r="A662" s="866" t="s">
        <v>1089</v>
      </c>
      <c r="B662" s="869" t="s">
        <v>1118</v>
      </c>
      <c r="C662" s="876" t="str">
        <f>IF(AND('Overzicht BTA'!$C$39=FALSE,'Overzicht BTA'!$C$42= FALSE),_xlfn.CONCAT('Upload AXI - CONF'!$A662,'Upload AXI - CONF'!$B662),"")</f>
        <v>Object.BTAD.FlexVO511B</v>
      </c>
      <c r="D662" s="899">
        <f>ROUND('analyse bij belofte 1'!$B$43,2)</f>
        <v>0</v>
      </c>
      <c r="E662" s="869" t="s">
        <v>1119</v>
      </c>
      <c r="F662" s="868" t="s">
        <v>1092</v>
      </c>
      <c r="G662" s="896"/>
      <c r="H662" s="897"/>
      <c r="I662" s="774"/>
      <c r="P662" s="700"/>
    </row>
    <row r="663" spans="1:16" s="627" customFormat="1" x14ac:dyDescent="0.3">
      <c r="A663" s="862" t="s">
        <v>1089</v>
      </c>
      <c r="B663" s="891" t="s">
        <v>1120</v>
      </c>
      <c r="C663" s="876" t="str">
        <f>IF(AND('Overzicht BTA'!$C$39=FALSE,'Overzicht BTA'!$C$42= FALSE),_xlfn.CONCAT('Upload AXI - CONF'!$A663,'Upload AXI - CONF'!$B663),"")</f>
        <v>Object.BTAD.FlexVO512</v>
      </c>
      <c r="D663" s="887" t="str">
        <f>IF('Overzicht project'!$C49=Bron!$B$7,"",IF(OR('Overzicht project'!$C49=Bron!$C$8,Bron!$C$9='Overzicht project'!$C49),"Nieuwbouw",IF(OR('Overzicht project'!$C49=Bron!$C$13,Bron!$C$14='Overzicht project'!$C49),"Voltooiingswerken",'Overzicht project'!$C49)))</f>
        <v/>
      </c>
      <c r="E663" s="891" t="s">
        <v>1121</v>
      </c>
      <c r="F663" s="872" t="s">
        <v>1092</v>
      </c>
      <c r="G663" s="894"/>
      <c r="H663" s="895"/>
      <c r="I663" s="769"/>
      <c r="P663" s="700"/>
    </row>
    <row r="664" spans="1:16" s="627" customFormat="1" x14ac:dyDescent="0.3">
      <c r="A664" s="866" t="s">
        <v>1089</v>
      </c>
      <c r="B664" s="869" t="s">
        <v>1122</v>
      </c>
      <c r="C664" s="876" t="str">
        <f>IF(AND('Overzicht BTA'!$C$39=FALSE,'Overzicht BTA'!$C$42= FALSE),_xlfn.CONCAT('Upload AXI - CONF'!$A664,'Upload AXI - CONF'!$B664),"")</f>
        <v>Object.BTAD.FlexVO512T</v>
      </c>
      <c r="D664" s="899">
        <f>ROUND('analyse bij belofte 1'!$D$42,2)</f>
        <v>0</v>
      </c>
      <c r="E664" s="869" t="s">
        <v>1123</v>
      </c>
      <c r="F664" s="868" t="s">
        <v>1092</v>
      </c>
      <c r="G664" s="896"/>
      <c r="H664" s="897"/>
      <c r="I664" s="774"/>
      <c r="P664" s="700"/>
    </row>
    <row r="665" spans="1:16" s="627" customFormat="1" x14ac:dyDescent="0.3">
      <c r="A665" s="862" t="s">
        <v>1089</v>
      </c>
      <c r="B665" s="891" t="s">
        <v>1124</v>
      </c>
      <c r="C665" s="876" t="str">
        <f>IF(AND('Overzicht BTA'!$C$39=FALSE,'Overzicht BTA'!$C$42= FALSE),_xlfn.CONCAT('Upload AXI - CONF'!$A665,'Upload AXI - CONF'!$B665),"")</f>
        <v>Object.BTAD.FlexVO512B</v>
      </c>
      <c r="D665" s="898">
        <f>ROUND('analyse bij belofte 1'!$D$43,2)</f>
        <v>0</v>
      </c>
      <c r="E665" s="891" t="s">
        <v>1125</v>
      </c>
      <c r="F665" s="872" t="s">
        <v>1092</v>
      </c>
      <c r="G665" s="894"/>
      <c r="H665" s="895"/>
      <c r="I665" s="774"/>
      <c r="P665" s="700"/>
    </row>
    <row r="666" spans="1:16" s="627" customFormat="1" x14ac:dyDescent="0.3">
      <c r="A666" s="866" t="s">
        <v>1089</v>
      </c>
      <c r="B666" s="869" t="s">
        <v>1126</v>
      </c>
      <c r="C666" s="876" t="str">
        <f>IF(AND('Overzicht BTA'!$C$39=FALSE,'Overzicht BTA'!$C$42= FALSE),_xlfn.CONCAT('Upload AXI - CONF'!$A666,'Upload AXI - CONF'!$B666),"")</f>
        <v>Object.BTAD.FlexVO513</v>
      </c>
      <c r="D666" s="869" t="str">
        <f>IF('Overzicht project'!$C50=Bron!$B$7,"",IF(OR('Overzicht project'!$C50=Bron!$C$8,Bron!$C$9='Overzicht project'!$C50),"Nieuwbouw",IF(OR('Overzicht project'!$C50=Bron!$C$13,Bron!$C$14='Overzicht project'!$C50),"Voltooiingswerken",'Overzicht project'!$C50)))</f>
        <v/>
      </c>
      <c r="E666" s="869" t="s">
        <v>1127</v>
      </c>
      <c r="F666" s="868" t="s">
        <v>1092</v>
      </c>
      <c r="G666" s="896"/>
      <c r="H666" s="897"/>
      <c r="I666" s="590"/>
      <c r="P666" s="700"/>
    </row>
    <row r="667" spans="1:16" s="627" customFormat="1" x14ac:dyDescent="0.3">
      <c r="A667" s="862" t="s">
        <v>1089</v>
      </c>
      <c r="B667" s="891" t="s">
        <v>1128</v>
      </c>
      <c r="C667" s="876" t="str">
        <f>IF(AND('Overzicht BTA'!$C$39=FALSE,'Overzicht BTA'!$C$42= FALSE),_xlfn.CONCAT('Upload AXI - CONF'!$A667,'Upload AXI - CONF'!$B667),"")</f>
        <v>Object.BTAD.FlexVO513T</v>
      </c>
      <c r="D667" s="898">
        <f>ROUND('analyse bij belofte 1'!$F$42,2)</f>
        <v>0</v>
      </c>
      <c r="E667" s="891" t="s">
        <v>1129</v>
      </c>
      <c r="F667" s="872" t="s">
        <v>1092</v>
      </c>
      <c r="G667" s="894"/>
      <c r="H667" s="895"/>
      <c r="I667" s="774"/>
      <c r="P667" s="700"/>
    </row>
    <row r="668" spans="1:16" s="627" customFormat="1" x14ac:dyDescent="0.3">
      <c r="A668" s="866" t="s">
        <v>1089</v>
      </c>
      <c r="B668" s="869" t="s">
        <v>1130</v>
      </c>
      <c r="C668" s="876" t="str">
        <f>IF(AND('Overzicht BTA'!$C$39=FALSE,'Overzicht BTA'!$C$42= FALSE),_xlfn.CONCAT('Upload AXI - CONF'!$A668,'Upload AXI - CONF'!$B668),"")</f>
        <v>Object.BTAD.FlexVO513B</v>
      </c>
      <c r="D668" s="899">
        <f>ROUND('analyse bij belofte 1'!$F$43,2)</f>
        <v>0</v>
      </c>
      <c r="E668" s="869" t="s">
        <v>1131</v>
      </c>
      <c r="F668" s="868" t="s">
        <v>1092</v>
      </c>
      <c r="G668" s="896"/>
      <c r="H668" s="897"/>
      <c r="I668" s="774"/>
      <c r="P668" s="700"/>
    </row>
    <row r="669" spans="1:16" s="627" customFormat="1" x14ac:dyDescent="0.3">
      <c r="A669" s="862" t="s">
        <v>1089</v>
      </c>
      <c r="B669" s="891" t="s">
        <v>1132</v>
      </c>
      <c r="C669" s="876" t="str">
        <f>IF(AND('Overzicht BTA'!$C$39=FALSE,'Overzicht BTA'!$C$42= FALSE),_xlfn.CONCAT('Upload AXI - CONF'!$A669,'Upload AXI - CONF'!$B669),"")</f>
        <v>Object.BTAD.FlexVO514</v>
      </c>
      <c r="D669" s="891" t="str">
        <f>IF('Overzicht project'!$C51=Bron!$B$7,"",IF(OR('Overzicht project'!$C51=Bron!$C$8,Bron!$C$9='Overzicht project'!$C51),"Nieuwbouw",IF(OR('Overzicht project'!$C51=Bron!$C$13,Bron!$C$14='Overzicht project'!$C51),"Voltooiingswerken",'Overzicht project'!$C51)))</f>
        <v/>
      </c>
      <c r="E669" s="891" t="s">
        <v>1133</v>
      </c>
      <c r="F669" s="872" t="s">
        <v>1092</v>
      </c>
      <c r="G669" s="894"/>
      <c r="H669" s="895"/>
      <c r="I669" s="590"/>
      <c r="P669" s="700"/>
    </row>
    <row r="670" spans="1:16" s="627" customFormat="1" x14ac:dyDescent="0.3">
      <c r="A670" s="866" t="s">
        <v>1089</v>
      </c>
      <c r="B670" s="869" t="s">
        <v>1134</v>
      </c>
      <c r="C670" s="876" t="str">
        <f>IF(AND('Overzicht BTA'!$C$39=FALSE,'Overzicht BTA'!$C$42= FALSE),_xlfn.CONCAT('Upload AXI - CONF'!$A670,'Upload AXI - CONF'!$B670),"")</f>
        <v>Object.BTAD.FlexVO514T</v>
      </c>
      <c r="D670" s="899">
        <f>ROUND('analyse bij belofte 1'!$H$42,2)</f>
        <v>0</v>
      </c>
      <c r="E670" s="869" t="s">
        <v>1135</v>
      </c>
      <c r="F670" s="868" t="s">
        <v>1092</v>
      </c>
      <c r="G670" s="896"/>
      <c r="H670" s="897"/>
      <c r="I670" s="774"/>
      <c r="P670" s="700"/>
    </row>
    <row r="671" spans="1:16" s="627" customFormat="1" x14ac:dyDescent="0.3">
      <c r="A671" s="862" t="s">
        <v>1089</v>
      </c>
      <c r="B671" s="891" t="s">
        <v>1136</v>
      </c>
      <c r="C671" s="876" t="str">
        <f>IF(AND('Overzicht BTA'!$C$39=FALSE,'Overzicht BTA'!$C$42= FALSE),_xlfn.CONCAT('Upload AXI - CONF'!$A671,'Upload AXI - CONF'!$B671),"")</f>
        <v>Object.BTAD.FlexVO514B</v>
      </c>
      <c r="D671" s="898">
        <f>ROUND('analyse bij belofte 1'!$H$43,2)</f>
        <v>0</v>
      </c>
      <c r="E671" s="891" t="s">
        <v>1137</v>
      </c>
      <c r="F671" s="872" t="s">
        <v>1092</v>
      </c>
      <c r="G671" s="894"/>
      <c r="H671" s="895"/>
      <c r="I671" s="774"/>
      <c r="P671" s="700"/>
    </row>
    <row r="672" spans="1:16" s="627" customFormat="1" x14ac:dyDescent="0.3">
      <c r="A672" s="866" t="s">
        <v>1089</v>
      </c>
      <c r="B672" s="869" t="s">
        <v>1138</v>
      </c>
      <c r="C672" s="876" t="str">
        <f>IF(AND('Overzicht BTA'!$C$39=FALSE,'Overzicht BTA'!$C$42= FALSE),_xlfn.CONCAT('Upload AXI - CONF'!$A672,'Upload AXI - CONF'!$B672),"")</f>
        <v>Object.BTAD.FlexVO12tri</v>
      </c>
      <c r="D672" s="869" t="str">
        <f>IF('Overzicht project'!$C$41=Bron!$E$2,"",'Overzicht project'!$C$41)</f>
        <v/>
      </c>
      <c r="E672" s="869" t="s">
        <v>38</v>
      </c>
      <c r="F672" s="868" t="s">
        <v>1092</v>
      </c>
      <c r="G672" s="896"/>
      <c r="H672" s="897"/>
      <c r="I672" s="590"/>
      <c r="P672" s="700"/>
    </row>
    <row r="673" spans="1:16" s="627" customFormat="1" x14ac:dyDescent="0.3">
      <c r="A673" s="862" t="s">
        <v>1089</v>
      </c>
      <c r="B673" s="891" t="s">
        <v>1139</v>
      </c>
      <c r="C673" s="876" t="str">
        <f>IF(AND('Overzicht BTA'!$C$39=FALSE,'Overzicht BTA'!$C$42= FALSE),_xlfn.CONCAT('Upload AXI - CONF'!$A673,'Upload AXI - CONF'!$B673),"")</f>
        <v>Object.BTAD.FlexVO521</v>
      </c>
      <c r="D673" s="891" t="str">
        <f>IF('Overzicht project'!$C55=Bron!$B$7,"",IF(OR('Overzicht project'!$C55=Bron!$C$8,Bron!$C$9='Overzicht project'!$C55),"Nieuwbouw",IF(OR('Overzicht project'!$C55=Bron!$C$13,Bron!$C$14='Overzicht project'!$C55),"Voltooiingswerken",'Overzicht project'!$C55)))</f>
        <v/>
      </c>
      <c r="E673" s="891" t="s">
        <v>1140</v>
      </c>
      <c r="F673" s="872" t="s">
        <v>1092</v>
      </c>
      <c r="G673" s="894"/>
      <c r="H673" s="895"/>
      <c r="I673" s="590"/>
      <c r="P673" s="700"/>
    </row>
    <row r="674" spans="1:16" s="627" customFormat="1" x14ac:dyDescent="0.3">
      <c r="A674" s="866" t="s">
        <v>1089</v>
      </c>
      <c r="B674" s="869" t="s">
        <v>1141</v>
      </c>
      <c r="C674" s="876" t="str">
        <f>IF(AND('Overzicht BTA'!$C$39=FALSE,'Overzicht BTA'!$C$42= FALSE),_xlfn.CONCAT('Upload AXI - CONF'!$A674,'Upload AXI - CONF'!$B674),"")</f>
        <v>Object.BTAD.FlexVO521T</v>
      </c>
      <c r="D674" s="899">
        <f>ROUND('analyse bij belofte 2'!$B$42,2)</f>
        <v>0</v>
      </c>
      <c r="E674" s="869" t="s">
        <v>1142</v>
      </c>
      <c r="F674" s="868" t="s">
        <v>1092</v>
      </c>
      <c r="G674" s="896"/>
      <c r="H674" s="897"/>
      <c r="I674" s="774"/>
      <c r="P674" s="700"/>
    </row>
    <row r="675" spans="1:16" s="627" customFormat="1" x14ac:dyDescent="0.3">
      <c r="A675" s="862" t="s">
        <v>1089</v>
      </c>
      <c r="B675" s="891" t="s">
        <v>1143</v>
      </c>
      <c r="C675" s="876" t="str">
        <f>IF(AND('Overzicht BTA'!$C$39=FALSE,'Overzicht BTA'!$C$42= FALSE),_xlfn.CONCAT('Upload AXI - CONF'!$A675,'Upload AXI - CONF'!$B675),"")</f>
        <v>Object.BTAD.FlexVO521B</v>
      </c>
      <c r="D675" s="898">
        <f>ROUND('analyse bij belofte 2'!$B$43,2)</f>
        <v>0</v>
      </c>
      <c r="E675" s="891" t="s">
        <v>1144</v>
      </c>
      <c r="F675" s="872" t="s">
        <v>1092</v>
      </c>
      <c r="G675" s="894"/>
      <c r="H675" s="895"/>
      <c r="I675" s="774"/>
      <c r="P675" s="700"/>
    </row>
    <row r="676" spans="1:16" s="627" customFormat="1" x14ac:dyDescent="0.3">
      <c r="A676" s="866" t="s">
        <v>1089</v>
      </c>
      <c r="B676" s="869" t="s">
        <v>1145</v>
      </c>
      <c r="C676" s="876" t="str">
        <f>IF(AND('Overzicht BTA'!$C$39=FALSE,'Overzicht BTA'!$C$42= FALSE),_xlfn.CONCAT('Upload AXI - CONF'!$A676,'Upload AXI - CONF'!$B676),"")</f>
        <v>Object.BTAD.FlexVO522</v>
      </c>
      <c r="D676" s="869" t="str">
        <f>IF('Overzicht project'!$C56=Bron!$B$7,"",IF(OR('Overzicht project'!$C56=Bron!$C$8,Bron!$C$9='Overzicht project'!$C56),"Nieuwbouw",IF(OR('Overzicht project'!$C56=Bron!$C$13,Bron!$C$14='Overzicht project'!$C56),"Voltooiingswerken",'Overzicht project'!$C56)))</f>
        <v/>
      </c>
      <c r="E676" s="869" t="s">
        <v>1146</v>
      </c>
      <c r="F676" s="868" t="s">
        <v>1092</v>
      </c>
      <c r="G676" s="896"/>
      <c r="H676" s="897"/>
      <c r="I676" s="590"/>
      <c r="P676" s="700"/>
    </row>
    <row r="677" spans="1:16" s="627" customFormat="1" x14ac:dyDescent="0.3">
      <c r="A677" s="862" t="s">
        <v>1089</v>
      </c>
      <c r="B677" s="891" t="s">
        <v>1147</v>
      </c>
      <c r="C677" s="876" t="str">
        <f>IF(AND('Overzicht BTA'!$C$39=FALSE,'Overzicht BTA'!$C$42= FALSE),_xlfn.CONCAT('Upload AXI - CONF'!$A677,'Upload AXI - CONF'!$B677),"")</f>
        <v>Object.BTAD.FlexVO522T</v>
      </c>
      <c r="D677" s="898">
        <f>ROUND('analyse bij belofte 2'!$D$42,2)</f>
        <v>0</v>
      </c>
      <c r="E677" s="891" t="s">
        <v>1148</v>
      </c>
      <c r="F677" s="872" t="s">
        <v>1092</v>
      </c>
      <c r="G677" s="894"/>
      <c r="H677" s="895"/>
      <c r="I677" s="774"/>
      <c r="P677" s="700"/>
    </row>
    <row r="678" spans="1:16" s="627" customFormat="1" x14ac:dyDescent="0.3">
      <c r="A678" s="866" t="s">
        <v>1089</v>
      </c>
      <c r="B678" s="869" t="s">
        <v>1149</v>
      </c>
      <c r="C678" s="876" t="str">
        <f>IF(AND('Overzicht BTA'!$C$39=FALSE,'Overzicht BTA'!$C$42= FALSE),_xlfn.CONCAT('Upload AXI - CONF'!$A678,'Upload AXI - CONF'!$B678),"")</f>
        <v>Object.BTAD.FlexVO522B</v>
      </c>
      <c r="D678" s="899">
        <f>ROUND('analyse bij belofte 2'!$D$43,2)</f>
        <v>0</v>
      </c>
      <c r="E678" s="869" t="s">
        <v>1150</v>
      </c>
      <c r="F678" s="868" t="s">
        <v>1092</v>
      </c>
      <c r="G678" s="896"/>
      <c r="H678" s="897"/>
      <c r="I678" s="774"/>
      <c r="P678" s="700"/>
    </row>
    <row r="679" spans="1:16" s="627" customFormat="1" x14ac:dyDescent="0.3">
      <c r="A679" s="862" t="s">
        <v>1089</v>
      </c>
      <c r="B679" s="891" t="s">
        <v>1151</v>
      </c>
      <c r="C679" s="876" t="str">
        <f>IF(AND('Overzicht BTA'!$C$39=FALSE,'Overzicht BTA'!$C$42= FALSE),_xlfn.CONCAT('Upload AXI - CONF'!$A679,'Upload AXI - CONF'!$B679),"")</f>
        <v>Object.BTAD.FlexVO523</v>
      </c>
      <c r="D679" s="891" t="str">
        <f>IF('Overzicht project'!$C57=Bron!$B$7,"",IF(OR('Overzicht project'!$C57=Bron!$C$8,Bron!$C$9='Overzicht project'!$C57),"Nieuwbouw",IF(OR('Overzicht project'!$C57=Bron!$C$13,Bron!$C$14='Overzicht project'!$C57),"Voltooiingswerken",'Overzicht project'!$C57)))</f>
        <v/>
      </c>
      <c r="E679" s="891" t="s">
        <v>1152</v>
      </c>
      <c r="F679" s="872" t="s">
        <v>1092</v>
      </c>
      <c r="G679" s="894"/>
      <c r="H679" s="895"/>
      <c r="I679" s="590"/>
      <c r="P679" s="700"/>
    </row>
    <row r="680" spans="1:16" s="627" customFormat="1" x14ac:dyDescent="0.3">
      <c r="A680" s="866" t="s">
        <v>1089</v>
      </c>
      <c r="B680" s="869" t="s">
        <v>1153</v>
      </c>
      <c r="C680" s="876" t="str">
        <f>IF(AND('Overzicht BTA'!$C$39=FALSE,'Overzicht BTA'!$C$42= FALSE),_xlfn.CONCAT('Upload AXI - CONF'!$A680,'Upload AXI - CONF'!$B680),"")</f>
        <v>Object.BTAD.FlexVO523T</v>
      </c>
      <c r="D680" s="899">
        <f>ROUND('analyse bij belofte 2'!$F$42,2)</f>
        <v>0</v>
      </c>
      <c r="E680" s="869" t="s">
        <v>1154</v>
      </c>
      <c r="F680" s="868" t="s">
        <v>1092</v>
      </c>
      <c r="G680" s="896"/>
      <c r="H680" s="897"/>
      <c r="I680" s="774"/>
      <c r="P680" s="700"/>
    </row>
    <row r="681" spans="1:16" s="627" customFormat="1" x14ac:dyDescent="0.3">
      <c r="A681" s="862" t="s">
        <v>1089</v>
      </c>
      <c r="B681" s="891" t="s">
        <v>1155</v>
      </c>
      <c r="C681" s="876" t="str">
        <f>IF(AND('Overzicht BTA'!$C$39=FALSE,'Overzicht BTA'!$C$42= FALSE),_xlfn.CONCAT('Upload AXI - CONF'!$A681,'Upload AXI - CONF'!$B681),"")</f>
        <v>Object.BTAD.FlexVO523B</v>
      </c>
      <c r="D681" s="898">
        <f>ROUND('analyse bij belofte 2'!$F$43,2)</f>
        <v>0</v>
      </c>
      <c r="E681" s="891" t="s">
        <v>1156</v>
      </c>
      <c r="F681" s="872" t="s">
        <v>1092</v>
      </c>
      <c r="G681" s="894"/>
      <c r="H681" s="895"/>
      <c r="I681" s="774"/>
      <c r="P681" s="700"/>
    </row>
    <row r="682" spans="1:16" s="627" customFormat="1" x14ac:dyDescent="0.3">
      <c r="A682" s="866" t="s">
        <v>1089</v>
      </c>
      <c r="B682" s="869" t="s">
        <v>1157</v>
      </c>
      <c r="C682" s="876" t="str">
        <f>IF(AND('Overzicht BTA'!$C$39=FALSE,'Overzicht BTA'!$C$42= FALSE),_xlfn.CONCAT('Upload AXI - CONF'!$A682,'Upload AXI - CONF'!$B682),"")</f>
        <v>Object.BTAD.FlexVO524</v>
      </c>
      <c r="D682" s="869" t="str">
        <f>IF('Overzicht project'!$C58=Bron!$B$7,"",IF(OR('Overzicht project'!$C58=Bron!$C$8,Bron!$C$9='Overzicht project'!$C58),"Nieuwbouw",IF(OR('Overzicht project'!$C58=Bron!$C$13,Bron!$C$14='Overzicht project'!$C58),"Voltooiingswerken",'Overzicht project'!$C58)))</f>
        <v/>
      </c>
      <c r="E682" s="869" t="s">
        <v>1158</v>
      </c>
      <c r="F682" s="868" t="s">
        <v>1092</v>
      </c>
      <c r="G682" s="896"/>
      <c r="H682" s="897"/>
      <c r="I682" s="590"/>
      <c r="P682" s="700"/>
    </row>
    <row r="683" spans="1:16" s="627" customFormat="1" x14ac:dyDescent="0.3">
      <c r="A683" s="862" t="s">
        <v>1089</v>
      </c>
      <c r="B683" s="891" t="s">
        <v>1159</v>
      </c>
      <c r="C683" s="876" t="str">
        <f>IF(AND('Overzicht BTA'!$C$39=FALSE,'Overzicht BTA'!$C$42= FALSE),_xlfn.CONCAT('Upload AXI - CONF'!$A683,'Upload AXI - CONF'!$B683),"")</f>
        <v>Object.BTAD.FlexVO524T</v>
      </c>
      <c r="D683" s="898">
        <f>ROUND('analyse bij belofte 2'!$H$42,2)</f>
        <v>0</v>
      </c>
      <c r="E683" s="891" t="s">
        <v>1160</v>
      </c>
      <c r="F683" s="872" t="s">
        <v>1092</v>
      </c>
      <c r="G683" s="894"/>
      <c r="H683" s="895"/>
      <c r="I683" s="774"/>
      <c r="P683" s="700"/>
    </row>
    <row r="684" spans="1:16" s="627" customFormat="1" x14ac:dyDescent="0.3">
      <c r="A684" s="866" t="s">
        <v>1089</v>
      </c>
      <c r="B684" s="869" t="s">
        <v>1161</v>
      </c>
      <c r="C684" s="876" t="str">
        <f>IF(AND('Overzicht BTA'!$C$39=FALSE,'Overzicht BTA'!$C$42= FALSE),_xlfn.CONCAT('Upload AXI - CONF'!$A684,'Upload AXI - CONF'!$B684),"")</f>
        <v>Object.BTAD.FlexVO524B</v>
      </c>
      <c r="D684" s="899">
        <f>ROUND('analyse bij belofte 2'!$H$43,2)</f>
        <v>0</v>
      </c>
      <c r="E684" s="869" t="s">
        <v>1162</v>
      </c>
      <c r="F684" s="868" t="s">
        <v>1092</v>
      </c>
      <c r="G684" s="896"/>
      <c r="H684" s="897"/>
      <c r="I684" s="774"/>
      <c r="P684" s="700"/>
    </row>
    <row r="685" spans="1:16" s="627" customFormat="1" x14ac:dyDescent="0.3">
      <c r="A685" s="862" t="s">
        <v>1089</v>
      </c>
      <c r="B685" s="891" t="s">
        <v>1163</v>
      </c>
      <c r="C685" s="876" t="str">
        <f>IF(AND('Overzicht BTA'!$C$39=FALSE,'Overzicht BTA'!$C$42= FALSE),_xlfn.CONCAT('Upload AXI - CONF'!$A685,'Upload AXI - CONF'!$B685),"")</f>
        <v>Object.BTAD.FlexVO12quat</v>
      </c>
      <c r="D685" s="891" t="str">
        <f>IF('Overzicht project'!$C$42=Bron!$E$2,"",'Overzicht project'!$C$42)</f>
        <v/>
      </c>
      <c r="E685" s="891" t="s">
        <v>39</v>
      </c>
      <c r="F685" s="872" t="s">
        <v>1092</v>
      </c>
      <c r="G685" s="894"/>
      <c r="H685" s="895"/>
      <c r="I685" s="590"/>
      <c r="P685" s="700"/>
    </row>
    <row r="686" spans="1:16" s="627" customFormat="1" x14ac:dyDescent="0.3">
      <c r="A686" s="866" t="s">
        <v>1089</v>
      </c>
      <c r="B686" s="869" t="s">
        <v>1164</v>
      </c>
      <c r="C686" s="876" t="str">
        <f>IF(AND('Overzicht BTA'!$C$39=FALSE,'Overzicht BTA'!$C$42= FALSE),_xlfn.CONCAT('Upload AXI - CONF'!$A686,'Upload AXI - CONF'!$B686),"")</f>
        <v>Object.BTAD.FlexVO531</v>
      </c>
      <c r="D686" s="869" t="str">
        <f>IF('Overzicht project'!$C62=Bron!$B$7,"",IF(OR('Overzicht project'!$C62=Bron!$C$8,Bron!$C$9='Overzicht project'!$C62),"Nieuwbouw",IF(OR('Overzicht project'!$C62=Bron!$C$13,Bron!$C$14='Overzicht project'!$C62),"Voltooiingwerken",'Overzicht project'!$C62)))</f>
        <v/>
      </c>
      <c r="E686" s="869" t="s">
        <v>1165</v>
      </c>
      <c r="F686" s="868" t="s">
        <v>1092</v>
      </c>
      <c r="G686" s="896"/>
      <c r="H686" s="897"/>
      <c r="I686" s="590"/>
      <c r="P686" s="700"/>
    </row>
    <row r="687" spans="1:16" s="627" customFormat="1" x14ac:dyDescent="0.3">
      <c r="A687" s="862" t="s">
        <v>1089</v>
      </c>
      <c r="B687" s="891" t="s">
        <v>1166</v>
      </c>
      <c r="C687" s="876" t="str">
        <f>IF(AND('Overzicht BTA'!$C$39=FALSE,'Overzicht BTA'!$C$42= FALSE),_xlfn.CONCAT('Upload AXI - CONF'!$A687,'Upload AXI - CONF'!$B687),"")</f>
        <v>Object.BTAD.FlexVO531T</v>
      </c>
      <c r="D687" s="898">
        <f>ROUND('analyse bij belofte 3'!$B$42,2)</f>
        <v>0</v>
      </c>
      <c r="E687" s="891" t="s">
        <v>1167</v>
      </c>
      <c r="F687" s="872" t="s">
        <v>1092</v>
      </c>
      <c r="G687" s="894"/>
      <c r="H687" s="895"/>
      <c r="I687" s="774"/>
      <c r="P687" s="700"/>
    </row>
    <row r="688" spans="1:16" s="627" customFormat="1" x14ac:dyDescent="0.3">
      <c r="A688" s="866" t="s">
        <v>1089</v>
      </c>
      <c r="B688" s="869" t="s">
        <v>1168</v>
      </c>
      <c r="C688" s="876" t="str">
        <f>IF(AND('Overzicht BTA'!$C$39=FALSE,'Overzicht BTA'!$C$42= FALSE),_xlfn.CONCAT('Upload AXI - CONF'!$A688,'Upload AXI - CONF'!$B688),"")</f>
        <v>Object.BTAD.FlexVO531B</v>
      </c>
      <c r="D688" s="899">
        <f>ROUND('analyse bij belofte 3'!$B$43,2)</f>
        <v>0</v>
      </c>
      <c r="E688" s="869" t="s">
        <v>1169</v>
      </c>
      <c r="F688" s="868" t="s">
        <v>1092</v>
      </c>
      <c r="G688" s="896"/>
      <c r="H688" s="897"/>
      <c r="I688" s="774"/>
      <c r="P688" s="700"/>
    </row>
    <row r="689" spans="1:16" s="627" customFormat="1" x14ac:dyDescent="0.3">
      <c r="A689" s="862" t="s">
        <v>1089</v>
      </c>
      <c r="B689" s="891" t="s">
        <v>1170</v>
      </c>
      <c r="C689" s="876" t="str">
        <f>IF(AND('Overzicht BTA'!$C$39=FALSE,'Overzicht BTA'!$C$42= FALSE),_xlfn.CONCAT('Upload AXI - CONF'!$A689,'Upload AXI - CONF'!$B689),"")</f>
        <v>Object.BTAD.FlexVO532</v>
      </c>
      <c r="D689" s="891" t="str">
        <f>IF('Overzicht project'!$C63=Bron!$B$7,"",IF(OR('Overzicht project'!$C63=Bron!$C$8,Bron!$C$9='Overzicht project'!$C63),"Nieuwbouw",IF(OR('Overzicht project'!$C63=Bron!$C$13,Bron!$C$14='Overzicht project'!$C63),"voltooiingwerken",'Overzicht project'!$C63)))</f>
        <v/>
      </c>
      <c r="E689" s="891" t="s">
        <v>1171</v>
      </c>
      <c r="F689" s="872" t="s">
        <v>1092</v>
      </c>
      <c r="G689" s="894"/>
      <c r="H689" s="895"/>
      <c r="I689" s="590"/>
      <c r="P689" s="700"/>
    </row>
    <row r="690" spans="1:16" s="627" customFormat="1" x14ac:dyDescent="0.3">
      <c r="A690" s="866" t="s">
        <v>1089</v>
      </c>
      <c r="B690" s="869" t="s">
        <v>1172</v>
      </c>
      <c r="C690" s="876" t="str">
        <f>IF(AND('Overzicht BTA'!$C$39=FALSE,'Overzicht BTA'!$C$42= FALSE),_xlfn.CONCAT('Upload AXI - CONF'!$A690,'Upload AXI - CONF'!$B690),"")</f>
        <v>Object.BTAD.FlexVO532T</v>
      </c>
      <c r="D690" s="899">
        <f>ROUND('analyse bij belofte 3'!$D$42,2)</f>
        <v>0</v>
      </c>
      <c r="E690" s="869" t="s">
        <v>1173</v>
      </c>
      <c r="F690" s="868" t="s">
        <v>1092</v>
      </c>
      <c r="G690" s="896"/>
      <c r="H690" s="897"/>
      <c r="I690" s="774"/>
      <c r="P690" s="700"/>
    </row>
    <row r="691" spans="1:16" s="627" customFormat="1" x14ac:dyDescent="0.3">
      <c r="A691" s="862" t="s">
        <v>1089</v>
      </c>
      <c r="B691" s="891" t="s">
        <v>1174</v>
      </c>
      <c r="C691" s="876" t="str">
        <f>IF(AND('Overzicht BTA'!$C$39=FALSE,'Overzicht BTA'!$C$42= FALSE),_xlfn.CONCAT('Upload AXI - CONF'!$A691,'Upload AXI - CONF'!$B691),"")</f>
        <v>Object.BTAD.FlexVO532B</v>
      </c>
      <c r="D691" s="898">
        <f>ROUND('analyse bij belofte 3'!$D$43,2)</f>
        <v>0</v>
      </c>
      <c r="E691" s="891" t="s">
        <v>1175</v>
      </c>
      <c r="F691" s="872" t="s">
        <v>1092</v>
      </c>
      <c r="G691" s="894"/>
      <c r="H691" s="895"/>
      <c r="I691" s="774"/>
      <c r="P691" s="700"/>
    </row>
    <row r="692" spans="1:16" s="627" customFormat="1" x14ac:dyDescent="0.3">
      <c r="A692" s="866" t="s">
        <v>1089</v>
      </c>
      <c r="B692" s="869" t="s">
        <v>1176</v>
      </c>
      <c r="C692" s="876" t="str">
        <f>IF(AND('Overzicht BTA'!$C$39=FALSE,'Overzicht BTA'!$C$42= FALSE),_xlfn.CONCAT('Upload AXI - CONF'!$A692,'Upload AXI - CONF'!$B692),"")</f>
        <v>Object.BTAD.FlexVO533</v>
      </c>
      <c r="D692" s="869" t="str">
        <f>IF('Overzicht project'!$C64=Bron!$B$7,"",IF(OR('Overzicht project'!$C64=Bron!$C$8,Bron!$C$9='Overzicht project'!$C64),"Nieuwbouw",IF(OR('Overzicht project'!$C64=Bron!$C$13,Bron!$C$14='Overzicht project'!$C64),"Voltooiingswerken",'Overzicht project'!$C64)))</f>
        <v/>
      </c>
      <c r="E692" s="869" t="s">
        <v>1177</v>
      </c>
      <c r="F692" s="868" t="s">
        <v>1092</v>
      </c>
      <c r="G692" s="896"/>
      <c r="H692" s="897"/>
      <c r="I692" s="590"/>
      <c r="P692" s="700"/>
    </row>
    <row r="693" spans="1:16" s="627" customFormat="1" x14ac:dyDescent="0.3">
      <c r="A693" s="862" t="s">
        <v>1089</v>
      </c>
      <c r="B693" s="891" t="s">
        <v>1178</v>
      </c>
      <c r="C693" s="876" t="str">
        <f>IF(AND('Overzicht BTA'!$C$39=FALSE,'Overzicht BTA'!$C$42= FALSE),_xlfn.CONCAT('Upload AXI - CONF'!$A693,'Upload AXI - CONF'!$B693),"")</f>
        <v>Object.BTAD.FlexVO533T</v>
      </c>
      <c r="D693" s="898">
        <f>ROUND('analyse bij belofte 3'!$F$42,2)</f>
        <v>0</v>
      </c>
      <c r="E693" s="891" t="s">
        <v>1179</v>
      </c>
      <c r="F693" s="872" t="s">
        <v>1092</v>
      </c>
      <c r="G693" s="894"/>
      <c r="H693" s="895"/>
      <c r="I693" s="774"/>
      <c r="P693" s="700"/>
    </row>
    <row r="694" spans="1:16" s="627" customFormat="1" x14ac:dyDescent="0.3">
      <c r="A694" s="866" t="s">
        <v>1089</v>
      </c>
      <c r="B694" s="869" t="s">
        <v>1180</v>
      </c>
      <c r="C694" s="876" t="str">
        <f>IF(AND('Overzicht BTA'!$C$39=FALSE,'Overzicht BTA'!$C$42= FALSE),_xlfn.CONCAT('Upload AXI - CONF'!$A694,'Upload AXI - CONF'!$B694),"")</f>
        <v>Object.BTAD.FlexVO533B</v>
      </c>
      <c r="D694" s="899">
        <f>ROUND('analyse bij belofte 3'!$F$43,2)</f>
        <v>0</v>
      </c>
      <c r="E694" s="869" t="s">
        <v>1181</v>
      </c>
      <c r="F694" s="868" t="s">
        <v>1092</v>
      </c>
      <c r="G694" s="896"/>
      <c r="H694" s="897"/>
      <c r="I694" s="774"/>
      <c r="P694" s="700"/>
    </row>
    <row r="695" spans="1:16" s="627" customFormat="1" x14ac:dyDescent="0.3">
      <c r="A695" s="862" t="s">
        <v>1089</v>
      </c>
      <c r="B695" s="891" t="s">
        <v>1182</v>
      </c>
      <c r="C695" s="876" t="str">
        <f>IF(AND('Overzicht BTA'!$C$39=FALSE,'Overzicht BTA'!$C$42= FALSE),_xlfn.CONCAT('Upload AXI - CONF'!$A695,'Upload AXI - CONF'!$B695),"")</f>
        <v>Object.BTAD.FlexVO534</v>
      </c>
      <c r="D695" s="891" t="str">
        <f>IF('Overzicht project'!$C65=Bron!$B$7,"",IF(OR('Overzicht project'!$C65=Bron!$C$8,Bron!$C$9='Overzicht project'!$C65),"Nieuwbouw",IF(OR('Overzicht project'!$C65=Bron!$C$13,Bron!$C$14='Overzicht project'!$C65),"Voltooiingswerken",'Overzicht project'!$C65)))</f>
        <v/>
      </c>
      <c r="E695" s="891" t="s">
        <v>1183</v>
      </c>
      <c r="F695" s="872" t="s">
        <v>1092</v>
      </c>
      <c r="G695" s="894"/>
      <c r="H695" s="895"/>
      <c r="I695" s="590"/>
      <c r="P695" s="700"/>
    </row>
    <row r="696" spans="1:16" s="627" customFormat="1" x14ac:dyDescent="0.3">
      <c r="A696" s="866" t="s">
        <v>1089</v>
      </c>
      <c r="B696" s="869" t="s">
        <v>1184</v>
      </c>
      <c r="C696" s="876" t="str">
        <f>IF(AND('Overzicht BTA'!$C$39=FALSE,'Overzicht BTA'!$C$42= FALSE),_xlfn.CONCAT('Upload AXI - CONF'!$A696,'Upload AXI - CONF'!$B696),"")</f>
        <v>Object.BTAD.FlexVO534T</v>
      </c>
      <c r="D696" s="899">
        <f>ROUND('analyse bij belofte 3'!$H$42,2)</f>
        <v>0</v>
      </c>
      <c r="E696" s="869" t="s">
        <v>1185</v>
      </c>
      <c r="F696" s="868" t="s">
        <v>1092</v>
      </c>
      <c r="G696" s="896"/>
      <c r="H696" s="897"/>
      <c r="I696" s="774"/>
      <c r="P696" s="700"/>
    </row>
    <row r="697" spans="1:16" s="627" customFormat="1" x14ac:dyDescent="0.3">
      <c r="A697" s="862" t="s">
        <v>1089</v>
      </c>
      <c r="B697" s="891" t="s">
        <v>1186</v>
      </c>
      <c r="C697" s="876" t="str">
        <f>IF(AND('Overzicht BTA'!$C$39=FALSE,'Overzicht BTA'!$C$42= FALSE),_xlfn.CONCAT('Upload AXI - CONF'!$A697,'Upload AXI - CONF'!$B697),"")</f>
        <v>Object.BTAD.FlexVO534B</v>
      </c>
      <c r="D697" s="898">
        <f>ROUND('analyse bij belofte 3'!$H$43,2)</f>
        <v>0</v>
      </c>
      <c r="E697" s="891" t="s">
        <v>1187</v>
      </c>
      <c r="F697" s="872" t="s">
        <v>1092</v>
      </c>
      <c r="G697" s="894"/>
      <c r="H697" s="895"/>
      <c r="I697" s="774"/>
      <c r="P697" s="700"/>
    </row>
    <row r="698" spans="1:16" x14ac:dyDescent="0.3">
      <c r="A698" s="866" t="s">
        <v>1188</v>
      </c>
      <c r="B698" s="869" t="s">
        <v>1090</v>
      </c>
      <c r="C698" s="938" t="str">
        <f>IF(AND('Overzicht BTA'!$C$39=TRUE,'Overzicht BTA'!$C$42= FALSE),_xlfn.CONCAT('Upload AXI - CONF'!$A698,'Upload AXI - CONF'!$B698),"")</f>
        <v/>
      </c>
      <c r="D698" s="938">
        <f>ROUND('Overzicht project'!$D$30,2)</f>
        <v>0</v>
      </c>
      <c r="E698" s="868" t="s">
        <v>1091</v>
      </c>
      <c r="F698" s="868" t="s">
        <v>1189</v>
      </c>
      <c r="G698" s="868"/>
      <c r="H698" s="870"/>
      <c r="I698" s="771"/>
      <c r="P698" s="700"/>
    </row>
    <row r="699" spans="1:16" x14ac:dyDescent="0.3">
      <c r="A699" s="862" t="s">
        <v>1188</v>
      </c>
      <c r="B699" s="891" t="s">
        <v>1093</v>
      </c>
      <c r="C699" s="938" t="str">
        <f>IF(AND('Overzicht BTA'!$C$39=TRUE,'Overzicht BTA'!$C$42= FALSE),_xlfn.CONCAT('Upload AXI - CONF'!$A699,'Upload AXI - CONF'!$B699),"")</f>
        <v/>
      </c>
      <c r="D699" s="876">
        <f>ROUND(Oppervlakte_gewijzigd!$R$4,2)</f>
        <v>0</v>
      </c>
      <c r="E699" s="872" t="s">
        <v>1094</v>
      </c>
      <c r="F699" s="872" t="s">
        <v>1189</v>
      </c>
      <c r="G699" s="872"/>
      <c r="H699" s="874"/>
      <c r="I699" s="771"/>
      <c r="P699" s="700"/>
    </row>
    <row r="700" spans="1:16" x14ac:dyDescent="0.3">
      <c r="A700" s="866" t="s">
        <v>1188</v>
      </c>
      <c r="B700" s="868" t="s">
        <v>1095</v>
      </c>
      <c r="C700" s="938" t="str">
        <f>IF(AND('Overzicht BTA'!$C$39=TRUE,'Overzicht BTA'!$C$42= FALSE),_xlfn.CONCAT('Upload AXI - CONF'!$A700,'Upload AXI - CONF'!$B700),"")</f>
        <v/>
      </c>
      <c r="D700" s="877">
        <f>ROUND(SUM('Overzicht BTA'!D51:D54)+SUM('Overzicht BTA'!J51:J54)+SUM('Overzicht BTA'!P51:P54),2)</f>
        <v>0</v>
      </c>
      <c r="E700" s="868" t="s">
        <v>1096</v>
      </c>
      <c r="F700" s="868" t="s">
        <v>1189</v>
      </c>
      <c r="G700" s="868"/>
      <c r="H700" s="870"/>
      <c r="I700" s="771"/>
      <c r="P700" s="700"/>
    </row>
    <row r="701" spans="1:16" x14ac:dyDescent="0.3">
      <c r="A701" s="862"/>
      <c r="B701" s="872"/>
      <c r="C701" s="938" t="str">
        <f>IF(AND('Overzicht BTA'!$C$39=TRUE,'Overzicht BTA'!$C$42= FALSE),_xlfn.CONCAT('Upload AXI - CONF'!$A701,'Upload AXI - CONF'!$B701),"")</f>
        <v/>
      </c>
      <c r="D701" s="871">
        <f>ROUND('analyse bij belofte'!V63,2)</f>
        <v>0</v>
      </c>
      <c r="E701" s="872" t="s">
        <v>1190</v>
      </c>
      <c r="F701" s="872" t="s">
        <v>1189</v>
      </c>
      <c r="G701" s="872"/>
      <c r="H701" s="874"/>
      <c r="I701" s="767"/>
      <c r="P701" s="700"/>
    </row>
    <row r="702" spans="1:16" x14ac:dyDescent="0.3">
      <c r="A702" s="866" t="s">
        <v>1188</v>
      </c>
      <c r="B702" s="868" t="s">
        <v>1427</v>
      </c>
      <c r="C702" s="938" t="str">
        <f>IF(AND('Overzicht BTA'!$C$39=TRUE,'Overzicht BTA'!$C$42= FALSE),_xlfn.CONCAT('Upload AXI - CONF'!$A702,'Upload AXI - CONF'!$B702),"")</f>
        <v/>
      </c>
      <c r="D702" s="980">
        <f>'analyse bij belofte'!P51</f>
        <v>0</v>
      </c>
      <c r="E702" s="1105" t="s">
        <v>1428</v>
      </c>
      <c r="F702" s="872" t="s">
        <v>1189</v>
      </c>
      <c r="G702" s="868"/>
      <c r="H702" s="874"/>
      <c r="I702" s="767"/>
      <c r="P702" s="700"/>
    </row>
    <row r="703" spans="1:16" x14ac:dyDescent="0.3">
      <c r="A703" s="866" t="s">
        <v>1188</v>
      </c>
      <c r="B703" s="891" t="s">
        <v>1430</v>
      </c>
      <c r="C703" s="938" t="str">
        <f>IF(AND('Overzicht BTA'!$C$39=TRUE,'Overzicht BTA'!$C$42= FALSE),_xlfn.CONCAT('Upload AXI - CONF'!$A703,'Upload AXI - CONF'!$B703),"")</f>
        <v/>
      </c>
      <c r="D703" s="876">
        <f>'analyse bij belofte'!P63</f>
        <v>0</v>
      </c>
      <c r="E703" s="872" t="s">
        <v>1429</v>
      </c>
      <c r="F703" s="872" t="s">
        <v>1189</v>
      </c>
      <c r="G703" s="872"/>
      <c r="H703" s="874"/>
      <c r="I703" s="767"/>
      <c r="P703" s="700"/>
    </row>
    <row r="704" spans="1:16" x14ac:dyDescent="0.3">
      <c r="A704" s="866" t="s">
        <v>1188</v>
      </c>
      <c r="B704" s="868" t="s">
        <v>1104</v>
      </c>
      <c r="C704" s="938" t="str">
        <f>IF(AND('Overzicht BTA'!$C$39=TRUE,'Overzicht BTA'!$C$42= FALSE),_xlfn.CONCAT('Upload AXI - CONF'!$A704,'Upload AXI - CONF'!$B704),"")</f>
        <v/>
      </c>
      <c r="D704" s="867" t="e">
        <f ca="1">ROUND(kunst!$M$11,2)</f>
        <v>#REF!</v>
      </c>
      <c r="E704" s="868" t="s">
        <v>1105</v>
      </c>
      <c r="F704" s="868" t="s">
        <v>1189</v>
      </c>
      <c r="G704" s="868"/>
      <c r="H704" s="870"/>
      <c r="I704" s="767"/>
      <c r="P704" s="700"/>
    </row>
    <row r="705" spans="1:16" s="590" customFormat="1" x14ac:dyDescent="0.3">
      <c r="A705" s="862" t="s">
        <v>1188</v>
      </c>
      <c r="B705" s="891" t="s">
        <v>1106</v>
      </c>
      <c r="C705" s="938" t="str">
        <f>IF(AND('Overzicht BTA'!$C$39=TRUE,'Overzicht BTA'!$C$42= FALSE),_xlfn.CONCAT('Upload AXI - CONF'!$A705,'Upload AXI - CONF'!$B705),"")</f>
        <v/>
      </c>
      <c r="D705" s="890" t="str">
        <f>_xlfn.TEXTJOIN(", ",TRUE,IF('Overzicht BTA'!$C$57=0,"",_xlfn.TEXTJOIN("-",TRUE,"Nieuwbouw",TEXT('Overzicht BTA'!$C$57,"0%"))),IF('Overzicht BTA'!$C$58=0,"",_xlfn.TEXTJOIN("-",TRUE,"Nieuwbouw",TEXT('Overzicht BTA'!$C$58,"0%"))),IF('Overzicht BTA'!$C$59=0,"",_xlfn.TEXTJOIN("-",TRUE,'Overzicht BTA'!$B$59,TEXT('Overzicht BTA'!$C$59,"0%"))),IF('Overzicht BTA'!$C$60=0,"",_xlfn.TEXTJOIN("-",TRUE,'Overzicht BTA'!$B$60,TEXT('Overzicht BTA'!$C$60,"0%"))),IF('Overzicht BTA'!$C$61=0,"",_xlfn.TEXTJOIN("-",TRUE,'Overzicht BTA'!$B$61,TEXT('Overzicht BTA'!$C$61,"0%"))),IF('Overzicht BTA'!$C$62=0,"",_xlfn.TEXTJOIN("-",TRUE,'Overzicht BTA'!$B$62,TEXT('Overzicht BTA'!$C$62,"0%"))),IF('Overzicht BTA'!$C$63=0,"",_xlfn.TEXTJOIN("-",TRUE,'Overzicht BTA'!$B$63,TEXT('Overzicht BTA'!$C$63,"0%"))))</f>
        <v/>
      </c>
      <c r="E705" s="891" t="s">
        <v>1107</v>
      </c>
      <c r="F705" s="872" t="s">
        <v>1189</v>
      </c>
      <c r="G705" s="891"/>
      <c r="H705" s="892"/>
      <c r="I705" s="596"/>
      <c r="P705" s="700"/>
    </row>
    <row r="706" spans="1:16" s="590" customFormat="1" x14ac:dyDescent="0.3">
      <c r="A706" s="866" t="s">
        <v>1188</v>
      </c>
      <c r="B706" s="869" t="s">
        <v>1191</v>
      </c>
      <c r="C706" s="938" t="str">
        <f>IF(AND('Overzicht BTA'!$C$39=TRUE,'Overzicht BTA'!$C$42= FALSE),_xlfn.CONCAT('Upload AXI - CONF'!$A706,'Upload AXI - CONF'!$B706),"")</f>
        <v/>
      </c>
      <c r="D706" s="888">
        <f>ROUND('uitgebreide raming_gewijzigd'!$B$87,2)</f>
        <v>0</v>
      </c>
      <c r="E706" s="869" t="s">
        <v>1192</v>
      </c>
      <c r="F706" s="868" t="s">
        <v>1189</v>
      </c>
      <c r="G706" s="869"/>
      <c r="H706" s="884"/>
      <c r="I706" s="769"/>
      <c r="P706" s="700"/>
    </row>
    <row r="707" spans="1:16" x14ac:dyDescent="0.3">
      <c r="A707" s="862"/>
      <c r="B707" s="872"/>
      <c r="C707" s="938" t="str">
        <f>IF(AND('Overzicht BTA'!$C$39=TRUE,'Overzicht BTA'!$C$42= FALSE),_xlfn.CONCAT('Upload AXI - CONF'!$A707,'Upload AXI - CONF'!$B707),"")</f>
        <v/>
      </c>
      <c r="D707" s="871">
        <f>ROUND('analyse bij belofte'!V51,2)</f>
        <v>0</v>
      </c>
      <c r="E707" s="872" t="s">
        <v>1193</v>
      </c>
      <c r="F707" s="872" t="s">
        <v>1189</v>
      </c>
      <c r="G707" s="872"/>
      <c r="H707" s="874"/>
      <c r="I707" s="767"/>
      <c r="P707" s="700"/>
    </row>
    <row r="708" spans="1:16" x14ac:dyDescent="0.3">
      <c r="A708" s="866" t="s">
        <v>1188</v>
      </c>
      <c r="B708" s="868" t="s">
        <v>1194</v>
      </c>
      <c r="C708" s="938" t="str">
        <f>IF(AND('Overzicht BTA'!$C$39=TRUE,'Overzicht BTA'!$C$42= FALSE),_xlfn.CONCAT('Upload AXI - CONF'!$A708,'Upload AXI - CONF'!$B708),"")</f>
        <v/>
      </c>
      <c r="D708" s="900">
        <f>ROUND('Overzicht BTA'!$D$37,5)</f>
        <v>2.3958200000000001</v>
      </c>
      <c r="E708" s="868" t="s">
        <v>1195</v>
      </c>
      <c r="F708" s="868" t="s">
        <v>1189</v>
      </c>
      <c r="G708" s="868"/>
      <c r="H708" s="870"/>
      <c r="I708" s="775"/>
      <c r="P708" s="700"/>
    </row>
    <row r="709" spans="1:16" s="627" customFormat="1" x14ac:dyDescent="0.3">
      <c r="A709" s="862" t="s">
        <v>1188</v>
      </c>
      <c r="B709" s="891" t="s">
        <v>1113</v>
      </c>
      <c r="C709" s="938" t="str">
        <f>IF(AND('Overzicht BTA'!$C$39=TRUE,'Overzicht BTA'!$C$42= FALSE),_xlfn.CONCAT('Upload AXI - CONF'!$A709,'Upload AXI - CONF'!$B709),"")</f>
        <v/>
      </c>
      <c r="D709" s="891" t="str">
        <f>IF('Overzicht project'!$C$40=Bron!$E$2,"",'Overzicht project'!$C$40)</f>
        <v/>
      </c>
      <c r="E709" s="891" t="s">
        <v>36</v>
      </c>
      <c r="F709" s="872" t="s">
        <v>1189</v>
      </c>
      <c r="G709" s="894"/>
      <c r="H709" s="895"/>
      <c r="I709" s="590"/>
      <c r="P709" s="700"/>
    </row>
    <row r="710" spans="1:16" s="627" customFormat="1" x14ac:dyDescent="0.3">
      <c r="A710" s="866" t="s">
        <v>1188</v>
      </c>
      <c r="B710" s="869" t="s">
        <v>1114</v>
      </c>
      <c r="C710" s="938" t="str">
        <f>IF(AND('Overzicht BTA'!$C$39=TRUE,'Overzicht BTA'!$C$42= FALSE),_xlfn.CONCAT('Upload AXI - CONF'!$A710,'Upload AXI - CONF'!$B710),"")</f>
        <v/>
      </c>
      <c r="D710" s="869" t="str">
        <f>IF('Overzicht project_gewijzigd'!$C$10=Bron!$C$7,"",IF(OR('Overzicht project_gewijzigd'!$C$10=Bron!$C$8,'Overzicht project_gewijzigd'!$C$10=Bron!$C$9),"Nieuwbouw",IF(OR('Overzicht project_gewijzigd'!$C$10=Bron!$C$13,'Overzicht project_gewijzigd'!$C$10=Bron!$C$14),"Voltooiingswerken",'Overzicht project_gewijzigd'!$C$10)))</f>
        <v/>
      </c>
      <c r="E710" s="869" t="s">
        <v>1115</v>
      </c>
      <c r="F710" s="868" t="s">
        <v>1189</v>
      </c>
      <c r="G710" s="896"/>
      <c r="H710" s="897"/>
      <c r="I710" s="590"/>
      <c r="P710" s="700"/>
    </row>
    <row r="711" spans="1:16" s="627" customFormat="1" x14ac:dyDescent="0.3">
      <c r="A711" s="862" t="s">
        <v>1188</v>
      </c>
      <c r="B711" s="891" t="s">
        <v>1116</v>
      </c>
      <c r="C711" s="938" t="str">
        <f>IF(AND('Overzicht BTA'!$C$39=TRUE,'Overzicht BTA'!$C$42= FALSE),_xlfn.CONCAT('Upload AXI - CONF'!$A711,'Upload AXI - CONF'!$B711),"")</f>
        <v/>
      </c>
      <c r="D711" s="898">
        <f>ROUND('analyse bij belofte 1'!$B$33,2)</f>
        <v>0</v>
      </c>
      <c r="E711" s="891" t="s">
        <v>1117</v>
      </c>
      <c r="F711" s="872" t="s">
        <v>1189</v>
      </c>
      <c r="G711" s="891"/>
      <c r="H711" s="892"/>
      <c r="I711" s="774"/>
      <c r="P711" s="700"/>
    </row>
    <row r="712" spans="1:16" s="627" customFormat="1" x14ac:dyDescent="0.3">
      <c r="A712" s="866" t="s">
        <v>1188</v>
      </c>
      <c r="B712" s="869" t="s">
        <v>1118</v>
      </c>
      <c r="C712" s="938" t="str">
        <f>IF(AND('Overzicht BTA'!$C$39=TRUE,'Overzicht BTA'!$C$42= FALSE),_xlfn.CONCAT('Upload AXI - CONF'!$A712,'Upload AXI - CONF'!$B712),"")</f>
        <v/>
      </c>
      <c r="D712" s="899">
        <f>ROUND('analyse bij belofte 1'!$B$34,2)</f>
        <v>0</v>
      </c>
      <c r="E712" s="869" t="s">
        <v>1119</v>
      </c>
      <c r="F712" s="868" t="s">
        <v>1189</v>
      </c>
      <c r="G712" s="896"/>
      <c r="H712" s="897"/>
      <c r="I712" s="774"/>
      <c r="P712" s="700"/>
    </row>
    <row r="713" spans="1:16" s="627" customFormat="1" x14ac:dyDescent="0.3">
      <c r="A713" s="862" t="s">
        <v>1188</v>
      </c>
      <c r="B713" s="891" t="s">
        <v>1120</v>
      </c>
      <c r="C713" s="938" t="str">
        <f>IF(AND('Overzicht BTA'!$C$39=TRUE,'Overzicht BTA'!$C$42= FALSE),_xlfn.CONCAT('Upload AXI - CONF'!$A713,'Upload AXI - CONF'!$B713),"")</f>
        <v/>
      </c>
      <c r="D713" s="891" t="str">
        <f>IF('Overzicht project_gewijzigd'!$C$11=Bron!$C$7,"",IF(OR('Overzicht project_gewijzigd'!$C$11=Bron!$C$8,'Overzicht project_gewijzigd'!$C$11=Bron!$C$9),"Nieuwbouw",IF(OR('Overzicht project_gewijzigd'!$C$11=Bron!$C$13,'Overzicht project_gewijzigd'!$C$11=Bron!$C$14),"Voltooiingswerken",'Overzicht project_gewijzigd'!$C$11)))</f>
        <v/>
      </c>
      <c r="E713" s="891" t="s">
        <v>1121</v>
      </c>
      <c r="F713" s="872" t="s">
        <v>1189</v>
      </c>
      <c r="G713" s="894"/>
      <c r="H713" s="895"/>
      <c r="I713" s="590"/>
      <c r="P713" s="700"/>
    </row>
    <row r="714" spans="1:16" s="627" customFormat="1" x14ac:dyDescent="0.3">
      <c r="A714" s="866" t="s">
        <v>1188</v>
      </c>
      <c r="B714" s="869" t="s">
        <v>1122</v>
      </c>
      <c r="C714" s="938" t="str">
        <f>IF(AND('Overzicht BTA'!$C$39=TRUE,'Overzicht BTA'!$C$42= FALSE),_xlfn.CONCAT('Upload AXI - CONF'!$A714,'Upload AXI - CONF'!$B714),"")</f>
        <v/>
      </c>
      <c r="D714" s="899">
        <f>ROUND('analyse bij belofte 1'!$D$33,2)</f>
        <v>0</v>
      </c>
      <c r="E714" s="869" t="s">
        <v>1123</v>
      </c>
      <c r="F714" s="868" t="s">
        <v>1189</v>
      </c>
      <c r="G714" s="896"/>
      <c r="H714" s="897"/>
      <c r="I714" s="774"/>
      <c r="P714" s="700"/>
    </row>
    <row r="715" spans="1:16" s="627" customFormat="1" x14ac:dyDescent="0.3">
      <c r="A715" s="862" t="s">
        <v>1188</v>
      </c>
      <c r="B715" s="891" t="s">
        <v>1124</v>
      </c>
      <c r="C715" s="938" t="str">
        <f>IF(AND('Overzicht BTA'!$C$39=TRUE,'Overzicht BTA'!$C$42= FALSE),_xlfn.CONCAT('Upload AXI - CONF'!$A715,'Upload AXI - CONF'!$B715),"")</f>
        <v/>
      </c>
      <c r="D715" s="898">
        <f>ROUND('analyse bij belofte 1'!$D$34,2)</f>
        <v>0</v>
      </c>
      <c r="E715" s="891" t="s">
        <v>1125</v>
      </c>
      <c r="F715" s="872" t="s">
        <v>1189</v>
      </c>
      <c r="G715" s="894"/>
      <c r="H715" s="895"/>
      <c r="I715" s="774"/>
      <c r="P715" s="700"/>
    </row>
    <row r="716" spans="1:16" s="627" customFormat="1" x14ac:dyDescent="0.3">
      <c r="A716" s="866" t="s">
        <v>1188</v>
      </c>
      <c r="B716" s="869" t="s">
        <v>1126</v>
      </c>
      <c r="C716" s="938" t="str">
        <f>IF(AND('Overzicht BTA'!$C$39=TRUE,'Overzicht BTA'!$C$42= FALSE),_xlfn.CONCAT('Upload AXI - CONF'!$A716,'Upload AXI - CONF'!$B716),"")</f>
        <v/>
      </c>
      <c r="D716" s="869" t="str">
        <f>IF('Overzicht project_gewijzigd'!$C$12=Bron!$C$7,"",IF(OR('Overzicht project_gewijzigd'!$C$12=Bron!$C$8,'Overzicht project_gewijzigd'!$C$12=Bron!$C$9),"Nieuwbouw",IF(OR('Overzicht project_gewijzigd'!$C$12=Bron!$C$13,'Overzicht project_gewijzigd'!$C$12=Bron!$C$14),"Voltooiingswerken",'Overzicht project_gewijzigd'!$C$12)))</f>
        <v/>
      </c>
      <c r="E716" s="869" t="s">
        <v>1127</v>
      </c>
      <c r="F716" s="868" t="s">
        <v>1189</v>
      </c>
      <c r="G716" s="896"/>
      <c r="H716" s="897"/>
      <c r="I716" s="590"/>
      <c r="P716" s="700"/>
    </row>
    <row r="717" spans="1:16" s="627" customFormat="1" x14ac:dyDescent="0.3">
      <c r="A717" s="862" t="s">
        <v>1188</v>
      </c>
      <c r="B717" s="891" t="s">
        <v>1128</v>
      </c>
      <c r="C717" s="938" t="str">
        <f>IF(AND('Overzicht BTA'!$C$39=TRUE,'Overzicht BTA'!$C$42= FALSE),_xlfn.CONCAT('Upload AXI - CONF'!$A717,'Upload AXI - CONF'!$B717),"")</f>
        <v/>
      </c>
      <c r="D717" s="898">
        <f>ROUND('analyse bij belofte 1'!$F$33,2)</f>
        <v>0</v>
      </c>
      <c r="E717" s="891" t="s">
        <v>1129</v>
      </c>
      <c r="F717" s="872" t="s">
        <v>1189</v>
      </c>
      <c r="G717" s="894"/>
      <c r="H717" s="895"/>
      <c r="I717" s="774"/>
      <c r="P717" s="700"/>
    </row>
    <row r="718" spans="1:16" s="627" customFormat="1" x14ac:dyDescent="0.3">
      <c r="A718" s="866" t="s">
        <v>1188</v>
      </c>
      <c r="B718" s="869" t="s">
        <v>1130</v>
      </c>
      <c r="C718" s="938" t="str">
        <f>IF(AND('Overzicht BTA'!$C$39=TRUE,'Overzicht BTA'!$C$42= FALSE),_xlfn.CONCAT('Upload AXI - CONF'!$A718,'Upload AXI - CONF'!$B718),"")</f>
        <v/>
      </c>
      <c r="D718" s="899">
        <f>ROUND('analyse bij belofte 1'!$F$34,2)</f>
        <v>0</v>
      </c>
      <c r="E718" s="869" t="s">
        <v>1131</v>
      </c>
      <c r="F718" s="868" t="s">
        <v>1189</v>
      </c>
      <c r="G718" s="896"/>
      <c r="H718" s="897"/>
      <c r="I718" s="774"/>
      <c r="P718" s="700"/>
    </row>
    <row r="719" spans="1:16" s="627" customFormat="1" x14ac:dyDescent="0.3">
      <c r="A719" s="862" t="s">
        <v>1188</v>
      </c>
      <c r="B719" s="891" t="s">
        <v>1132</v>
      </c>
      <c r="C719" s="938" t="str">
        <f>IF(AND('Overzicht BTA'!$C$39=TRUE,'Overzicht BTA'!$C$42= FALSE),_xlfn.CONCAT('Upload AXI - CONF'!$A719,'Upload AXI - CONF'!$B719),"")</f>
        <v/>
      </c>
      <c r="D719" s="891" t="str">
        <f>IF('Overzicht project_gewijzigd'!$C$13=Bron!$C$7,"",IF(OR('Overzicht project_gewijzigd'!$C$13=Bron!$C$8,'Overzicht project_gewijzigd'!$C$13=Bron!$C$9),"Nieuwbouw",IF(OR('Overzicht project_gewijzigd'!$C$13=Bron!$C$13,'Overzicht project_gewijzigd'!$C$13=Bron!$C$14),"Voltooiingswerken",'Overzicht project_gewijzigd'!$C$13)))</f>
        <v/>
      </c>
      <c r="E719" s="891" t="s">
        <v>1133</v>
      </c>
      <c r="F719" s="872" t="s">
        <v>1189</v>
      </c>
      <c r="G719" s="894"/>
      <c r="H719" s="895"/>
      <c r="I719" s="590"/>
      <c r="P719" s="700"/>
    </row>
    <row r="720" spans="1:16" s="627" customFormat="1" x14ac:dyDescent="0.3">
      <c r="A720" s="866" t="s">
        <v>1188</v>
      </c>
      <c r="B720" s="869" t="s">
        <v>1134</v>
      </c>
      <c r="C720" s="938" t="str">
        <f>IF(AND('Overzicht BTA'!$C$39=TRUE,'Overzicht BTA'!$C$42= FALSE),_xlfn.CONCAT('Upload AXI - CONF'!$A720,'Upload AXI - CONF'!$B720),"")</f>
        <v/>
      </c>
      <c r="D720" s="899">
        <f>ROUND('analyse bij belofte 1'!$H$33,2)</f>
        <v>0</v>
      </c>
      <c r="E720" s="869" t="s">
        <v>1135</v>
      </c>
      <c r="F720" s="868" t="s">
        <v>1189</v>
      </c>
      <c r="G720" s="896"/>
      <c r="H720" s="897"/>
      <c r="I720" s="774"/>
      <c r="P720" s="700"/>
    </row>
    <row r="721" spans="1:16" s="627" customFormat="1" x14ac:dyDescent="0.3">
      <c r="A721" s="862" t="s">
        <v>1188</v>
      </c>
      <c r="B721" s="891" t="s">
        <v>1136</v>
      </c>
      <c r="C721" s="938" t="str">
        <f>IF(AND('Overzicht BTA'!$C$39=TRUE,'Overzicht BTA'!$C$42= FALSE),_xlfn.CONCAT('Upload AXI - CONF'!$A721,'Upload AXI - CONF'!$B721),"")</f>
        <v/>
      </c>
      <c r="D721" s="898">
        <f>ROUND('analyse bij belofte 1'!$H$34,2)</f>
        <v>0</v>
      </c>
      <c r="E721" s="891" t="s">
        <v>1137</v>
      </c>
      <c r="F721" s="872" t="s">
        <v>1189</v>
      </c>
      <c r="G721" s="894"/>
      <c r="H721" s="895"/>
      <c r="I721" s="774"/>
      <c r="P721" s="700"/>
    </row>
    <row r="722" spans="1:16" s="627" customFormat="1" x14ac:dyDescent="0.3">
      <c r="A722" s="866" t="s">
        <v>1188</v>
      </c>
      <c r="B722" s="869" t="s">
        <v>1138</v>
      </c>
      <c r="C722" s="938" t="str">
        <f>IF(AND('Overzicht BTA'!$C$39=TRUE,'Overzicht BTA'!$C$42= FALSE),_xlfn.CONCAT('Upload AXI - CONF'!$A722,'Upload AXI - CONF'!$B722),"")</f>
        <v/>
      </c>
      <c r="D722" s="869" t="str">
        <f>IF('Overzicht project'!$C$41=Bron!$E$2,"",'Overzicht project'!$C$41)</f>
        <v/>
      </c>
      <c r="E722" s="869" t="s">
        <v>38</v>
      </c>
      <c r="F722" s="868" t="s">
        <v>1189</v>
      </c>
      <c r="G722" s="896"/>
      <c r="H722" s="897"/>
      <c r="I722" s="590"/>
      <c r="P722" s="700"/>
    </row>
    <row r="723" spans="1:16" s="627" customFormat="1" x14ac:dyDescent="0.3">
      <c r="A723" s="862" t="s">
        <v>1188</v>
      </c>
      <c r="B723" s="891" t="s">
        <v>1139</v>
      </c>
      <c r="C723" s="938" t="str">
        <f>IF(AND('Overzicht BTA'!$C$39=TRUE,'Overzicht BTA'!$C$42= FALSE),_xlfn.CONCAT('Upload AXI - CONF'!$A723,'Upload AXI - CONF'!$B723),"")</f>
        <v/>
      </c>
      <c r="D723" s="891" t="str">
        <f>IF('Overzicht project_gewijzigd'!$C$17=Bron!$C$7,"",IF(OR('Overzicht project_gewijzigd'!$C$17=Bron!$C$8,'Overzicht project_gewijzigd'!$C$17=Bron!$C$9),"Nieuwbouw",IF(OR('Overzicht project_gewijzigd'!$C$17=Bron!$C$13,'Overzicht project_gewijzigd'!$C$17=Bron!$C$14),"voltooiingswerken",'Overzicht project_gewijzigd'!$C$17)))</f>
        <v/>
      </c>
      <c r="E723" s="891" t="s">
        <v>1140</v>
      </c>
      <c r="F723" s="872" t="s">
        <v>1189</v>
      </c>
      <c r="G723" s="894"/>
      <c r="H723" s="895"/>
      <c r="I723" s="590"/>
      <c r="P723" s="700"/>
    </row>
    <row r="724" spans="1:16" s="627" customFormat="1" x14ac:dyDescent="0.3">
      <c r="A724" s="866" t="s">
        <v>1188</v>
      </c>
      <c r="B724" s="869" t="s">
        <v>1141</v>
      </c>
      <c r="C724" s="938" t="str">
        <f>IF(AND('Overzicht BTA'!$C$39=TRUE,'Overzicht BTA'!$C$42= FALSE),_xlfn.CONCAT('Upload AXI - CONF'!$A724,'Upload AXI - CONF'!$B724),"")</f>
        <v/>
      </c>
      <c r="D724" s="899">
        <f>ROUND('analyse bij belofte 2'!$B$33,2)</f>
        <v>0</v>
      </c>
      <c r="E724" s="869" t="s">
        <v>1142</v>
      </c>
      <c r="F724" s="868" t="s">
        <v>1189</v>
      </c>
      <c r="G724" s="896"/>
      <c r="H724" s="897"/>
      <c r="I724" s="774"/>
      <c r="P724" s="700"/>
    </row>
    <row r="725" spans="1:16" s="627" customFormat="1" x14ac:dyDescent="0.3">
      <c r="A725" s="862" t="s">
        <v>1188</v>
      </c>
      <c r="B725" s="891" t="s">
        <v>1143</v>
      </c>
      <c r="C725" s="938" t="str">
        <f>IF(AND('Overzicht BTA'!$C$39=TRUE,'Overzicht BTA'!$C$42= FALSE),_xlfn.CONCAT('Upload AXI - CONF'!$A725,'Upload AXI - CONF'!$B725),"")</f>
        <v/>
      </c>
      <c r="D725" s="898">
        <f>ROUND('analyse bij belofte 2'!$B$34,2)</f>
        <v>0</v>
      </c>
      <c r="E725" s="891" t="s">
        <v>1144</v>
      </c>
      <c r="F725" s="872" t="s">
        <v>1189</v>
      </c>
      <c r="G725" s="894"/>
      <c r="H725" s="895"/>
      <c r="I725" s="774"/>
      <c r="P725" s="700"/>
    </row>
    <row r="726" spans="1:16" s="627" customFormat="1" x14ac:dyDescent="0.3">
      <c r="A726" s="866" t="s">
        <v>1188</v>
      </c>
      <c r="B726" s="869" t="s">
        <v>1145</v>
      </c>
      <c r="C726" s="938" t="str">
        <f>IF(AND('Overzicht BTA'!$C$39=TRUE,'Overzicht BTA'!$C$42= FALSE),_xlfn.CONCAT('Upload AXI - CONF'!$A726,'Upload AXI - CONF'!$B726),"")</f>
        <v/>
      </c>
      <c r="D726" s="869" t="str">
        <f>IF('Overzicht project_gewijzigd'!$C$18=Bron!$C$7,"",IF(OR('Overzicht project_gewijzigd'!$C$18=Bron!$C$8,'Overzicht project_gewijzigd'!$C$18=Bron!$C$9),"Nieuwbouw",IF(OR('Overzicht project_gewijzigd'!$C$18=Bron!$C$14,'Overzicht project_gewijzigd'!$C$18=Bron!$C$13),"Voltooiingswerken",'Overzicht project_gewijzigd'!$C$18)))</f>
        <v/>
      </c>
      <c r="E726" s="869" t="s">
        <v>1146</v>
      </c>
      <c r="F726" s="868" t="s">
        <v>1189</v>
      </c>
      <c r="G726" s="896"/>
      <c r="H726" s="897"/>
      <c r="I726" s="590"/>
      <c r="P726" s="700"/>
    </row>
    <row r="727" spans="1:16" s="627" customFormat="1" x14ac:dyDescent="0.3">
      <c r="A727" s="862" t="s">
        <v>1188</v>
      </c>
      <c r="B727" s="891" t="s">
        <v>1147</v>
      </c>
      <c r="C727" s="938" t="str">
        <f>IF(AND('Overzicht BTA'!$C$39=TRUE,'Overzicht BTA'!$C$42= FALSE),_xlfn.CONCAT('Upload AXI - CONF'!$A727,'Upload AXI - CONF'!$B727),"")</f>
        <v/>
      </c>
      <c r="D727" s="898">
        <f>ROUND('analyse bij belofte 2'!$D$33,2)</f>
        <v>0</v>
      </c>
      <c r="E727" s="891" t="s">
        <v>1148</v>
      </c>
      <c r="F727" s="872" t="s">
        <v>1189</v>
      </c>
      <c r="G727" s="894"/>
      <c r="H727" s="895"/>
      <c r="I727" s="774"/>
      <c r="P727" s="700"/>
    </row>
    <row r="728" spans="1:16" s="627" customFormat="1" x14ac:dyDescent="0.3">
      <c r="A728" s="866" t="s">
        <v>1188</v>
      </c>
      <c r="B728" s="869" t="s">
        <v>1149</v>
      </c>
      <c r="C728" s="938" t="str">
        <f>IF(AND('Overzicht BTA'!$C$39=TRUE,'Overzicht BTA'!$C$42= FALSE),_xlfn.CONCAT('Upload AXI - CONF'!$A728,'Upload AXI - CONF'!$B728),"")</f>
        <v/>
      </c>
      <c r="D728" s="899">
        <f>ROUND('analyse bij belofte 2'!$D$34,2)</f>
        <v>0</v>
      </c>
      <c r="E728" s="869" t="s">
        <v>1150</v>
      </c>
      <c r="F728" s="868" t="s">
        <v>1189</v>
      </c>
      <c r="G728" s="896"/>
      <c r="H728" s="897"/>
      <c r="I728" s="774"/>
      <c r="P728" s="700"/>
    </row>
    <row r="729" spans="1:16" s="627" customFormat="1" x14ac:dyDescent="0.3">
      <c r="A729" s="862" t="s">
        <v>1188</v>
      </c>
      <c r="B729" s="891" t="s">
        <v>1151</v>
      </c>
      <c r="C729" s="938" t="str">
        <f>IF(AND('Overzicht BTA'!$C$39=TRUE,'Overzicht BTA'!$C$42= FALSE),_xlfn.CONCAT('Upload AXI - CONF'!$A729,'Upload AXI - CONF'!$B729),"")</f>
        <v/>
      </c>
      <c r="D729" s="891" t="str">
        <f>IF('Overzicht project_gewijzigd'!$C$19=Bron!$C$7,"",IF(OR('Overzicht project_gewijzigd'!$C$19=Bron!$C$8,'Overzicht project_gewijzigd'!$C$19=Bron!$C$9),"Nieuwbouw",IF(OR('Overzicht project_gewijzigd'!$C$19=Bron!$C$13,'Overzicht project_gewijzigd'!$C$16=Bron!$C$9),"Voltooiingswerken",'Overzicht project_gewijzigd'!$C$19)))</f>
        <v/>
      </c>
      <c r="E729" s="891" t="s">
        <v>1152</v>
      </c>
      <c r="F729" s="872" t="s">
        <v>1189</v>
      </c>
      <c r="G729" s="894"/>
      <c r="H729" s="895"/>
      <c r="I729" s="590"/>
      <c r="P729" s="700"/>
    </row>
    <row r="730" spans="1:16" s="627" customFormat="1" x14ac:dyDescent="0.3">
      <c r="A730" s="866" t="s">
        <v>1188</v>
      </c>
      <c r="B730" s="869" t="s">
        <v>1153</v>
      </c>
      <c r="C730" s="938" t="str">
        <f>IF(AND('Overzicht BTA'!$C$39=TRUE,'Overzicht BTA'!$C$42= FALSE),_xlfn.CONCAT('Upload AXI - CONF'!$A730,'Upload AXI - CONF'!$B730),"")</f>
        <v/>
      </c>
      <c r="D730" s="899">
        <f>ROUND('analyse bij belofte 2'!$F$33,2)</f>
        <v>0</v>
      </c>
      <c r="E730" s="869" t="s">
        <v>1154</v>
      </c>
      <c r="F730" s="868" t="s">
        <v>1189</v>
      </c>
      <c r="G730" s="896"/>
      <c r="H730" s="897"/>
      <c r="I730" s="774"/>
      <c r="P730" s="700"/>
    </row>
    <row r="731" spans="1:16" s="627" customFormat="1" x14ac:dyDescent="0.3">
      <c r="A731" s="862" t="s">
        <v>1188</v>
      </c>
      <c r="B731" s="891" t="s">
        <v>1155</v>
      </c>
      <c r="C731" s="938" t="str">
        <f>IF(AND('Overzicht BTA'!$C$39=TRUE,'Overzicht BTA'!$C$42= FALSE),_xlfn.CONCAT('Upload AXI - CONF'!$A731,'Upload AXI - CONF'!$B731),"")</f>
        <v/>
      </c>
      <c r="D731" s="898">
        <f>ROUND('analyse bij belofte 2'!$F$34,2)</f>
        <v>0</v>
      </c>
      <c r="E731" s="891" t="s">
        <v>1156</v>
      </c>
      <c r="F731" s="872" t="s">
        <v>1189</v>
      </c>
      <c r="G731" s="894"/>
      <c r="H731" s="895"/>
      <c r="I731" s="774"/>
      <c r="P731" s="700"/>
    </row>
    <row r="732" spans="1:16" s="627" customFormat="1" x14ac:dyDescent="0.3">
      <c r="A732" s="866" t="s">
        <v>1188</v>
      </c>
      <c r="B732" s="869" t="s">
        <v>1157</v>
      </c>
      <c r="C732" s="938" t="str">
        <f>IF(AND('Overzicht BTA'!$C$39=TRUE,'Overzicht BTA'!$C$42= FALSE),_xlfn.CONCAT('Upload AXI - CONF'!$A732,'Upload AXI - CONF'!$B732),"")</f>
        <v/>
      </c>
      <c r="D732" s="869" t="str">
        <f>IF('Overzicht project_gewijzigd'!$C$20=Bron!$C$7,"",IF(OR('Overzicht project_gewijzigd'!$C$20=Bron!$C$8,'Overzicht project_gewijzigd'!$C$20=Bron!$C$9),"Nieuwbouw",IF(OR('Overzicht project_gewijzigd'!$C$20=Bron!$C$13,'Overzicht project_gewijzigd'!$C$20=Bron!$C$14),"Voltooiingswerken",'Overzicht project_gewijzigd'!$C$20)))</f>
        <v/>
      </c>
      <c r="E732" s="869" t="s">
        <v>1158</v>
      </c>
      <c r="F732" s="868" t="s">
        <v>1189</v>
      </c>
      <c r="G732" s="896"/>
      <c r="H732" s="897"/>
      <c r="I732" s="590"/>
      <c r="P732" s="700"/>
    </row>
    <row r="733" spans="1:16" s="627" customFormat="1" x14ac:dyDescent="0.3">
      <c r="A733" s="862" t="s">
        <v>1188</v>
      </c>
      <c r="B733" s="891" t="s">
        <v>1159</v>
      </c>
      <c r="C733" s="938" t="str">
        <f>IF(AND('Overzicht BTA'!$C$39=TRUE,'Overzicht BTA'!$C$42= FALSE),_xlfn.CONCAT('Upload AXI - CONF'!$A733,'Upload AXI - CONF'!$B733),"")</f>
        <v/>
      </c>
      <c r="D733" s="898">
        <f>ROUND('analyse bij belofte 2'!$H$33,2)</f>
        <v>0</v>
      </c>
      <c r="E733" s="891" t="s">
        <v>1160</v>
      </c>
      <c r="F733" s="872" t="s">
        <v>1189</v>
      </c>
      <c r="G733" s="894"/>
      <c r="H733" s="895"/>
      <c r="I733" s="774"/>
      <c r="P733" s="700"/>
    </row>
    <row r="734" spans="1:16" s="627" customFormat="1" x14ac:dyDescent="0.3">
      <c r="A734" s="866" t="s">
        <v>1188</v>
      </c>
      <c r="B734" s="869" t="s">
        <v>1161</v>
      </c>
      <c r="C734" s="938" t="str">
        <f>IF(AND('Overzicht BTA'!$C$39=TRUE,'Overzicht BTA'!$C$42= FALSE),_xlfn.CONCAT('Upload AXI - CONF'!$A734,'Upload AXI - CONF'!$B734),"")</f>
        <v/>
      </c>
      <c r="D734" s="899">
        <f>ROUND('analyse bij belofte 2'!$H$34,2)</f>
        <v>0</v>
      </c>
      <c r="E734" s="869" t="s">
        <v>1162</v>
      </c>
      <c r="F734" s="868" t="s">
        <v>1189</v>
      </c>
      <c r="G734" s="896"/>
      <c r="H734" s="897"/>
      <c r="I734" s="774"/>
      <c r="P734" s="700"/>
    </row>
    <row r="735" spans="1:16" s="627" customFormat="1" x14ac:dyDescent="0.3">
      <c r="A735" s="862" t="s">
        <v>1188</v>
      </c>
      <c r="B735" s="891" t="s">
        <v>1163</v>
      </c>
      <c r="C735" s="938" t="str">
        <f>IF(AND('Overzicht BTA'!$C$39=TRUE,'Overzicht BTA'!$C$42= FALSE),_xlfn.CONCAT('Upload AXI - CONF'!$A735,'Upload AXI - CONF'!$B735),"")</f>
        <v/>
      </c>
      <c r="D735" s="891" t="str">
        <f>IF('Overzicht project'!$C$42=Bron!$E$2,"",'Overzicht project'!$C$42)</f>
        <v/>
      </c>
      <c r="E735" s="891" t="s">
        <v>39</v>
      </c>
      <c r="F735" s="872" t="s">
        <v>1189</v>
      </c>
      <c r="G735" s="894"/>
      <c r="H735" s="895"/>
      <c r="I735" s="590"/>
      <c r="P735" s="700"/>
    </row>
    <row r="736" spans="1:16" s="627" customFormat="1" x14ac:dyDescent="0.3">
      <c r="A736" s="866" t="s">
        <v>1188</v>
      </c>
      <c r="B736" s="869" t="s">
        <v>1164</v>
      </c>
      <c r="C736" s="938" t="str">
        <f>IF(AND('Overzicht BTA'!$C$39=TRUE,'Overzicht BTA'!$C$42= FALSE),_xlfn.CONCAT('Upload AXI - CONF'!$A736,'Upload AXI - CONF'!$B736),"")</f>
        <v/>
      </c>
      <c r="D736" s="869" t="str">
        <f>IF('Overzicht project_gewijzigd'!$C$24=Bron!$C$7,"",IF(OR('Overzicht project_gewijzigd'!$C$24=Bron!$C$8,'Overzicht project_gewijzigd'!$C$24=Bron!$C$9),"Nieuwbouw",IF(OR('Overzicht project_gewijzigd'!$C$24=Bron!$C$13,'Overzicht project_gewijzigd'!$C$24=Bron!$C$14),"Voltooiingswerken",'Overzicht project_gewijzigd'!$C$24)))</f>
        <v/>
      </c>
      <c r="E736" s="869" t="s">
        <v>1165</v>
      </c>
      <c r="F736" s="868" t="s">
        <v>1189</v>
      </c>
      <c r="G736" s="896"/>
      <c r="H736" s="897"/>
      <c r="I736" s="590"/>
      <c r="P736" s="700"/>
    </row>
    <row r="737" spans="1:16" s="627" customFormat="1" x14ac:dyDescent="0.3">
      <c r="A737" s="862" t="s">
        <v>1188</v>
      </c>
      <c r="B737" s="891" t="s">
        <v>1166</v>
      </c>
      <c r="C737" s="938" t="str">
        <f>IF(AND('Overzicht BTA'!$C$39=TRUE,'Overzicht BTA'!$C$42= FALSE),_xlfn.CONCAT('Upload AXI - CONF'!$A737,'Upload AXI - CONF'!$B737),"")</f>
        <v/>
      </c>
      <c r="D737" s="898">
        <f>ROUND('analyse bij belofte 3'!$B$33,2)</f>
        <v>0</v>
      </c>
      <c r="E737" s="891" t="s">
        <v>1167</v>
      </c>
      <c r="F737" s="872" t="s">
        <v>1189</v>
      </c>
      <c r="G737" s="894"/>
      <c r="H737" s="895"/>
      <c r="I737" s="774"/>
      <c r="P737" s="700"/>
    </row>
    <row r="738" spans="1:16" s="627" customFormat="1" x14ac:dyDescent="0.3">
      <c r="A738" s="866" t="s">
        <v>1188</v>
      </c>
      <c r="B738" s="869" t="s">
        <v>1168</v>
      </c>
      <c r="C738" s="938" t="str">
        <f>IF(AND('Overzicht BTA'!$C$39=TRUE,'Overzicht BTA'!$C$42= FALSE),_xlfn.CONCAT('Upload AXI - CONF'!$A738,'Upload AXI - CONF'!$B738),"")</f>
        <v/>
      </c>
      <c r="D738" s="899">
        <f>ROUND('analyse bij belofte 3'!$B$34,2)</f>
        <v>0</v>
      </c>
      <c r="E738" s="869" t="s">
        <v>1169</v>
      </c>
      <c r="F738" s="868" t="s">
        <v>1189</v>
      </c>
      <c r="G738" s="896"/>
      <c r="H738" s="897"/>
      <c r="I738" s="774"/>
      <c r="P738" s="700"/>
    </row>
    <row r="739" spans="1:16" s="627" customFormat="1" x14ac:dyDescent="0.3">
      <c r="A739" s="862" t="s">
        <v>1188</v>
      </c>
      <c r="B739" s="891" t="s">
        <v>1170</v>
      </c>
      <c r="C739" s="938" t="str">
        <f>IF(AND('Overzicht BTA'!$C$39=TRUE,'Overzicht BTA'!$C$42= FALSE),_xlfn.CONCAT('Upload AXI - CONF'!$A739,'Upload AXI - CONF'!$B739),"")</f>
        <v/>
      </c>
      <c r="D739" s="891" t="str">
        <f>IF('Overzicht project_gewijzigd'!$C$25=Bron!$C$7,"",IF(OR('Overzicht project_gewijzigd'!$C$25=Bron!$C$8,'Overzicht project_gewijzigd'!$C$25=Bron!$C$9),"Nieuwbouw",IF(OR('Overzicht project_gewijzigd'!$C$25=Bron!$C$13,'Overzicht project_gewijzigd'!$C$25=Bron!$C$14),"Voltooiingswerken",'Overzicht project_gewijzigd'!$C$25)))</f>
        <v/>
      </c>
      <c r="E739" s="891" t="s">
        <v>1171</v>
      </c>
      <c r="F739" s="872" t="s">
        <v>1189</v>
      </c>
      <c r="G739" s="894"/>
      <c r="H739" s="895"/>
      <c r="I739" s="590"/>
      <c r="P739" s="700"/>
    </row>
    <row r="740" spans="1:16" s="627" customFormat="1" x14ac:dyDescent="0.3">
      <c r="A740" s="866" t="s">
        <v>1188</v>
      </c>
      <c r="B740" s="869" t="s">
        <v>1172</v>
      </c>
      <c r="C740" s="938" t="str">
        <f>IF(AND('Overzicht BTA'!$C$39=TRUE,'Overzicht BTA'!$C$42= FALSE),_xlfn.CONCAT('Upload AXI - CONF'!$A740,'Upload AXI - CONF'!$B740),"")</f>
        <v/>
      </c>
      <c r="D740" s="899">
        <f>ROUND('analyse bij belofte 3'!$D$33,2)</f>
        <v>0</v>
      </c>
      <c r="E740" s="869" t="s">
        <v>1173</v>
      </c>
      <c r="F740" s="868" t="s">
        <v>1189</v>
      </c>
      <c r="G740" s="896"/>
      <c r="H740" s="897"/>
      <c r="I740" s="774"/>
      <c r="P740" s="700"/>
    </row>
    <row r="741" spans="1:16" s="627" customFormat="1" x14ac:dyDescent="0.3">
      <c r="A741" s="862" t="s">
        <v>1188</v>
      </c>
      <c r="B741" s="891" t="s">
        <v>1174</v>
      </c>
      <c r="C741" s="938" t="str">
        <f>IF(AND('Overzicht BTA'!$C$39=TRUE,'Overzicht BTA'!$C$42= FALSE),_xlfn.CONCAT('Upload AXI - CONF'!$A741,'Upload AXI - CONF'!$B741),"")</f>
        <v/>
      </c>
      <c r="D741" s="898">
        <f>ROUND('analyse bij belofte 3'!$D$34,2)</f>
        <v>0</v>
      </c>
      <c r="E741" s="891" t="s">
        <v>1175</v>
      </c>
      <c r="F741" s="872" t="s">
        <v>1189</v>
      </c>
      <c r="G741" s="894"/>
      <c r="H741" s="895"/>
      <c r="I741" s="774"/>
      <c r="P741" s="700"/>
    </row>
    <row r="742" spans="1:16" s="627" customFormat="1" x14ac:dyDescent="0.3">
      <c r="A742" s="866" t="s">
        <v>1188</v>
      </c>
      <c r="B742" s="869" t="s">
        <v>1176</v>
      </c>
      <c r="C742" s="938" t="str">
        <f>IF(AND('Overzicht BTA'!$C$39=TRUE,'Overzicht BTA'!$C$42= FALSE),_xlfn.CONCAT('Upload AXI - CONF'!$A742,'Upload AXI - CONF'!$B742),"")</f>
        <v/>
      </c>
      <c r="D742" s="869" t="str">
        <f>IF('Overzicht project_gewijzigd'!$C$26=Bron!$C$7,"",IF(OR('Overzicht project_gewijzigd'!$C$26=Bron!$C$8,'Overzicht project_gewijzigd'!$C$26=Bron!$C$9),"Nieuwbouw",IF(OR('Overzicht project_gewijzigd'!$C$26=Bron!$C$13,'Overzicht project_gewijzigd'!$C$26=Bron!$C$14),"Voltooiingswerken",'Overzicht project_gewijzigd'!$C$26)))</f>
        <v/>
      </c>
      <c r="E742" s="869" t="s">
        <v>1177</v>
      </c>
      <c r="F742" s="868" t="s">
        <v>1189</v>
      </c>
      <c r="G742" s="896"/>
      <c r="H742" s="897"/>
      <c r="I742" s="590"/>
      <c r="P742" s="700"/>
    </row>
    <row r="743" spans="1:16" s="627" customFormat="1" x14ac:dyDescent="0.3">
      <c r="A743" s="862" t="s">
        <v>1188</v>
      </c>
      <c r="B743" s="891" t="s">
        <v>1178</v>
      </c>
      <c r="C743" s="938" t="str">
        <f>IF(AND('Overzicht BTA'!$C$39=TRUE,'Overzicht BTA'!$C$42= FALSE),_xlfn.CONCAT('Upload AXI - CONF'!$A743,'Upload AXI - CONF'!$B743),"")</f>
        <v/>
      </c>
      <c r="D743" s="898">
        <f>ROUND('analyse bij belofte 3'!$F$33,2)</f>
        <v>0</v>
      </c>
      <c r="E743" s="891" t="s">
        <v>1179</v>
      </c>
      <c r="F743" s="872" t="s">
        <v>1189</v>
      </c>
      <c r="G743" s="894"/>
      <c r="H743" s="895"/>
      <c r="I743" s="774"/>
      <c r="P743" s="700"/>
    </row>
    <row r="744" spans="1:16" s="627" customFormat="1" x14ac:dyDescent="0.3">
      <c r="A744" s="866" t="s">
        <v>1188</v>
      </c>
      <c r="B744" s="869" t="s">
        <v>1180</v>
      </c>
      <c r="C744" s="938" t="str">
        <f>IF(AND('Overzicht BTA'!$C$39=TRUE,'Overzicht BTA'!$C$42= FALSE),_xlfn.CONCAT('Upload AXI - CONF'!$A744,'Upload AXI - CONF'!$B744),"")</f>
        <v/>
      </c>
      <c r="D744" s="899">
        <f>ROUND('analyse bij belofte 3'!$F$34,2)</f>
        <v>0</v>
      </c>
      <c r="E744" s="869" t="s">
        <v>1181</v>
      </c>
      <c r="F744" s="868" t="s">
        <v>1189</v>
      </c>
      <c r="G744" s="896"/>
      <c r="H744" s="897"/>
      <c r="I744" s="774"/>
      <c r="P744" s="700"/>
    </row>
    <row r="745" spans="1:16" s="627" customFormat="1" x14ac:dyDescent="0.3">
      <c r="A745" s="862" t="s">
        <v>1188</v>
      </c>
      <c r="B745" s="891" t="s">
        <v>1182</v>
      </c>
      <c r="C745" s="938" t="str">
        <f>IF(AND('Overzicht BTA'!$C$39=TRUE,'Overzicht BTA'!$C$42= FALSE),_xlfn.CONCAT('Upload AXI - CONF'!$A745,'Upload AXI - CONF'!$B745),"")</f>
        <v/>
      </c>
      <c r="D745" s="891" t="str">
        <f>IF('Overzicht project_gewijzigd'!$C$27=Bron!$C$7,"",IF(OR('Overzicht project_gewijzigd'!$C$27=Bron!$C$8,'Overzicht project_gewijzigd'!$C$27=Bron!$C$9),"Nieuwbouw",IF(OR('Overzicht project_gewijzigd'!$C$27=Bron!$C$13,'Overzicht project_gewijzigd'!$C$27=Bron!$C$14),"Voltooiingswerken",'Overzicht project_gewijzigd'!$C$27)))</f>
        <v/>
      </c>
      <c r="E745" s="891" t="s">
        <v>1183</v>
      </c>
      <c r="F745" s="872" t="s">
        <v>1189</v>
      </c>
      <c r="G745" s="894"/>
      <c r="H745" s="895"/>
      <c r="I745" s="590"/>
      <c r="P745" s="700"/>
    </row>
    <row r="746" spans="1:16" s="627" customFormat="1" x14ac:dyDescent="0.3">
      <c r="A746" s="866" t="s">
        <v>1188</v>
      </c>
      <c r="B746" s="869" t="s">
        <v>1184</v>
      </c>
      <c r="C746" s="938" t="str">
        <f>IF(AND('Overzicht BTA'!$C$39=TRUE,'Overzicht BTA'!$C$42= FALSE),_xlfn.CONCAT('Upload AXI - CONF'!$A746,'Upload AXI - CONF'!$B746),"")</f>
        <v/>
      </c>
      <c r="D746" s="899">
        <f>ROUND('analyse bij belofte 3'!$H$33,2)</f>
        <v>0</v>
      </c>
      <c r="E746" s="869" t="s">
        <v>1185</v>
      </c>
      <c r="F746" s="868" t="s">
        <v>1189</v>
      </c>
      <c r="G746" s="896"/>
      <c r="H746" s="897"/>
      <c r="I746" s="774"/>
      <c r="P746" s="700"/>
    </row>
    <row r="747" spans="1:16" s="627" customFormat="1" x14ac:dyDescent="0.3">
      <c r="A747" s="862" t="s">
        <v>1188</v>
      </c>
      <c r="B747" s="891" t="s">
        <v>1186</v>
      </c>
      <c r="C747" s="938" t="str">
        <f>IF(AND('Overzicht BTA'!$C$39=TRUE,'Overzicht BTA'!$C$42= FALSE),_xlfn.CONCAT('Upload AXI - CONF'!$A747,'Upload AXI - CONF'!$B747),"")</f>
        <v/>
      </c>
      <c r="D747" s="898">
        <f>ROUND('analyse bij belofte 3'!$H$34,2)</f>
        <v>0</v>
      </c>
      <c r="E747" s="891" t="s">
        <v>1187</v>
      </c>
      <c r="F747" s="872" t="s">
        <v>1189</v>
      </c>
      <c r="G747" s="894"/>
      <c r="H747" s="895"/>
      <c r="I747" s="774"/>
      <c r="P747" s="700"/>
    </row>
    <row r="748" spans="1:16" x14ac:dyDescent="0.3">
      <c r="A748" s="862" t="s">
        <v>1188</v>
      </c>
      <c r="B748" s="891" t="s">
        <v>1196</v>
      </c>
      <c r="C748" s="938" t="str">
        <f>IF(AND('Overzicht BTA'!$C$39=TRUE,'Overzicht BTA'!$C$42= FALSE),_xlfn.CONCAT('Upload AXI - CONF'!$A748,'Upload AXI - CONF'!$B748),"")</f>
        <v/>
      </c>
      <c r="D748" s="898">
        <f>ROUND('analyse bij belofte'!V54,2)</f>
        <v>0</v>
      </c>
      <c r="E748" s="891" t="s">
        <v>1197</v>
      </c>
      <c r="F748" s="872" t="s">
        <v>1189</v>
      </c>
      <c r="G748" s="872"/>
      <c r="H748" s="874"/>
    </row>
    <row r="749" spans="1:16" x14ac:dyDescent="0.3">
      <c r="A749" s="866" t="s">
        <v>1188</v>
      </c>
      <c r="B749" s="869" t="s">
        <v>1198</v>
      </c>
      <c r="C749" s="938" t="str">
        <f>IF(AND('Overzicht BTA'!$C$39=TRUE,'Overzicht BTA'!$C$42= FALSE),_xlfn.CONCAT('Upload AXI - CONF'!$A749,'Upload AXI - CONF'!$B749),"")</f>
        <v/>
      </c>
      <c r="D749" s="898">
        <f>ROUND('analyse bij belofte'!V59,2)</f>
        <v>0</v>
      </c>
      <c r="E749" s="868" t="s">
        <v>1199</v>
      </c>
      <c r="F749" s="872" t="s">
        <v>1189</v>
      </c>
      <c r="G749" s="868"/>
      <c r="H749" s="870"/>
    </row>
    <row r="750" spans="1:16" x14ac:dyDescent="0.3">
      <c r="A750" s="862" t="s">
        <v>1188</v>
      </c>
      <c r="B750" s="891" t="s">
        <v>1200</v>
      </c>
      <c r="C750" s="938" t="str">
        <f>IF(AND('Overzicht BTA'!$C$39=TRUE,'Overzicht BTA'!$C$42= FALSE),_xlfn.CONCAT('Upload AXI - CONF'!$A750,'Upload AXI - CONF'!$B750),"")</f>
        <v/>
      </c>
      <c r="D750" s="898">
        <f>ROUND(AKzondVERB!T32,2)</f>
        <v>0</v>
      </c>
      <c r="E750" s="891" t="s">
        <v>1201</v>
      </c>
      <c r="F750" s="872" t="s">
        <v>1189</v>
      </c>
      <c r="G750" s="872"/>
      <c r="H750" s="874"/>
    </row>
    <row r="751" spans="1:16" x14ac:dyDescent="0.3">
      <c r="A751" s="889" t="s">
        <v>953</v>
      </c>
      <c r="B751" s="868" t="s">
        <v>1202</v>
      </c>
      <c r="C751" s="867" t="str">
        <f>IF(AND('Overzicht BTA'!$E$37=TRUE,'Overzicht BTA'!$C$42= FALSE),_xlfn.CONCAT('Upload AXI - CONF'!$A751,'Upload AXI - CONF'!$B751),"")</f>
        <v/>
      </c>
      <c r="D751" s="867">
        <f ca="1">ROUND('eindafrekening_ kost_zorg'!$B$119,2)</f>
        <v>0</v>
      </c>
      <c r="E751" s="868" t="s">
        <v>1203</v>
      </c>
      <c r="G751" s="868" t="s">
        <v>1204</v>
      </c>
      <c r="H751" s="870"/>
      <c r="I751" s="767"/>
      <c r="P751" s="700"/>
    </row>
    <row r="752" spans="1:16" x14ac:dyDescent="0.3">
      <c r="A752" s="973" t="s">
        <v>953</v>
      </c>
      <c r="B752" s="872" t="s">
        <v>1205</v>
      </c>
      <c r="C752" s="867" t="str">
        <f>IF('Overzicht BTA'!$C$42= TRUE,_xlfn.CONCAT('Upload AXI - CONF'!$A752,'Upload AXI - CONF'!$B752),"")</f>
        <v/>
      </c>
      <c r="D752" s="871">
        <f>ROUND('Bouwkost UITB'!I83+'Bouwkost UITB'!T83+'Bouwkost UITB'!AE83+'Bouwkost VERB'!T83+'Bouwkost VERB'!I83+'Bouwkost NB'!I84+'Bouwkost NB'!T84+'Bouwkost NB'!AE84+'Bouwkost IER'!I82+'Bouwkost IER'!T82+'Bouwkost IER'!AE82+'Bouwkost VOLT'!I83+'Bouwkost VOLT'!T83+'Bouwkost VOLT'!AE83+'Bouwkost AK+VERB'!I83+'Bouwkost AK+VERB'!T83+'Bouwkost AK+VERB'!AE83,2)</f>
        <v>0</v>
      </c>
      <c r="E752" s="872" t="s">
        <v>1206</v>
      </c>
      <c r="F752" s="872"/>
      <c r="G752" s="872" t="s">
        <v>1207</v>
      </c>
      <c r="H752" s="874"/>
      <c r="I752" s="767"/>
      <c r="P752" s="700"/>
    </row>
    <row r="753" spans="1:16" x14ac:dyDescent="0.3">
      <c r="A753" s="889" t="s">
        <v>953</v>
      </c>
      <c r="B753" s="868" t="s">
        <v>1208</v>
      </c>
      <c r="C753" s="867" t="str">
        <f>IF('Overzicht BTA'!$C$42= TRUE,_xlfn.CONCAT('Upload AXI - CONF'!$A753,'Upload AXI - CONF'!$B753),"")</f>
        <v/>
      </c>
      <c r="D753" s="878">
        <f>ROUND(IFERROR('eindafrekening_ kost_zorg'!$Y$79,0),2)</f>
        <v>0</v>
      </c>
      <c r="E753" s="868" t="s">
        <v>1209</v>
      </c>
      <c r="G753" s="868" t="s">
        <v>1210</v>
      </c>
      <c r="H753" s="870"/>
      <c r="I753" s="595"/>
      <c r="P753" s="700"/>
    </row>
    <row r="754" spans="1:16" x14ac:dyDescent="0.3">
      <c r="A754" s="973" t="s">
        <v>953</v>
      </c>
      <c r="B754" s="872" t="s">
        <v>1211</v>
      </c>
      <c r="C754" s="938" t="str">
        <f>IF(AND('Overzicht BTA'!$C$39=FALSE,'Overzicht BTA'!$C$42= FALSE),_xlfn.CONCAT('Upload AXI - CONF'!$A754,'Upload AXI - CONF'!$B754),"")</f>
        <v>Dossier.FlexEA45</v>
      </c>
      <c r="D754" s="871" t="e">
        <f ca="1">ROUND(kunst!$M$11,2)</f>
        <v>#REF!</v>
      </c>
      <c r="E754" s="872" t="s">
        <v>1212</v>
      </c>
      <c r="F754" s="872"/>
      <c r="G754" s="872" t="s">
        <v>1213</v>
      </c>
      <c r="H754" s="874"/>
      <c r="I754" s="767"/>
      <c r="P754" s="700"/>
    </row>
    <row r="755" spans="1:16" x14ac:dyDescent="0.3">
      <c r="A755" s="889" t="s">
        <v>953</v>
      </c>
      <c r="B755" s="868" t="s">
        <v>1047</v>
      </c>
      <c r="C755" s="867" t="str">
        <f>IF('Overzicht BTA'!$C$42= TRUE,_xlfn.CONCAT('Upload AXI - CONF'!$A755,'Upload AXI - CONF'!$B755),"")</f>
        <v/>
      </c>
      <c r="D755" s="867">
        <f>ROUND('eindafrekening_ kost_zorg'!$Y$40,2)</f>
        <v>0</v>
      </c>
      <c r="E755" s="868" t="s">
        <v>1048</v>
      </c>
      <c r="G755" s="872" t="s">
        <v>1207</v>
      </c>
      <c r="H755" s="901"/>
      <c r="I755" s="767"/>
      <c r="P755" s="700"/>
    </row>
    <row r="756" spans="1:16" x14ac:dyDescent="0.3">
      <c r="A756" s="973" t="s">
        <v>953</v>
      </c>
      <c r="B756" s="872" t="s">
        <v>1032</v>
      </c>
      <c r="C756" s="867" t="str">
        <f>IF('Overzicht BTA'!$C$42= TRUE,_xlfn.CONCAT('Upload AXI - CONF'!$A756,'Upload AXI - CONF'!$B756),"")</f>
        <v/>
      </c>
      <c r="D756" s="871">
        <f>ROUND('eindafrekening_ kost_zorg'!$Y$43,2)</f>
        <v>0</v>
      </c>
      <c r="E756" s="872" t="s">
        <v>1033</v>
      </c>
      <c r="F756" s="872"/>
      <c r="G756" s="872" t="s">
        <v>1207</v>
      </c>
      <c r="H756" s="886"/>
      <c r="I756" s="767"/>
      <c r="P756" s="700"/>
    </row>
    <row r="757" spans="1:16" x14ac:dyDescent="0.3">
      <c r="A757" s="889" t="s">
        <v>953</v>
      </c>
      <c r="B757" s="868" t="s">
        <v>1214</v>
      </c>
      <c r="C757" s="867" t="str">
        <f>IF('Overzicht BTA'!$C$42= TRUE,_xlfn.CONCAT('Upload AXI - CONF'!$A757,'Upload AXI - CONF'!$B757),"")</f>
        <v/>
      </c>
      <c r="D757" s="867">
        <f>ROUND('eindafrekening_ kost_zorg'!$Y$78,2)</f>
        <v>0</v>
      </c>
      <c r="E757" s="868" t="s">
        <v>1215</v>
      </c>
      <c r="G757" s="872" t="s">
        <v>1207</v>
      </c>
      <c r="H757" s="901"/>
      <c r="I757" s="767"/>
      <c r="P757" s="700"/>
    </row>
    <row r="758" spans="1:16" x14ac:dyDescent="0.3">
      <c r="A758" s="973" t="s">
        <v>953</v>
      </c>
      <c r="B758" s="872" t="s">
        <v>1216</v>
      </c>
      <c r="C758" s="938" t="str">
        <f>IF(AND('Overzicht BTA'!$C$39=FALSE,'Overzicht BTA'!$C$42= FALSE),_xlfn.CONCAT('Upload AXI - CONF'!$A758,'Upload AXI - CONF'!$B758),"")</f>
        <v>Dossier.FlexB888</v>
      </c>
      <c r="D758" s="871">
        <f>ROUND('Bouwkost NB'!AL17,2)</f>
        <v>0</v>
      </c>
      <c r="E758" s="891" t="s">
        <v>1217</v>
      </c>
      <c r="F758" s="872"/>
      <c r="G758" s="872" t="s">
        <v>1218</v>
      </c>
      <c r="H758" s="886"/>
      <c r="I758" s="767"/>
      <c r="P758" s="700"/>
    </row>
    <row r="759" spans="1:16" x14ac:dyDescent="0.3">
      <c r="A759" s="889" t="s">
        <v>953</v>
      </c>
      <c r="B759" s="868" t="s">
        <v>1219</v>
      </c>
      <c r="C759" s="867" t="str">
        <f>IF('Overzicht BTA'!$C$42= TRUE,_xlfn.CONCAT('Upload AXI - CONF'!$A759,'Upload AXI - CONF'!$B759),"")</f>
        <v/>
      </c>
      <c r="D759" s="867">
        <f>ROUND('eindafrekening_ kost_zorg'!AA785,2)</f>
        <v>0</v>
      </c>
      <c r="E759" s="869" t="s">
        <v>1220</v>
      </c>
      <c r="G759" s="872" t="s">
        <v>1221</v>
      </c>
      <c r="H759" s="901"/>
      <c r="I759" s="767"/>
      <c r="P759" s="700"/>
    </row>
    <row r="760" spans="1:16" x14ac:dyDescent="0.3">
      <c r="A760" s="973" t="s">
        <v>953</v>
      </c>
      <c r="B760" s="872" t="s">
        <v>1222</v>
      </c>
      <c r="C760" s="871" t="str">
        <f>IF(AND('Overzicht BTA'!$C$39=FALSE,'Overzicht BTA'!$C$42= FALSE),_xlfn.CONCAT('Upload AXI - CONF'!$A760,'Upload AXI - CONF'!$B760),"")</f>
        <v>Dossier.FlexAO406</v>
      </c>
      <c r="D760" s="871">
        <f>ROUND('Raming_ kost_zorg'!Y90,2)</f>
        <v>0</v>
      </c>
      <c r="E760" s="902" t="s">
        <v>1223</v>
      </c>
      <c r="F760" s="872"/>
      <c r="G760" s="872" t="s">
        <v>1221</v>
      </c>
      <c r="H760" s="886"/>
      <c r="I760" s="767"/>
      <c r="P760" s="700"/>
    </row>
    <row r="761" spans="1:16" x14ac:dyDescent="0.3">
      <c r="A761" s="889" t="s">
        <v>953</v>
      </c>
      <c r="B761" s="868" t="s">
        <v>1224</v>
      </c>
      <c r="C761" s="871" t="str">
        <f>IF(AND('Overzicht BTA'!$C$39=FALSE,'Overzicht BTA'!$C$42= FALSE),_xlfn.CONCAT('Upload AXI - CONF'!$A761,'Upload AXI - CONF'!$B761),"")</f>
        <v>Dossier.FlexAO407</v>
      </c>
      <c r="D761" s="867">
        <f>ROUND('Raming_ kost_zorg'!Y92,2)</f>
        <v>0</v>
      </c>
      <c r="E761" s="869" t="s">
        <v>1225</v>
      </c>
      <c r="G761" s="872" t="s">
        <v>1221</v>
      </c>
      <c r="H761" s="901"/>
      <c r="I761" s="767"/>
      <c r="P761" s="700"/>
    </row>
    <row r="762" spans="1:16" x14ac:dyDescent="0.3">
      <c r="A762" s="973" t="s">
        <v>953</v>
      </c>
      <c r="B762" s="872" t="s">
        <v>1226</v>
      </c>
      <c r="C762" s="871" t="str">
        <f>IF(AND('Overzicht BTA'!$C$39=FALSE,'Overzicht BTA'!$C$42= FALSE),_xlfn.CONCAT('Upload AXI - CONF'!$A762,'Upload AXI - CONF'!$B762),"")</f>
        <v>Dossier.FlexAO408</v>
      </c>
      <c r="D762" s="867">
        <f>ROUND('Raming_ kost_zorg'!Y91,2)</f>
        <v>0</v>
      </c>
      <c r="E762" s="902" t="s">
        <v>1227</v>
      </c>
      <c r="F762" s="872"/>
      <c r="G762" s="872" t="s">
        <v>1221</v>
      </c>
      <c r="H762" s="886"/>
      <c r="I762" s="767"/>
      <c r="P762" s="700"/>
    </row>
    <row r="763" spans="1:16" x14ac:dyDescent="0.3">
      <c r="A763" s="889" t="s">
        <v>953</v>
      </c>
      <c r="B763" s="868" t="s">
        <v>1228</v>
      </c>
      <c r="C763" s="867" t="str">
        <f>IF('Overzicht BTA'!$C$42= TRUE,_xlfn.CONCAT('Upload AXI - CONF'!$A763,'Upload AXI - CONF'!$B763),"")</f>
        <v/>
      </c>
      <c r="D763" s="867">
        <f>ROUND('eindafrekening_ kost_zorg'!Y90,2)</f>
        <v>0</v>
      </c>
      <c r="E763" s="903" t="s">
        <v>1229</v>
      </c>
      <c r="G763" s="872" t="s">
        <v>1221</v>
      </c>
      <c r="H763" s="901"/>
      <c r="I763" s="491"/>
      <c r="P763" s="700"/>
    </row>
    <row r="764" spans="1:16" x14ac:dyDescent="0.3">
      <c r="A764" s="973" t="s">
        <v>953</v>
      </c>
      <c r="B764" s="872" t="s">
        <v>1230</v>
      </c>
      <c r="C764" s="871" t="str">
        <f>IF('Overzicht BTA'!$C$42= TRUE,_xlfn.CONCAT('Upload AXI - CONF'!$A764,'Upload AXI - CONF'!$B764),"")</f>
        <v/>
      </c>
      <c r="D764" s="871">
        <f>ROUND('eindafrekening_ kost_zorg'!Y92,2)</f>
        <v>0</v>
      </c>
      <c r="E764" s="902" t="s">
        <v>1231</v>
      </c>
      <c r="F764" s="872"/>
      <c r="G764" s="872" t="s">
        <v>1221</v>
      </c>
      <c r="H764" s="886"/>
      <c r="I764" s="767"/>
      <c r="P764" s="700"/>
    </row>
    <row r="765" spans="1:16" x14ac:dyDescent="0.3">
      <c r="A765" s="889" t="s">
        <v>953</v>
      </c>
      <c r="B765" s="868" t="s">
        <v>1232</v>
      </c>
      <c r="C765" s="867" t="str">
        <f>IF('Overzicht BTA'!$C$42= TRUE,_xlfn.CONCAT('Upload AXI - CONF'!$A765,'Upload AXI - CONF'!$B765),"")</f>
        <v/>
      </c>
      <c r="D765" s="867">
        <f>ROUND('eindafrekening_ kost_zorg'!Y91,2)</f>
        <v>0</v>
      </c>
      <c r="E765" s="903" t="s">
        <v>1233</v>
      </c>
      <c r="G765" s="872" t="s">
        <v>1221</v>
      </c>
      <c r="H765" s="901"/>
      <c r="I765" s="491"/>
      <c r="P765" s="700"/>
    </row>
    <row r="766" spans="1:16" x14ac:dyDescent="0.3">
      <c r="A766" s="973" t="s">
        <v>953</v>
      </c>
      <c r="B766" s="872" t="s">
        <v>1234</v>
      </c>
      <c r="C766" s="871" t="str">
        <f>IF(AND('Overzicht BTA'!$C$39=FALSE,'Overzicht BTA'!$C$42= FALSE),_xlfn.CONCAT('Upload AXI - CONF'!$A766,'Upload AXI - CONF'!$B766),"")</f>
        <v>Dossier.FlexAO409</v>
      </c>
      <c r="D766" s="871" t="e">
        <f>ROUND('Raming_ kost_zorg'!Y70/'Raming_ kost_zorg'!B80,2)</f>
        <v>#DIV/0!</v>
      </c>
      <c r="E766" s="891" t="s">
        <v>1235</v>
      </c>
      <c r="F766" s="872"/>
      <c r="G766" s="872" t="s">
        <v>1221</v>
      </c>
      <c r="H766" s="886"/>
      <c r="I766" s="767"/>
      <c r="P766" s="700"/>
    </row>
    <row r="767" spans="1:16" x14ac:dyDescent="0.3">
      <c r="A767" s="889" t="s">
        <v>964</v>
      </c>
      <c r="B767" s="868" t="s">
        <v>1236</v>
      </c>
      <c r="C767" s="871" t="str">
        <f>IF(AND('Overzicht BTA'!$C$39=FALSE,'Overzicht BTA'!$C$42= FALSE),_xlfn.CONCAT('Upload AXI - CONF'!$A767,'Upload AXI - CONF'!$B767),"")</f>
        <v>Object.RAM[Z1K1].FlexAO403</v>
      </c>
      <c r="D767" s="867">
        <f>ROUND('Raming_ kost_zorg'!B$90,2)</f>
        <v>0</v>
      </c>
      <c r="E767" s="868" t="s">
        <v>1237</v>
      </c>
      <c r="F767" s="868" t="s">
        <v>967</v>
      </c>
      <c r="G767" s="868"/>
      <c r="H767" s="870" t="s">
        <v>957</v>
      </c>
    </row>
    <row r="768" spans="1:16" x14ac:dyDescent="0.3">
      <c r="A768" s="973" t="s">
        <v>964</v>
      </c>
      <c r="B768" s="872" t="s">
        <v>1238</v>
      </c>
      <c r="C768" s="871" t="str">
        <f>IF(AND('Overzicht BTA'!$C$39=FALSE,'Overzicht BTA'!$C$42= FALSE),_xlfn.CONCAT('Upload AXI - CONF'!$A768,'Upload AXI - CONF'!$B768),"")</f>
        <v>Object.RAM[Z1K1].FlexAO404</v>
      </c>
      <c r="D768" s="871">
        <f>ROUND('Raming_ kost_zorg'!B$92,2)</f>
        <v>0</v>
      </c>
      <c r="E768" s="872" t="s">
        <v>1239</v>
      </c>
      <c r="F768" s="872" t="s">
        <v>967</v>
      </c>
      <c r="G768" s="872"/>
      <c r="H768" s="874"/>
    </row>
    <row r="769" spans="1:8" x14ac:dyDescent="0.3">
      <c r="A769" s="889" t="s">
        <v>964</v>
      </c>
      <c r="B769" s="868" t="s">
        <v>1240</v>
      </c>
      <c r="C769" s="871" t="str">
        <f>IF(AND('Overzicht BTA'!$C$39=FALSE,'Overzicht BTA'!$C$42= FALSE),_xlfn.CONCAT('Upload AXI - CONF'!$A769,'Upload AXI - CONF'!$B769),"")</f>
        <v>Object.RAM[Z1K1].FlexAO405</v>
      </c>
      <c r="D769" s="867">
        <f>ROUND('Raming_ kost_zorg'!B$91,2)</f>
        <v>0</v>
      </c>
      <c r="E769" s="868" t="s">
        <v>1241</v>
      </c>
      <c r="F769" s="868" t="s">
        <v>967</v>
      </c>
      <c r="G769" s="868"/>
      <c r="H769" s="870"/>
    </row>
    <row r="770" spans="1:8" x14ac:dyDescent="0.3">
      <c r="A770" s="973" t="s">
        <v>968</v>
      </c>
      <c r="B770" s="872" t="s">
        <v>1236</v>
      </c>
      <c r="C770" s="871" t="str">
        <f>IF(AND('Overzicht BTA'!$C$39=FALSE,'Overzicht BTA'!$C$42= FALSE),_xlfn.CONCAT('Upload AXI - CONF'!$A770,'Upload AXI - CONF'!$B770),"")</f>
        <v>Object.RAM[Z1K2].FlexAO403</v>
      </c>
      <c r="D770" s="871">
        <f>ROUND('Raming_ kost_zorg'!D$90,2)</f>
        <v>0</v>
      </c>
      <c r="E770" s="872" t="s">
        <v>1237</v>
      </c>
      <c r="F770" s="872" t="s">
        <v>967</v>
      </c>
      <c r="G770" s="872"/>
      <c r="H770" s="874"/>
    </row>
    <row r="771" spans="1:8" x14ac:dyDescent="0.3">
      <c r="A771" s="889" t="s">
        <v>968</v>
      </c>
      <c r="B771" s="868" t="s">
        <v>1238</v>
      </c>
      <c r="C771" s="871" t="str">
        <f>IF(AND('Overzicht BTA'!$C$39=FALSE,'Overzicht BTA'!$C$42= FALSE),_xlfn.CONCAT('Upload AXI - CONF'!$A771,'Upload AXI - CONF'!$B771),"")</f>
        <v>Object.RAM[Z1K2].FlexAO404</v>
      </c>
      <c r="D771" s="867">
        <f>ROUND('Raming_ kost_zorg'!D$92,2)</f>
        <v>0</v>
      </c>
      <c r="E771" s="868" t="s">
        <v>1239</v>
      </c>
      <c r="F771" s="868" t="s">
        <v>967</v>
      </c>
      <c r="G771" s="868"/>
      <c r="H771" s="870"/>
    </row>
    <row r="772" spans="1:8" x14ac:dyDescent="0.3">
      <c r="A772" s="973" t="s">
        <v>968</v>
      </c>
      <c r="B772" s="872" t="s">
        <v>1240</v>
      </c>
      <c r="C772" s="871" t="str">
        <f>IF(AND('Overzicht BTA'!$C$39=FALSE,'Overzicht BTA'!$C$42= FALSE),_xlfn.CONCAT('Upload AXI - CONF'!$A772,'Upload AXI - CONF'!$B772),"")</f>
        <v>Object.RAM[Z1K2].FlexAO405</v>
      </c>
      <c r="D772" s="871">
        <f>ROUND('Raming_ kost_zorg'!D$91,2)</f>
        <v>0</v>
      </c>
      <c r="E772" s="872" t="s">
        <v>1241</v>
      </c>
      <c r="F772" s="872" t="s">
        <v>967</v>
      </c>
      <c r="G772" s="872"/>
      <c r="H772" s="874"/>
    </row>
    <row r="773" spans="1:8" x14ac:dyDescent="0.3">
      <c r="A773" s="889" t="s">
        <v>969</v>
      </c>
      <c r="B773" s="868" t="s">
        <v>1236</v>
      </c>
      <c r="C773" s="871" t="str">
        <f>IF(AND('Overzicht BTA'!$C$39=FALSE,'Overzicht BTA'!$C$42= FALSE),_xlfn.CONCAT('Upload AXI - CONF'!$A773,'Upload AXI - CONF'!$B773),"")</f>
        <v>Object.RAM[Z1K3].FlexAO403</v>
      </c>
      <c r="D773" s="867">
        <f>ROUND('Raming_ kost_zorg'!F$90,2)</f>
        <v>0</v>
      </c>
      <c r="E773" s="868" t="s">
        <v>1237</v>
      </c>
      <c r="F773" s="868" t="s">
        <v>967</v>
      </c>
      <c r="G773" s="868"/>
      <c r="H773" s="870"/>
    </row>
    <row r="774" spans="1:8" x14ac:dyDescent="0.3">
      <c r="A774" s="973" t="s">
        <v>969</v>
      </c>
      <c r="B774" s="872" t="s">
        <v>1238</v>
      </c>
      <c r="C774" s="871" t="str">
        <f>IF(AND('Overzicht BTA'!$C$39=FALSE,'Overzicht BTA'!$C$42= FALSE),_xlfn.CONCAT('Upload AXI - CONF'!$A774,'Upload AXI - CONF'!$B774),"")</f>
        <v>Object.RAM[Z1K3].FlexAO404</v>
      </c>
      <c r="D774" s="871">
        <f>ROUND('Raming_ kost_zorg'!F$92,2)</f>
        <v>0</v>
      </c>
      <c r="E774" s="872" t="s">
        <v>1239</v>
      </c>
      <c r="F774" s="872" t="s">
        <v>967</v>
      </c>
      <c r="G774" s="872"/>
      <c r="H774" s="874"/>
    </row>
    <row r="775" spans="1:8" x14ac:dyDescent="0.3">
      <c r="A775" s="889" t="s">
        <v>969</v>
      </c>
      <c r="B775" s="868" t="s">
        <v>1240</v>
      </c>
      <c r="C775" s="871" t="str">
        <f>IF(AND('Overzicht BTA'!$C$39=FALSE,'Overzicht BTA'!$C$42= FALSE),_xlfn.CONCAT('Upload AXI - CONF'!$A775,'Upload AXI - CONF'!$B775),"")</f>
        <v>Object.RAM[Z1K3].FlexAO405</v>
      </c>
      <c r="D775" s="867">
        <f>ROUND('Raming_ kost_zorg'!F$91,2)</f>
        <v>0</v>
      </c>
      <c r="E775" s="868" t="s">
        <v>1241</v>
      </c>
      <c r="F775" s="868" t="s">
        <v>967</v>
      </c>
      <c r="G775" s="868"/>
      <c r="H775" s="870"/>
    </row>
    <row r="776" spans="1:8" x14ac:dyDescent="0.3">
      <c r="A776" s="973" t="s">
        <v>970</v>
      </c>
      <c r="B776" s="872" t="s">
        <v>1236</v>
      </c>
      <c r="C776" s="871" t="str">
        <f>IF(AND('Overzicht BTA'!$C$39=FALSE,'Overzicht BTA'!$C$42= FALSE),_xlfn.CONCAT('Upload AXI - CONF'!$A776,'Upload AXI - CONF'!$B776),"")</f>
        <v>Object.RAM[Z1K4].FlexAO403</v>
      </c>
      <c r="D776" s="871">
        <f>ROUND('Raming_ kost_zorg'!H$90,2)</f>
        <v>0</v>
      </c>
      <c r="E776" s="872" t="s">
        <v>1237</v>
      </c>
      <c r="F776" s="872" t="s">
        <v>967</v>
      </c>
      <c r="G776" s="872"/>
      <c r="H776" s="874"/>
    </row>
    <row r="777" spans="1:8" x14ac:dyDescent="0.3">
      <c r="A777" s="889" t="s">
        <v>970</v>
      </c>
      <c r="B777" s="868" t="s">
        <v>1238</v>
      </c>
      <c r="C777" s="871" t="str">
        <f>IF(AND('Overzicht BTA'!$C$39=FALSE,'Overzicht BTA'!$C$42= FALSE),_xlfn.CONCAT('Upload AXI - CONF'!$A777,'Upload AXI - CONF'!$B777),"")</f>
        <v>Object.RAM[Z1K4].FlexAO404</v>
      </c>
      <c r="D777" s="867">
        <f>ROUND('Raming_ kost_zorg'!H$92,2)</f>
        <v>0</v>
      </c>
      <c r="E777" s="868" t="s">
        <v>1239</v>
      </c>
      <c r="F777" s="868" t="s">
        <v>967</v>
      </c>
      <c r="G777" s="868"/>
      <c r="H777" s="870"/>
    </row>
    <row r="778" spans="1:8" x14ac:dyDescent="0.3">
      <c r="A778" s="973" t="s">
        <v>970</v>
      </c>
      <c r="B778" s="872" t="s">
        <v>1240</v>
      </c>
      <c r="C778" s="871" t="str">
        <f>IF(AND('Overzicht BTA'!$C$39=FALSE,'Overzicht BTA'!$C$42= FALSE),_xlfn.CONCAT('Upload AXI - CONF'!$A778,'Upload AXI - CONF'!$B778),"")</f>
        <v>Object.RAM[Z1K4].FlexAO405</v>
      </c>
      <c r="D778" s="871">
        <f>ROUND('Raming_ kost_zorg'!H$91,2)</f>
        <v>0</v>
      </c>
      <c r="E778" s="872" t="s">
        <v>1241</v>
      </c>
      <c r="F778" s="872" t="s">
        <v>967</v>
      </c>
      <c r="G778" s="872"/>
      <c r="H778" s="874"/>
    </row>
    <row r="779" spans="1:8" x14ac:dyDescent="0.3">
      <c r="A779" s="889" t="s">
        <v>971</v>
      </c>
      <c r="B779" s="868" t="s">
        <v>1236</v>
      </c>
      <c r="C779" s="871" t="str">
        <f>IF(AND('Overzicht BTA'!$C$39=FALSE,'Overzicht BTA'!$C$42= FALSE),_xlfn.CONCAT('Upload AXI - CONF'!$A779,'Upload AXI - CONF'!$B779),"")</f>
        <v>Object.RAM[Z2K1].FlexAO403</v>
      </c>
      <c r="D779" s="867">
        <f>ROUND('Raming_ kost_zorg'!J$90,2)</f>
        <v>0</v>
      </c>
      <c r="E779" s="868" t="s">
        <v>1237</v>
      </c>
      <c r="F779" s="868" t="s">
        <v>967</v>
      </c>
      <c r="G779" s="868"/>
      <c r="H779" s="870"/>
    </row>
    <row r="780" spans="1:8" x14ac:dyDescent="0.3">
      <c r="A780" s="973" t="s">
        <v>971</v>
      </c>
      <c r="B780" s="872" t="s">
        <v>1238</v>
      </c>
      <c r="C780" s="871" t="str">
        <f>IF(AND('Overzicht BTA'!$C$39=FALSE,'Overzicht BTA'!$C$42= FALSE),_xlfn.CONCAT('Upload AXI - CONF'!$A780,'Upload AXI - CONF'!$B780),"")</f>
        <v>Object.RAM[Z2K1].FlexAO404</v>
      </c>
      <c r="D780" s="871">
        <f>ROUND('Raming_ kost_zorg'!J$92,2)</f>
        <v>0</v>
      </c>
      <c r="E780" s="872" t="s">
        <v>1239</v>
      </c>
      <c r="F780" s="872" t="s">
        <v>967</v>
      </c>
      <c r="G780" s="872"/>
      <c r="H780" s="874"/>
    </row>
    <row r="781" spans="1:8" x14ac:dyDescent="0.3">
      <c r="A781" s="889" t="s">
        <v>971</v>
      </c>
      <c r="B781" s="868" t="s">
        <v>1240</v>
      </c>
      <c r="C781" s="871" t="str">
        <f>IF(AND('Overzicht BTA'!$C$39=FALSE,'Overzicht BTA'!$C$42= FALSE),_xlfn.CONCAT('Upload AXI - CONF'!$A781,'Upload AXI - CONF'!$B781),"")</f>
        <v>Object.RAM[Z2K1].FlexAO405</v>
      </c>
      <c r="D781" s="867">
        <f>ROUND('Raming_ kost_zorg'!J$91,2)</f>
        <v>0</v>
      </c>
      <c r="E781" s="868" t="s">
        <v>1241</v>
      </c>
      <c r="F781" s="868" t="s">
        <v>967</v>
      </c>
      <c r="G781" s="868"/>
      <c r="H781" s="870"/>
    </row>
    <row r="782" spans="1:8" x14ac:dyDescent="0.3">
      <c r="A782" s="973" t="s">
        <v>972</v>
      </c>
      <c r="B782" s="872" t="s">
        <v>1236</v>
      </c>
      <c r="C782" s="871" t="str">
        <f>IF(AND('Overzicht BTA'!$C$39=FALSE,'Overzicht BTA'!$C$42= FALSE),_xlfn.CONCAT('Upload AXI - CONF'!$A782,'Upload AXI - CONF'!$B782),"")</f>
        <v>Object.RAM[Z2K2].FlexAO403</v>
      </c>
      <c r="D782" s="871">
        <f>ROUND('Raming_ kost_zorg'!L$90,2)</f>
        <v>0</v>
      </c>
      <c r="E782" s="872" t="s">
        <v>1237</v>
      </c>
      <c r="F782" s="872" t="s">
        <v>967</v>
      </c>
      <c r="G782" s="872"/>
      <c r="H782" s="874"/>
    </row>
    <row r="783" spans="1:8" x14ac:dyDescent="0.3">
      <c r="A783" s="889" t="s">
        <v>972</v>
      </c>
      <c r="B783" s="868" t="s">
        <v>1238</v>
      </c>
      <c r="C783" s="871" t="str">
        <f>IF(AND('Overzicht BTA'!$C$39=FALSE,'Overzicht BTA'!$C$42= FALSE),_xlfn.CONCAT('Upload AXI - CONF'!$A783,'Upload AXI - CONF'!$B783),"")</f>
        <v>Object.RAM[Z2K2].FlexAO404</v>
      </c>
      <c r="D783" s="867">
        <f>ROUND('Raming_ kost_zorg'!L$92,2)</f>
        <v>0</v>
      </c>
      <c r="E783" s="868" t="s">
        <v>1239</v>
      </c>
      <c r="F783" s="868" t="s">
        <v>967</v>
      </c>
      <c r="G783" s="868"/>
      <c r="H783" s="870"/>
    </row>
    <row r="784" spans="1:8" x14ac:dyDescent="0.3">
      <c r="A784" s="973" t="s">
        <v>972</v>
      </c>
      <c r="B784" s="872" t="s">
        <v>1240</v>
      </c>
      <c r="C784" s="871" t="str">
        <f>IF(AND('Overzicht BTA'!$C$39=FALSE,'Overzicht BTA'!$C$42= FALSE),_xlfn.CONCAT('Upload AXI - CONF'!$A784,'Upload AXI - CONF'!$B784),"")</f>
        <v>Object.RAM[Z2K2].FlexAO405</v>
      </c>
      <c r="D784" s="871">
        <f>ROUND('Raming_ kost_zorg'!L$91,2)</f>
        <v>0</v>
      </c>
      <c r="E784" s="872" t="s">
        <v>1241</v>
      </c>
      <c r="F784" s="872" t="s">
        <v>967</v>
      </c>
      <c r="G784" s="872"/>
      <c r="H784" s="874"/>
    </row>
    <row r="785" spans="1:8" x14ac:dyDescent="0.3">
      <c r="A785" s="889" t="s">
        <v>973</v>
      </c>
      <c r="B785" s="868" t="s">
        <v>1236</v>
      </c>
      <c r="C785" s="871" t="str">
        <f>IF(AND('Overzicht BTA'!$C$39=FALSE,'Overzicht BTA'!$C$42= FALSE),_xlfn.CONCAT('Upload AXI - CONF'!$A785,'Upload AXI - CONF'!$B785),"")</f>
        <v>Object.RAM[Z2K3].FlexAO403</v>
      </c>
      <c r="D785" s="867">
        <f>ROUND('Raming_ kost_zorg'!N$90,2)</f>
        <v>0</v>
      </c>
      <c r="E785" s="868" t="s">
        <v>1237</v>
      </c>
      <c r="F785" s="868" t="s">
        <v>967</v>
      </c>
      <c r="G785" s="868"/>
      <c r="H785" s="870"/>
    </row>
    <row r="786" spans="1:8" x14ac:dyDescent="0.3">
      <c r="A786" s="973" t="s">
        <v>973</v>
      </c>
      <c r="B786" s="872" t="s">
        <v>1238</v>
      </c>
      <c r="C786" s="871" t="str">
        <f>IF(AND('Overzicht BTA'!$C$39=FALSE,'Overzicht BTA'!$C$42= FALSE),_xlfn.CONCAT('Upload AXI - CONF'!$A786,'Upload AXI - CONF'!$B786),"")</f>
        <v>Object.RAM[Z2K3].FlexAO404</v>
      </c>
      <c r="D786" s="871">
        <f>ROUND('Raming_ kost_zorg'!N$92,2)</f>
        <v>0</v>
      </c>
      <c r="E786" s="872" t="s">
        <v>1239</v>
      </c>
      <c r="F786" s="872" t="s">
        <v>967</v>
      </c>
      <c r="G786" s="872"/>
      <c r="H786" s="874"/>
    </row>
    <row r="787" spans="1:8" x14ac:dyDescent="0.3">
      <c r="A787" s="889" t="s">
        <v>973</v>
      </c>
      <c r="B787" s="868" t="s">
        <v>1240</v>
      </c>
      <c r="C787" s="871" t="str">
        <f>IF(AND('Overzicht BTA'!$C$39=FALSE,'Overzicht BTA'!$C$42= FALSE),_xlfn.CONCAT('Upload AXI - CONF'!$A787,'Upload AXI - CONF'!$B787),"")</f>
        <v>Object.RAM[Z2K3].FlexAO405</v>
      </c>
      <c r="D787" s="867">
        <f>ROUND('Raming_ kost_zorg'!N$91,2)</f>
        <v>0</v>
      </c>
      <c r="E787" s="868" t="s">
        <v>1241</v>
      </c>
      <c r="F787" s="868" t="s">
        <v>967</v>
      </c>
      <c r="G787" s="868"/>
      <c r="H787" s="870"/>
    </row>
    <row r="788" spans="1:8" x14ac:dyDescent="0.3">
      <c r="A788" s="973" t="s">
        <v>974</v>
      </c>
      <c r="B788" s="872" t="s">
        <v>1236</v>
      </c>
      <c r="C788" s="871" t="str">
        <f>IF(AND('Overzicht BTA'!$C$39=FALSE,'Overzicht BTA'!$C$42= FALSE),_xlfn.CONCAT('Upload AXI - CONF'!$A788,'Upload AXI - CONF'!$B788),"")</f>
        <v>Object.RAM[Z2K4].FlexAO403</v>
      </c>
      <c r="D788" s="871">
        <f>ROUND('Raming_ kost_zorg'!P$90,2)</f>
        <v>0</v>
      </c>
      <c r="E788" s="872" t="s">
        <v>1237</v>
      </c>
      <c r="F788" s="872" t="s">
        <v>967</v>
      </c>
      <c r="G788" s="872"/>
      <c r="H788" s="874"/>
    </row>
    <row r="789" spans="1:8" x14ac:dyDescent="0.3">
      <c r="A789" s="889" t="s">
        <v>974</v>
      </c>
      <c r="B789" s="868" t="s">
        <v>1238</v>
      </c>
      <c r="C789" s="871" t="str">
        <f>IF(AND('Overzicht BTA'!$C$39=FALSE,'Overzicht BTA'!$C$42= FALSE),_xlfn.CONCAT('Upload AXI - CONF'!$A789,'Upload AXI - CONF'!$B789),"")</f>
        <v>Object.RAM[Z2K4].FlexAO404</v>
      </c>
      <c r="D789" s="867">
        <f>ROUND('Raming_ kost_zorg'!P$92,2)</f>
        <v>0</v>
      </c>
      <c r="E789" s="868" t="s">
        <v>1239</v>
      </c>
      <c r="F789" s="868" t="s">
        <v>967</v>
      </c>
      <c r="G789" s="868"/>
      <c r="H789" s="870"/>
    </row>
    <row r="790" spans="1:8" x14ac:dyDescent="0.3">
      <c r="A790" s="973" t="s">
        <v>974</v>
      </c>
      <c r="B790" s="872" t="s">
        <v>1240</v>
      </c>
      <c r="C790" s="871" t="str">
        <f>IF(AND('Overzicht BTA'!$C$39=FALSE,'Overzicht BTA'!$C$42= FALSE),_xlfn.CONCAT('Upload AXI - CONF'!$A790,'Upload AXI - CONF'!$B790),"")</f>
        <v>Object.RAM[Z2K4].FlexAO405</v>
      </c>
      <c r="D790" s="871">
        <f>ROUND('Raming_ kost_zorg'!P$91,2)</f>
        <v>0</v>
      </c>
      <c r="E790" s="872" t="s">
        <v>1241</v>
      </c>
      <c r="F790" s="872" t="s">
        <v>967</v>
      </c>
      <c r="G790" s="872"/>
      <c r="H790" s="874"/>
    </row>
    <row r="791" spans="1:8" x14ac:dyDescent="0.3">
      <c r="A791" s="889" t="s">
        <v>975</v>
      </c>
      <c r="B791" s="868" t="s">
        <v>1236</v>
      </c>
      <c r="C791" s="871" t="str">
        <f>IF(AND('Overzicht BTA'!$C$39=FALSE,'Overzicht BTA'!$C$42= FALSE),_xlfn.CONCAT('Upload AXI - CONF'!$A791,'Upload AXI - CONF'!$B791),"")</f>
        <v>Object.RAM[Z3K1].FlexAO403</v>
      </c>
      <c r="D791" s="867">
        <f>ROUND('Raming_ kost_zorg'!R$90,2)</f>
        <v>0</v>
      </c>
      <c r="E791" s="868" t="s">
        <v>1237</v>
      </c>
      <c r="F791" s="868" t="s">
        <v>967</v>
      </c>
      <c r="G791" s="868"/>
      <c r="H791" s="870"/>
    </row>
    <row r="792" spans="1:8" x14ac:dyDescent="0.3">
      <c r="A792" s="973" t="s">
        <v>975</v>
      </c>
      <c r="B792" s="872" t="s">
        <v>1238</v>
      </c>
      <c r="C792" s="871" t="str">
        <f>IF(AND('Overzicht BTA'!$C$39=FALSE,'Overzicht BTA'!$C$42= FALSE),_xlfn.CONCAT('Upload AXI - CONF'!$A792,'Upload AXI - CONF'!$B792),"")</f>
        <v>Object.RAM[Z3K1].FlexAO404</v>
      </c>
      <c r="D792" s="871">
        <f>ROUND('Raming_ kost_zorg'!R$92,2)</f>
        <v>0</v>
      </c>
      <c r="E792" s="872" t="s">
        <v>1239</v>
      </c>
      <c r="F792" s="872" t="s">
        <v>967</v>
      </c>
      <c r="G792" s="872"/>
      <c r="H792" s="874"/>
    </row>
    <row r="793" spans="1:8" x14ac:dyDescent="0.3">
      <c r="A793" s="889" t="s">
        <v>975</v>
      </c>
      <c r="B793" s="868" t="s">
        <v>1240</v>
      </c>
      <c r="C793" s="871" t="str">
        <f>IF(AND('Overzicht BTA'!$C$39=FALSE,'Overzicht BTA'!$C$42= FALSE),_xlfn.CONCAT('Upload AXI - CONF'!$A793,'Upload AXI - CONF'!$B793),"")</f>
        <v>Object.RAM[Z3K1].FlexAO405</v>
      </c>
      <c r="D793" s="867">
        <f>ROUND('Raming_ kost_zorg'!R$91,2)</f>
        <v>0</v>
      </c>
      <c r="E793" s="868" t="s">
        <v>1241</v>
      </c>
      <c r="F793" s="868" t="s">
        <v>967</v>
      </c>
      <c r="G793" s="868"/>
      <c r="H793" s="870"/>
    </row>
    <row r="794" spans="1:8" x14ac:dyDescent="0.3">
      <c r="A794" s="973" t="s">
        <v>976</v>
      </c>
      <c r="B794" s="872" t="s">
        <v>1236</v>
      </c>
      <c r="C794" s="871" t="str">
        <f>IF(AND('Overzicht BTA'!$C$39=FALSE,'Overzicht BTA'!$C$42= FALSE),_xlfn.CONCAT('Upload AXI - CONF'!$A794,'Upload AXI - CONF'!$B794),"")</f>
        <v>Object.RAM[Z3K2].FlexAO403</v>
      </c>
      <c r="D794" s="871">
        <f>ROUND('Raming_ kost_zorg'!T$90,2)</f>
        <v>0</v>
      </c>
      <c r="E794" s="872" t="s">
        <v>1237</v>
      </c>
      <c r="F794" s="872" t="s">
        <v>967</v>
      </c>
      <c r="G794" s="872"/>
      <c r="H794" s="874"/>
    </row>
    <row r="795" spans="1:8" x14ac:dyDescent="0.3">
      <c r="A795" s="889" t="s">
        <v>976</v>
      </c>
      <c r="B795" s="868" t="s">
        <v>1238</v>
      </c>
      <c r="C795" s="871" t="str">
        <f>IF(AND('Overzicht BTA'!$C$39=FALSE,'Overzicht BTA'!$C$42= FALSE),_xlfn.CONCAT('Upload AXI - CONF'!$A795,'Upload AXI - CONF'!$B795),"")</f>
        <v>Object.RAM[Z3K2].FlexAO404</v>
      </c>
      <c r="D795" s="867">
        <f>ROUND('Raming_ kost_zorg'!T$92,2)</f>
        <v>0</v>
      </c>
      <c r="E795" s="868" t="s">
        <v>1239</v>
      </c>
      <c r="F795" s="868" t="s">
        <v>967</v>
      </c>
      <c r="G795" s="868"/>
      <c r="H795" s="870"/>
    </row>
    <row r="796" spans="1:8" x14ac:dyDescent="0.3">
      <c r="A796" s="973" t="s">
        <v>976</v>
      </c>
      <c r="B796" s="872" t="s">
        <v>1240</v>
      </c>
      <c r="C796" s="871" t="str">
        <f>IF(AND('Overzicht BTA'!$C$39=FALSE,'Overzicht BTA'!$C$42= FALSE),_xlfn.CONCAT('Upload AXI - CONF'!$A796,'Upload AXI - CONF'!$B796),"")</f>
        <v>Object.RAM[Z3K2].FlexAO405</v>
      </c>
      <c r="D796" s="871">
        <f>ROUND('Raming_ kost_zorg'!T$91,2)</f>
        <v>0</v>
      </c>
      <c r="E796" s="872" t="s">
        <v>1241</v>
      </c>
      <c r="F796" s="872" t="s">
        <v>967</v>
      </c>
      <c r="G796" s="872"/>
      <c r="H796" s="874"/>
    </row>
    <row r="797" spans="1:8" x14ac:dyDescent="0.3">
      <c r="A797" s="889" t="s">
        <v>977</v>
      </c>
      <c r="B797" s="868" t="s">
        <v>1236</v>
      </c>
      <c r="C797" s="871" t="str">
        <f>IF(AND('Overzicht BTA'!$C$39=FALSE,'Overzicht BTA'!$C$42= FALSE),_xlfn.CONCAT('Upload AXI - CONF'!$A797,'Upload AXI - CONF'!$B797),"")</f>
        <v>Object.RAM[Z3K3].FlexAO403</v>
      </c>
      <c r="D797" s="867">
        <f>ROUND('Raming_ kost_zorg'!V$90,2)</f>
        <v>0</v>
      </c>
      <c r="E797" s="868" t="s">
        <v>1237</v>
      </c>
      <c r="F797" s="868" t="s">
        <v>967</v>
      </c>
      <c r="G797" s="868"/>
      <c r="H797" s="870"/>
    </row>
    <row r="798" spans="1:8" x14ac:dyDescent="0.3">
      <c r="A798" s="973" t="s">
        <v>977</v>
      </c>
      <c r="B798" s="872" t="s">
        <v>1238</v>
      </c>
      <c r="C798" s="871" t="str">
        <f>IF(AND('Overzicht BTA'!$C$39=FALSE,'Overzicht BTA'!$C$42= FALSE),_xlfn.CONCAT('Upload AXI - CONF'!$A798,'Upload AXI - CONF'!$B798),"")</f>
        <v>Object.RAM[Z3K3].FlexAO404</v>
      </c>
      <c r="D798" s="871">
        <f>ROUND('Raming_ kost_zorg'!V$92,2)</f>
        <v>0</v>
      </c>
      <c r="E798" s="872" t="s">
        <v>1239</v>
      </c>
      <c r="F798" s="872" t="s">
        <v>967</v>
      </c>
      <c r="G798" s="872"/>
      <c r="H798" s="874"/>
    </row>
    <row r="799" spans="1:8" x14ac:dyDescent="0.3">
      <c r="A799" s="889" t="s">
        <v>977</v>
      </c>
      <c r="B799" s="868" t="s">
        <v>1240</v>
      </c>
      <c r="C799" s="871" t="str">
        <f>IF(AND('Overzicht BTA'!$C$39=FALSE,'Overzicht BTA'!$C$42= FALSE),_xlfn.CONCAT('Upload AXI - CONF'!$A799,'Upload AXI - CONF'!$B799),"")</f>
        <v>Object.RAM[Z3K3].FlexAO405</v>
      </c>
      <c r="D799" s="867">
        <f>ROUND('Raming_ kost_zorg'!V$91,2)</f>
        <v>0</v>
      </c>
      <c r="E799" s="868" t="s">
        <v>1241</v>
      </c>
      <c r="F799" s="868" t="s">
        <v>967</v>
      </c>
      <c r="G799" s="868"/>
      <c r="H799" s="870"/>
    </row>
    <row r="800" spans="1:8" x14ac:dyDescent="0.3">
      <c r="A800" s="973" t="s">
        <v>978</v>
      </c>
      <c r="B800" s="872" t="s">
        <v>1236</v>
      </c>
      <c r="C800" s="871" t="str">
        <f>IF(AND('Overzicht BTA'!$C$39=FALSE,'Overzicht BTA'!$C$42= FALSE),_xlfn.CONCAT('Upload AXI - CONF'!$A800,'Upload AXI - CONF'!$B800),"")</f>
        <v>Object.RAM[Z3K4].FlexAO403</v>
      </c>
      <c r="D800" s="871">
        <f>ROUND('Raming_ kost_zorg'!X$90,2)</f>
        <v>0</v>
      </c>
      <c r="E800" s="872" t="s">
        <v>1237</v>
      </c>
      <c r="F800" s="872" t="s">
        <v>967</v>
      </c>
      <c r="G800" s="872"/>
      <c r="H800" s="874"/>
    </row>
    <row r="801" spans="1:8" x14ac:dyDescent="0.3">
      <c r="A801" s="889" t="s">
        <v>978</v>
      </c>
      <c r="B801" s="868" t="s">
        <v>1238</v>
      </c>
      <c r="C801" s="871" t="str">
        <f>IF(AND('Overzicht BTA'!$C$39=FALSE,'Overzicht BTA'!$C$42= FALSE),_xlfn.CONCAT('Upload AXI - CONF'!$A801,'Upload AXI - CONF'!$B801),"")</f>
        <v>Object.RAM[Z3K4].FlexAO404</v>
      </c>
      <c r="D801" s="867">
        <f>ROUND('Raming_ kost_zorg'!X$92,2)</f>
        <v>0</v>
      </c>
      <c r="E801" s="868" t="s">
        <v>1239</v>
      </c>
      <c r="F801" s="868" t="s">
        <v>967</v>
      </c>
      <c r="G801" s="868"/>
      <c r="H801" s="870"/>
    </row>
    <row r="802" spans="1:8" x14ac:dyDescent="0.3">
      <c r="A802" s="973" t="s">
        <v>978</v>
      </c>
      <c r="B802" s="872" t="s">
        <v>1240</v>
      </c>
      <c r="C802" s="871" t="str">
        <f>IF(AND('Overzicht BTA'!$C$39=FALSE,'Overzicht BTA'!$C$42= FALSE),_xlfn.CONCAT('Upload AXI - CONF'!$A802,'Upload AXI - CONF'!$B802),"")</f>
        <v>Object.RAM[Z3K4].FlexAO405</v>
      </c>
      <c r="D802" s="871">
        <f>ROUND('Raming_ kost_zorg'!X$91,2)</f>
        <v>0</v>
      </c>
      <c r="E802" s="872" t="s">
        <v>1241</v>
      </c>
      <c r="F802" s="872" t="s">
        <v>967</v>
      </c>
      <c r="G802" s="872"/>
      <c r="H802" s="874"/>
    </row>
    <row r="803" spans="1:8" x14ac:dyDescent="0.3">
      <c r="A803" s="889" t="s">
        <v>964</v>
      </c>
      <c r="B803" s="868" t="s">
        <v>1051</v>
      </c>
      <c r="C803" s="867" t="str">
        <f>IF('Overzicht BTA'!$C$42= TRUE,_xlfn.CONCAT('Upload AXI - CONF'!$A803,'Upload AXI - CONF'!$B803),"")</f>
        <v/>
      </c>
      <c r="D803" s="867">
        <f>ROUND('Raming_ kost_zorg'!X$91,2)</f>
        <v>0</v>
      </c>
      <c r="E803" s="868" t="s">
        <v>1242</v>
      </c>
      <c r="F803" s="868" t="s">
        <v>967</v>
      </c>
      <c r="G803" s="868"/>
      <c r="H803" s="870"/>
    </row>
    <row r="804" spans="1:8" x14ac:dyDescent="0.3">
      <c r="A804" s="973" t="s">
        <v>968</v>
      </c>
      <c r="B804" s="868" t="s">
        <v>1051</v>
      </c>
      <c r="C804" s="871" t="str">
        <f>IF('Overzicht BTA'!$C$42= TRUE,_xlfn.CONCAT('Upload AXI - CONF'!$A804,'Upload AXI - CONF'!$B804),"")</f>
        <v/>
      </c>
      <c r="D804" s="871">
        <f>ROUND('eindafrekening_ kost_zorg'!B$74,2)</f>
        <v>0</v>
      </c>
      <c r="E804" s="872" t="s">
        <v>1242</v>
      </c>
      <c r="F804" s="872" t="s">
        <v>967</v>
      </c>
      <c r="G804" s="872"/>
      <c r="H804" s="874"/>
    </row>
    <row r="805" spans="1:8" x14ac:dyDescent="0.3">
      <c r="A805" s="889" t="s">
        <v>969</v>
      </c>
      <c r="B805" s="868" t="s">
        <v>1051</v>
      </c>
      <c r="C805" s="867" t="str">
        <f>IF('Overzicht BTA'!$C$42= TRUE,_xlfn.CONCAT('Upload AXI - CONF'!$A805,'Upload AXI - CONF'!$B805),"")</f>
        <v/>
      </c>
      <c r="D805" s="867">
        <f>ROUND('eindafrekening_ kost_zorg'!D$74,2)</f>
        <v>0</v>
      </c>
      <c r="E805" s="868" t="s">
        <v>1242</v>
      </c>
      <c r="F805" s="868" t="s">
        <v>967</v>
      </c>
      <c r="G805" s="868"/>
      <c r="H805" s="870"/>
    </row>
    <row r="806" spans="1:8" x14ac:dyDescent="0.3">
      <c r="A806" s="973" t="s">
        <v>970</v>
      </c>
      <c r="B806" s="868" t="s">
        <v>1051</v>
      </c>
      <c r="C806" s="871" t="str">
        <f>IF('Overzicht BTA'!$C$42= TRUE,_xlfn.CONCAT('Upload AXI - CONF'!$A806,'Upload AXI - CONF'!$B806),"")</f>
        <v/>
      </c>
      <c r="D806" s="871">
        <f>ROUND('eindafrekening_ kost_zorg'!F$74,2)</f>
        <v>0</v>
      </c>
      <c r="E806" s="872" t="s">
        <v>1242</v>
      </c>
      <c r="F806" s="872" t="s">
        <v>967</v>
      </c>
      <c r="G806" s="872"/>
      <c r="H806" s="874"/>
    </row>
    <row r="807" spans="1:8" x14ac:dyDescent="0.3">
      <c r="A807" s="889" t="s">
        <v>971</v>
      </c>
      <c r="B807" s="868" t="s">
        <v>1051</v>
      </c>
      <c r="C807" s="867" t="str">
        <f>IF('Overzicht BTA'!$C$42= TRUE,_xlfn.CONCAT('Upload AXI - CONF'!$A807,'Upload AXI - CONF'!$B807),"")</f>
        <v/>
      </c>
      <c r="D807" s="867">
        <f>ROUND('eindafrekening_ kost_zorg'!H$74,2)</f>
        <v>0</v>
      </c>
      <c r="E807" s="868" t="s">
        <v>1242</v>
      </c>
      <c r="F807" s="868" t="s">
        <v>967</v>
      </c>
      <c r="G807" s="868"/>
      <c r="H807" s="870"/>
    </row>
    <row r="808" spans="1:8" x14ac:dyDescent="0.3">
      <c r="A808" s="973" t="s">
        <v>972</v>
      </c>
      <c r="B808" s="868" t="s">
        <v>1051</v>
      </c>
      <c r="C808" s="871" t="str">
        <f>IF('Overzicht BTA'!$C$42= TRUE,_xlfn.CONCAT('Upload AXI - CONF'!$A808,'Upload AXI - CONF'!$B808),"")</f>
        <v/>
      </c>
      <c r="D808" s="871">
        <f>ROUND('eindafrekening_ kost_zorg'!J$74,2)</f>
        <v>0</v>
      </c>
      <c r="E808" s="872" t="s">
        <v>1242</v>
      </c>
      <c r="F808" s="872" t="s">
        <v>967</v>
      </c>
      <c r="G808" s="872"/>
      <c r="H808" s="874"/>
    </row>
    <row r="809" spans="1:8" x14ac:dyDescent="0.3">
      <c r="A809" s="889" t="s">
        <v>973</v>
      </c>
      <c r="B809" s="868" t="s">
        <v>1051</v>
      </c>
      <c r="C809" s="867" t="str">
        <f>IF('Overzicht BTA'!$C$42= TRUE,_xlfn.CONCAT('Upload AXI - CONF'!$A809,'Upload AXI - CONF'!$B809),"")</f>
        <v/>
      </c>
      <c r="D809" s="867">
        <f>ROUND('eindafrekening_ kost_zorg'!L$74,2)</f>
        <v>0</v>
      </c>
      <c r="E809" s="868" t="s">
        <v>1242</v>
      </c>
      <c r="F809" s="868" t="s">
        <v>967</v>
      </c>
      <c r="G809" s="868"/>
      <c r="H809" s="870"/>
    </row>
    <row r="810" spans="1:8" x14ac:dyDescent="0.3">
      <c r="A810" s="973" t="s">
        <v>974</v>
      </c>
      <c r="B810" s="868" t="s">
        <v>1051</v>
      </c>
      <c r="C810" s="871" t="str">
        <f>IF('Overzicht BTA'!$C$42= TRUE,_xlfn.CONCAT('Upload AXI - CONF'!$A810,'Upload AXI - CONF'!$B810),"")</f>
        <v/>
      </c>
      <c r="D810" s="871">
        <f>ROUND('eindafrekening_ kost_zorg'!N$74,2)</f>
        <v>0</v>
      </c>
      <c r="E810" s="872" t="s">
        <v>1242</v>
      </c>
      <c r="F810" s="872" t="s">
        <v>967</v>
      </c>
      <c r="G810" s="872"/>
      <c r="H810" s="874"/>
    </row>
    <row r="811" spans="1:8" x14ac:dyDescent="0.3">
      <c r="A811" s="889" t="s">
        <v>975</v>
      </c>
      <c r="B811" s="868" t="s">
        <v>1051</v>
      </c>
      <c r="C811" s="867" t="str">
        <f>IF('Overzicht BTA'!$C$42= TRUE,_xlfn.CONCAT('Upload AXI - CONF'!$A811,'Upload AXI - CONF'!$B811),"")</f>
        <v/>
      </c>
      <c r="D811" s="867">
        <f>ROUND('eindafrekening_ kost_zorg'!P$74,2)</f>
        <v>0</v>
      </c>
      <c r="E811" s="868" t="s">
        <v>1242</v>
      </c>
      <c r="F811" s="868" t="s">
        <v>967</v>
      </c>
      <c r="G811" s="868"/>
      <c r="H811" s="870"/>
    </row>
    <row r="812" spans="1:8" x14ac:dyDescent="0.3">
      <c r="A812" s="973" t="s">
        <v>976</v>
      </c>
      <c r="B812" s="868" t="s">
        <v>1051</v>
      </c>
      <c r="C812" s="871" t="str">
        <f>IF('Overzicht BTA'!$C$42= TRUE,_xlfn.CONCAT('Upload AXI - CONF'!$A812,'Upload AXI - CONF'!$B812),"")</f>
        <v/>
      </c>
      <c r="D812" s="871">
        <f>ROUND('eindafrekening_ kost_zorg'!R$74,2)</f>
        <v>0</v>
      </c>
      <c r="E812" s="872" t="s">
        <v>1242</v>
      </c>
      <c r="F812" s="872" t="s">
        <v>967</v>
      </c>
      <c r="G812" s="872"/>
      <c r="H812" s="874"/>
    </row>
    <row r="813" spans="1:8" x14ac:dyDescent="0.3">
      <c r="A813" s="889" t="s">
        <v>977</v>
      </c>
      <c r="B813" s="868" t="s">
        <v>1051</v>
      </c>
      <c r="C813" s="867" t="str">
        <f>IF('Overzicht BTA'!$C$42= TRUE,_xlfn.CONCAT('Upload AXI - CONF'!$A813,'Upload AXI - CONF'!$B813),"")</f>
        <v/>
      </c>
      <c r="D813" s="867">
        <f>ROUND('eindafrekening_ kost_zorg'!T$74,2)</f>
        <v>0</v>
      </c>
      <c r="E813" s="868" t="s">
        <v>1242</v>
      </c>
      <c r="F813" s="868" t="s">
        <v>967</v>
      </c>
      <c r="G813" s="868"/>
      <c r="H813" s="870"/>
    </row>
    <row r="814" spans="1:8" x14ac:dyDescent="0.3">
      <c r="A814" s="973" t="s">
        <v>978</v>
      </c>
      <c r="B814" s="868" t="s">
        <v>1051</v>
      </c>
      <c r="C814" s="871" t="str">
        <f>IF('Overzicht BTA'!$C$42= TRUE,_xlfn.CONCAT('Upload AXI - CONF'!$A814,'Upload AXI - CONF'!$B814),"")</f>
        <v/>
      </c>
      <c r="D814" s="871">
        <f>ROUND('eindafrekening_ kost_zorg'!V$74,2)</f>
        <v>0</v>
      </c>
      <c r="E814" s="872" t="s">
        <v>1242</v>
      </c>
      <c r="F814" s="872" t="s">
        <v>967</v>
      </c>
      <c r="G814" s="872"/>
      <c r="H814" s="874"/>
    </row>
    <row r="815" spans="1:8" x14ac:dyDescent="0.3">
      <c r="A815" s="889" t="s">
        <v>964</v>
      </c>
      <c r="B815" s="868" t="s">
        <v>1243</v>
      </c>
      <c r="C815" s="867" t="str">
        <f>IF('Overzicht BTA'!$C$42= TRUE,_xlfn.CONCAT('Upload AXI - CONF'!$A815,'Upload AXI - CONF'!$B815),"")</f>
        <v/>
      </c>
      <c r="D815" s="867">
        <f>ROUND('eindafrekening_ kost_zorg'!B$78,2)</f>
        <v>0</v>
      </c>
      <c r="E815" s="868" t="s">
        <v>1244</v>
      </c>
      <c r="F815" s="868" t="s">
        <v>967</v>
      </c>
      <c r="G815" s="868"/>
      <c r="H815" s="870"/>
    </row>
    <row r="816" spans="1:8" x14ac:dyDescent="0.3">
      <c r="A816" s="973" t="s">
        <v>968</v>
      </c>
      <c r="B816" s="872" t="s">
        <v>1243</v>
      </c>
      <c r="C816" s="871" t="str">
        <f>IF('Overzicht BTA'!$C$42= TRUE,_xlfn.CONCAT('Upload AXI - CONF'!$A816,'Upload AXI - CONF'!$B816),"")</f>
        <v/>
      </c>
      <c r="D816" s="871">
        <f>ROUND('eindafrekening_ kost_zorg'!D$78,2)</f>
        <v>0</v>
      </c>
      <c r="E816" s="872" t="s">
        <v>1244</v>
      </c>
      <c r="F816" s="872" t="s">
        <v>967</v>
      </c>
      <c r="G816" s="872"/>
      <c r="H816" s="874"/>
    </row>
    <row r="817" spans="1:8" x14ac:dyDescent="0.3">
      <c r="A817" s="889" t="s">
        <v>969</v>
      </c>
      <c r="B817" s="868" t="s">
        <v>1243</v>
      </c>
      <c r="C817" s="867" t="str">
        <f>IF('Overzicht BTA'!$C$42= TRUE,_xlfn.CONCAT('Upload AXI - CONF'!$A817,'Upload AXI - CONF'!$B817),"")</f>
        <v/>
      </c>
      <c r="D817" s="867">
        <f>ROUND('eindafrekening_ kost_zorg'!F$78,2)</f>
        <v>0</v>
      </c>
      <c r="E817" s="868" t="s">
        <v>1244</v>
      </c>
      <c r="F817" s="868" t="s">
        <v>967</v>
      </c>
      <c r="G817" s="868"/>
      <c r="H817" s="870"/>
    </row>
    <row r="818" spans="1:8" x14ac:dyDescent="0.3">
      <c r="A818" s="973" t="s">
        <v>970</v>
      </c>
      <c r="B818" s="872" t="s">
        <v>1243</v>
      </c>
      <c r="C818" s="871" t="str">
        <f>IF('Overzicht BTA'!$C$42= TRUE,_xlfn.CONCAT('Upload AXI - CONF'!$A818,'Upload AXI - CONF'!$B818),"")</f>
        <v/>
      </c>
      <c r="D818" s="871">
        <f>ROUND('eindafrekening_ kost_zorg'!H$78,2)</f>
        <v>0</v>
      </c>
      <c r="E818" s="872" t="s">
        <v>1244</v>
      </c>
      <c r="F818" s="872" t="s">
        <v>967</v>
      </c>
      <c r="G818" s="872"/>
      <c r="H818" s="874"/>
    </row>
    <row r="819" spans="1:8" x14ac:dyDescent="0.3">
      <c r="A819" s="889" t="s">
        <v>971</v>
      </c>
      <c r="B819" s="868" t="s">
        <v>1243</v>
      </c>
      <c r="C819" s="867" t="str">
        <f>IF('Overzicht BTA'!$C$42= TRUE,_xlfn.CONCAT('Upload AXI - CONF'!$A819,'Upload AXI - CONF'!$B819),"")</f>
        <v/>
      </c>
      <c r="D819" s="867">
        <f>ROUND('eindafrekening_ kost_zorg'!J$78,2)</f>
        <v>0</v>
      </c>
      <c r="E819" s="868" t="s">
        <v>1244</v>
      </c>
      <c r="F819" s="868" t="s">
        <v>967</v>
      </c>
      <c r="G819" s="868"/>
      <c r="H819" s="870"/>
    </row>
    <row r="820" spans="1:8" x14ac:dyDescent="0.3">
      <c r="A820" s="973" t="s">
        <v>972</v>
      </c>
      <c r="B820" s="872" t="s">
        <v>1243</v>
      </c>
      <c r="C820" s="871" t="str">
        <f>IF('Overzicht BTA'!$C$42= TRUE,_xlfn.CONCAT('Upload AXI - CONF'!$A820,'Upload AXI - CONF'!$B820),"")</f>
        <v/>
      </c>
      <c r="D820" s="871">
        <f>ROUND('eindafrekening_ kost_zorg'!L$78,2)</f>
        <v>0</v>
      </c>
      <c r="E820" s="872" t="s">
        <v>1244</v>
      </c>
      <c r="F820" s="872" t="s">
        <v>967</v>
      </c>
      <c r="G820" s="872"/>
      <c r="H820" s="874"/>
    </row>
    <row r="821" spans="1:8" x14ac:dyDescent="0.3">
      <c r="A821" s="889" t="s">
        <v>973</v>
      </c>
      <c r="B821" s="868" t="s">
        <v>1243</v>
      </c>
      <c r="C821" s="867" t="str">
        <f>IF('Overzicht BTA'!$C$42= TRUE,_xlfn.CONCAT('Upload AXI - CONF'!$A821,'Upload AXI - CONF'!$B821),"")</f>
        <v/>
      </c>
      <c r="D821" s="867">
        <f>ROUND('eindafrekening_ kost_zorg'!N$78,2)</f>
        <v>0</v>
      </c>
      <c r="E821" s="868" t="s">
        <v>1244</v>
      </c>
      <c r="F821" s="868" t="s">
        <v>967</v>
      </c>
      <c r="G821" s="868"/>
      <c r="H821" s="870"/>
    </row>
    <row r="822" spans="1:8" x14ac:dyDescent="0.3">
      <c r="A822" s="973" t="s">
        <v>974</v>
      </c>
      <c r="B822" s="872" t="s">
        <v>1243</v>
      </c>
      <c r="C822" s="871" t="str">
        <f>IF('Overzicht BTA'!$C$42= TRUE,_xlfn.CONCAT('Upload AXI - CONF'!$A822,'Upload AXI - CONF'!$B822),"")</f>
        <v/>
      </c>
      <c r="D822" s="871">
        <f>ROUND('eindafrekening_ kost_zorg'!P$78,2)</f>
        <v>0</v>
      </c>
      <c r="E822" s="872" t="s">
        <v>1244</v>
      </c>
      <c r="F822" s="872" t="s">
        <v>967</v>
      </c>
      <c r="G822" s="872"/>
      <c r="H822" s="874"/>
    </row>
    <row r="823" spans="1:8" x14ac:dyDescent="0.3">
      <c r="A823" s="889" t="s">
        <v>975</v>
      </c>
      <c r="B823" s="868" t="s">
        <v>1243</v>
      </c>
      <c r="C823" s="867" t="str">
        <f>IF('Overzicht BTA'!$C$42= TRUE,_xlfn.CONCAT('Upload AXI - CONF'!$A823,'Upload AXI - CONF'!$B823),"")</f>
        <v/>
      </c>
      <c r="D823" s="867">
        <f>ROUND('eindafrekening_ kost_zorg'!R$78,2)</f>
        <v>0</v>
      </c>
      <c r="E823" s="868" t="s">
        <v>1244</v>
      </c>
      <c r="F823" s="868" t="s">
        <v>967</v>
      </c>
      <c r="G823" s="868"/>
      <c r="H823" s="870"/>
    </row>
    <row r="824" spans="1:8" x14ac:dyDescent="0.3">
      <c r="A824" s="973" t="s">
        <v>976</v>
      </c>
      <c r="B824" s="872" t="s">
        <v>1243</v>
      </c>
      <c r="C824" s="871" t="str">
        <f>IF('Overzicht BTA'!$C$42= TRUE,_xlfn.CONCAT('Upload AXI - CONF'!$A824,'Upload AXI - CONF'!$B824),"")</f>
        <v/>
      </c>
      <c r="D824" s="871">
        <f>ROUND('eindafrekening_ kost_zorg'!T$78,2)</f>
        <v>0</v>
      </c>
      <c r="E824" s="872" t="s">
        <v>1244</v>
      </c>
      <c r="F824" s="872" t="s">
        <v>967</v>
      </c>
      <c r="G824" s="872"/>
      <c r="H824" s="874"/>
    </row>
    <row r="825" spans="1:8" x14ac:dyDescent="0.3">
      <c r="A825" s="889" t="s">
        <v>977</v>
      </c>
      <c r="B825" s="868" t="s">
        <v>1243</v>
      </c>
      <c r="C825" s="867" t="str">
        <f>IF('Overzicht BTA'!$C$42= TRUE,_xlfn.CONCAT('Upload AXI - CONF'!$A825,'Upload AXI - CONF'!$B825),"")</f>
        <v/>
      </c>
      <c r="D825" s="867">
        <f>ROUND('eindafrekening_ kost_zorg'!V$78,2)</f>
        <v>0</v>
      </c>
      <c r="E825" s="868" t="s">
        <v>1244</v>
      </c>
      <c r="F825" s="868" t="s">
        <v>967</v>
      </c>
      <c r="G825" s="868"/>
      <c r="H825" s="870"/>
    </row>
    <row r="826" spans="1:8" x14ac:dyDescent="0.3">
      <c r="A826" s="973" t="s">
        <v>978</v>
      </c>
      <c r="B826" s="872" t="s">
        <v>1243</v>
      </c>
      <c r="C826" s="871" t="str">
        <f>IF('Overzicht BTA'!$C$42= TRUE,_xlfn.CONCAT('Upload AXI - CONF'!$A826,'Upload AXI - CONF'!$B826),"")</f>
        <v/>
      </c>
      <c r="D826" s="871">
        <f>ROUND('eindafrekening_ kost_zorg'!X$78,2)</f>
        <v>0</v>
      </c>
      <c r="E826" s="872" t="s">
        <v>1244</v>
      </c>
      <c r="F826" s="872" t="s">
        <v>967</v>
      </c>
      <c r="G826" s="872"/>
      <c r="H826" s="874"/>
    </row>
    <row r="827" spans="1:8" x14ac:dyDescent="0.3">
      <c r="A827" s="889" t="s">
        <v>964</v>
      </c>
      <c r="B827" s="868" t="s">
        <v>1245</v>
      </c>
      <c r="C827" s="974" t="str">
        <f>IF('Overzicht BTA'!$C$42= TRUE,_xlfn.CONCAT('Upload AXI - CONF'!$A827,'Upload AXI - CONF'!$B827),"")</f>
        <v/>
      </c>
      <c r="D827" s="974">
        <f>ROUND('eindafrekening_ kost_zorg'!C$71,2)</f>
        <v>0.21</v>
      </c>
      <c r="E827" s="868" t="s">
        <v>1246</v>
      </c>
      <c r="F827" s="868" t="s">
        <v>967</v>
      </c>
      <c r="G827" s="868"/>
      <c r="H827" s="870"/>
    </row>
    <row r="828" spans="1:8" x14ac:dyDescent="0.3">
      <c r="A828" s="973" t="s">
        <v>968</v>
      </c>
      <c r="B828" s="872" t="s">
        <v>1245</v>
      </c>
      <c r="C828" s="975" t="str">
        <f>IF('Overzicht BTA'!$C$42= TRUE,_xlfn.CONCAT('Upload AXI - CONF'!$A828,'Upload AXI - CONF'!$B828),"")</f>
        <v/>
      </c>
      <c r="D828" s="975">
        <f>ROUND('eindafrekening_ kost_zorg'!E$71,2)</f>
        <v>0.21</v>
      </c>
      <c r="E828" s="872" t="s">
        <v>1246</v>
      </c>
      <c r="F828" s="872" t="s">
        <v>967</v>
      </c>
      <c r="G828" s="872"/>
      <c r="H828" s="874"/>
    </row>
    <row r="829" spans="1:8" x14ac:dyDescent="0.3">
      <c r="A829" s="889" t="s">
        <v>969</v>
      </c>
      <c r="B829" s="868" t="s">
        <v>1245</v>
      </c>
      <c r="C829" s="974" t="str">
        <f>IF('Overzicht BTA'!$C$42= TRUE,_xlfn.CONCAT('Upload AXI - CONF'!$A829,'Upload AXI - CONF'!$B829),"")</f>
        <v/>
      </c>
      <c r="D829" s="974">
        <f>ROUND('eindafrekening_ kost_zorg'!G$71,2)</f>
        <v>0.21</v>
      </c>
      <c r="E829" s="868" t="s">
        <v>1246</v>
      </c>
      <c r="F829" s="868" t="s">
        <v>967</v>
      </c>
      <c r="G829" s="868"/>
      <c r="H829" s="870"/>
    </row>
    <row r="830" spans="1:8" x14ac:dyDescent="0.3">
      <c r="A830" s="973" t="s">
        <v>970</v>
      </c>
      <c r="B830" s="872" t="s">
        <v>1245</v>
      </c>
      <c r="C830" s="975" t="str">
        <f>IF('Overzicht BTA'!$C$42= TRUE,_xlfn.CONCAT('Upload AXI - CONF'!$A830,'Upload AXI - CONF'!$B830),"")</f>
        <v/>
      </c>
      <c r="D830" s="975">
        <f>ROUND('eindafrekening_ kost_zorg'!I$71,2)</f>
        <v>0.21</v>
      </c>
      <c r="E830" s="872" t="s">
        <v>1246</v>
      </c>
      <c r="F830" s="872" t="s">
        <v>967</v>
      </c>
      <c r="G830" s="872"/>
      <c r="H830" s="874"/>
    </row>
    <row r="831" spans="1:8" x14ac:dyDescent="0.3">
      <c r="A831" s="889" t="s">
        <v>971</v>
      </c>
      <c r="B831" s="868" t="s">
        <v>1245</v>
      </c>
      <c r="C831" s="974" t="str">
        <f>IF('Overzicht BTA'!$C$42= TRUE,_xlfn.CONCAT('Upload AXI - CONF'!$A831,'Upload AXI - CONF'!$B831),"")</f>
        <v/>
      </c>
      <c r="D831" s="974">
        <f>ROUND('eindafrekening_ kost_zorg'!K$71,2)</f>
        <v>0.21</v>
      </c>
      <c r="E831" s="868" t="s">
        <v>1246</v>
      </c>
      <c r="F831" s="868" t="s">
        <v>967</v>
      </c>
      <c r="G831" s="868"/>
      <c r="H831" s="870"/>
    </row>
    <row r="832" spans="1:8" x14ac:dyDescent="0.3">
      <c r="A832" s="973" t="s">
        <v>972</v>
      </c>
      <c r="B832" s="872" t="s">
        <v>1245</v>
      </c>
      <c r="C832" s="975" t="str">
        <f>IF('Overzicht BTA'!$C$42= TRUE,_xlfn.CONCAT('Upload AXI - CONF'!$A832,'Upload AXI - CONF'!$B832),"")</f>
        <v/>
      </c>
      <c r="D832" s="975">
        <f>ROUND('eindafrekening_ kost_zorg'!M$71,2)</f>
        <v>0.21</v>
      </c>
      <c r="E832" s="872" t="s">
        <v>1246</v>
      </c>
      <c r="F832" s="872" t="s">
        <v>967</v>
      </c>
      <c r="G832" s="872"/>
      <c r="H832" s="874"/>
    </row>
    <row r="833" spans="1:8" x14ac:dyDescent="0.3">
      <c r="A833" s="889" t="s">
        <v>973</v>
      </c>
      <c r="B833" s="868" t="s">
        <v>1245</v>
      </c>
      <c r="C833" s="974" t="str">
        <f>IF('Overzicht BTA'!$C$42= TRUE,_xlfn.CONCAT('Upload AXI - CONF'!$A833,'Upload AXI - CONF'!$B833),"")</f>
        <v/>
      </c>
      <c r="D833" s="974">
        <f>ROUND('eindafrekening_ kost_zorg'!O$71,2)</f>
        <v>0.21</v>
      </c>
      <c r="E833" s="868" t="s">
        <v>1246</v>
      </c>
      <c r="F833" s="868" t="s">
        <v>967</v>
      </c>
      <c r="G833" s="868"/>
      <c r="H833" s="870"/>
    </row>
    <row r="834" spans="1:8" x14ac:dyDescent="0.3">
      <c r="A834" s="973" t="s">
        <v>974</v>
      </c>
      <c r="B834" s="872" t="s">
        <v>1245</v>
      </c>
      <c r="C834" s="975" t="str">
        <f>IF('Overzicht BTA'!$C$42= TRUE,_xlfn.CONCAT('Upload AXI - CONF'!$A834,'Upload AXI - CONF'!$B834),"")</f>
        <v/>
      </c>
      <c r="D834" s="975">
        <f>ROUND('eindafrekening_ kost_zorg'!Q$71,2)</f>
        <v>0.21</v>
      </c>
      <c r="E834" s="872" t="s">
        <v>1246</v>
      </c>
      <c r="F834" s="872" t="s">
        <v>967</v>
      </c>
      <c r="G834" s="872"/>
      <c r="H834" s="874"/>
    </row>
    <row r="835" spans="1:8" x14ac:dyDescent="0.3">
      <c r="A835" s="889" t="s">
        <v>975</v>
      </c>
      <c r="B835" s="868" t="s">
        <v>1245</v>
      </c>
      <c r="C835" s="974" t="str">
        <f>IF('Overzicht BTA'!$C$42= TRUE,_xlfn.CONCAT('Upload AXI - CONF'!$A835,'Upload AXI - CONF'!$B835),"")</f>
        <v/>
      </c>
      <c r="D835" s="974">
        <f>ROUND('eindafrekening_ kost_zorg'!S$71,2)</f>
        <v>0.21</v>
      </c>
      <c r="E835" s="868" t="s">
        <v>1246</v>
      </c>
      <c r="F835" s="868" t="s">
        <v>967</v>
      </c>
      <c r="G835" s="868"/>
      <c r="H835" s="870"/>
    </row>
    <row r="836" spans="1:8" x14ac:dyDescent="0.3">
      <c r="A836" s="973" t="s">
        <v>976</v>
      </c>
      <c r="B836" s="872" t="s">
        <v>1245</v>
      </c>
      <c r="C836" s="975" t="str">
        <f>IF('Overzicht BTA'!$C$42= TRUE,_xlfn.CONCAT('Upload AXI - CONF'!$A836,'Upload AXI - CONF'!$B836),"")</f>
        <v/>
      </c>
      <c r="D836" s="975">
        <f>ROUND('eindafrekening_ kost_zorg'!U$71,2)</f>
        <v>0.21</v>
      </c>
      <c r="E836" s="872" t="s">
        <v>1246</v>
      </c>
      <c r="F836" s="872" t="s">
        <v>967</v>
      </c>
      <c r="G836" s="872"/>
      <c r="H836" s="874"/>
    </row>
    <row r="837" spans="1:8" x14ac:dyDescent="0.3">
      <c r="A837" s="889" t="s">
        <v>977</v>
      </c>
      <c r="B837" s="868" t="s">
        <v>1245</v>
      </c>
      <c r="C837" s="974" t="str">
        <f>IF('Overzicht BTA'!$C$42= TRUE,_xlfn.CONCAT('Upload AXI - CONF'!$A837,'Upload AXI - CONF'!$B837),"")</f>
        <v/>
      </c>
      <c r="D837" s="974">
        <f>ROUND('eindafrekening_ kost_zorg'!W$71,2)</f>
        <v>0.21</v>
      </c>
      <c r="E837" s="868" t="s">
        <v>1246</v>
      </c>
      <c r="F837" s="868" t="s">
        <v>967</v>
      </c>
      <c r="G837" s="868"/>
      <c r="H837" s="870"/>
    </row>
    <row r="838" spans="1:8" x14ac:dyDescent="0.3">
      <c r="A838" s="973" t="s">
        <v>978</v>
      </c>
      <c r="B838" s="872" t="s">
        <v>1245</v>
      </c>
      <c r="C838" s="975" t="str">
        <f>IF('Overzicht BTA'!$C$42= TRUE,_xlfn.CONCAT('Upload AXI - CONF'!$A838,'Upload AXI - CONF'!$B838),"")</f>
        <v/>
      </c>
      <c r="D838" s="975">
        <f>ROUND('eindafrekening_ kost_zorg'!Y$71,2)</f>
        <v>0.21</v>
      </c>
      <c r="E838" s="872" t="s">
        <v>1246</v>
      </c>
      <c r="F838" s="872" t="s">
        <v>967</v>
      </c>
      <c r="G838" s="872"/>
      <c r="H838" s="874"/>
    </row>
    <row r="839" spans="1:8" x14ac:dyDescent="0.3">
      <c r="A839" s="889" t="s">
        <v>953</v>
      </c>
      <c r="B839" t="s">
        <v>1247</v>
      </c>
      <c r="C839" s="980" t="str">
        <f>IF('Overzicht BTA'!$C$42= TRUE,_xlfn.CONCAT('Upload AXI - CONF'!$A839,'Upload AXI - CONF'!$B839),"")</f>
        <v/>
      </c>
      <c r="D839" s="980">
        <f>'Bouwkost UITB'!T81+'Bouwkost UITB'!AE81+'Bouwkost UITB'!I81+'Bouwkost VERB'!AE81+'Bouwkost VERB'!I81+'Bouwkost VERB'!T81+'Bouwkost NB'!T82+'Bouwkost NB'!AE82+'Bouwkost NB'!I82+'Bouwkost IER'!I80+'Bouwkost IER'!T80+'Bouwkost IER'!AE80+'Bouwkost VOLT'!T81+'Bouwkost VOLT'!AE81+'Bouwkost VOLT'!I81</f>
        <v>0</v>
      </c>
      <c r="E839" t="s">
        <v>1248</v>
      </c>
      <c r="G839" t="s">
        <v>1221</v>
      </c>
    </row>
    <row r="840" spans="1:8" x14ac:dyDescent="0.3">
      <c r="A840" s="973" t="s">
        <v>953</v>
      </c>
      <c r="B840" s="979" t="s">
        <v>1249</v>
      </c>
      <c r="C840" t="str">
        <f>IF('Overzicht BTA'!$C$42= TRUE,_xlfn.CONCAT('Upload AXI - CONF'!$A840,'Upload AXI - CONF'!$B840),"")</f>
        <v/>
      </c>
      <c r="D840" t="str">
        <f>IFERROR(ROUND((D752-D4)/D4,2),"")</f>
        <v/>
      </c>
      <c r="E840" s="979" t="s">
        <v>1250</v>
      </c>
      <c r="G840" t="s">
        <v>1251</v>
      </c>
    </row>
    <row r="841" spans="1:8" x14ac:dyDescent="0.3">
      <c r="A841" s="973"/>
      <c r="C841" s="1033" t="str">
        <f>_xlfn.CONCAT('Upload AXI - CONF'!$A841,'Upload AXI - CONF'!$B841)</f>
        <v/>
      </c>
      <c r="D841" s="1033" t="e">
        <f>'analyse bij belofte'!P59</f>
        <v>#DIV/0!</v>
      </c>
      <c r="E841" t="s">
        <v>1252</v>
      </c>
      <c r="G841" t="s">
        <v>1210</v>
      </c>
    </row>
    <row r="842" spans="1:8" x14ac:dyDescent="0.3">
      <c r="A842" s="973"/>
      <c r="C842" s="1033" t="str">
        <f>_xlfn.CONCAT('Upload AXI - CONF'!$A842,'Upload AXI - CONF'!$B842)</f>
        <v/>
      </c>
      <c r="D842" s="1033" t="e">
        <f>('analyse bij belofte'!F33+'analyse bij belofte'!H33)/'analyse bij belofte'!P52</f>
        <v>#DIV/0!</v>
      </c>
      <c r="E842" s="979" t="s">
        <v>1253</v>
      </c>
      <c r="G842" t="s">
        <v>1210</v>
      </c>
    </row>
    <row r="843" spans="1:8" x14ac:dyDescent="0.3">
      <c r="A843" s="973"/>
      <c r="C843" s="1033" t="str">
        <f>_xlfn.CONCAT('Upload AXI - CONF'!$A843,'Upload AXI - CONF'!$B843)</f>
        <v/>
      </c>
      <c r="D843" s="1033">
        <f>IF(IFERROR(OR(VLOOKUP(Bron!A16,'Overzicht project_gewijzigd'!C10:C13,1,FALSE)=Bron!A16,VLOOKUP(Bron!A16,'Overzicht project_gewijzigd'!C17:C20,1,FALSE)=Bron!A16,VLOOKUP(Bron!A16,'Overzicht project_gewijzigd'!C24:C27,1,FALSE)=Bron!A16),0)=0,0,'analyse bij belofte'!P62)</f>
        <v>0</v>
      </c>
      <c r="E843" t="s">
        <v>1254</v>
      </c>
      <c r="G843" t="s">
        <v>1210</v>
      </c>
    </row>
    <row r="844" spans="1:8" x14ac:dyDescent="0.3">
      <c r="A844" s="973"/>
      <c r="C844" s="1033" t="str">
        <f>_xlfn.CONCAT('Upload AXI - CONF'!$A844,'Upload AXI - CONF'!$B844)</f>
        <v/>
      </c>
      <c r="D844" s="1033" t="e">
        <f>'analyse bij belofte'!P53</f>
        <v>#DIV/0!</v>
      </c>
      <c r="E844" s="979" t="s">
        <v>1255</v>
      </c>
      <c r="G844" t="s">
        <v>1210</v>
      </c>
    </row>
    <row r="845" spans="1:8" x14ac:dyDescent="0.3">
      <c r="A845" s="973" t="s">
        <v>953</v>
      </c>
      <c r="B845" t="s">
        <v>1256</v>
      </c>
      <c r="C845" s="1035" t="str">
        <f>IF(AND('Overzicht BTA'!$C$39=FALSE,'Overzicht BTA'!$C$42= FALSE),_xlfn.CONCAT('Upload AXI - CONF'!$A845,'Upload AXI - CONF'!$B845),"")</f>
        <v>Dossier.FlexZAK001</v>
      </c>
      <c r="D845" s="1035">
        <f>'Bouwkost UITB'!C21+'Bouwkost UITB'!N21+'Bouwkost UITB'!Y20+'Bouwkost VERB'!C20+'Bouwkost VERB'!N20+'Bouwkost VERB'!Y20+'Bouwkost NB'!C21+'Bouwkost NB'!N21+'Bouwkost NB'!Y21+'Bouwkost IER'!C19+'Bouwkost IER'!N19+'Bouwkost IER'!Y19+'Bouwkost VOLT'!C20+'Bouwkost VOLT'!N20+'Bouwkost VOLT'!Y20+'Bouwkost AK+VERB'!C20+'Bouwkost AK+VERB'!N20+'Bouwkost AK+VERB'!Y20</f>
        <v>0</v>
      </c>
      <c r="E845" t="s">
        <v>1257</v>
      </c>
      <c r="G845" t="s">
        <v>1258</v>
      </c>
    </row>
    <row r="846" spans="1:8" x14ac:dyDescent="0.3">
      <c r="A846" s="973" t="s">
        <v>953</v>
      </c>
      <c r="B846" t="s">
        <v>1259</v>
      </c>
      <c r="C846" s="1035" t="str">
        <f>IF(AND('Overzicht BTA'!$C$39=FALSE,'Overzicht BTA'!$C$42= FALSE),_xlfn.CONCAT('Upload AXI - CONF'!$A846,'Upload AXI - CONF'!$B846),"")</f>
        <v>Dossier.FlexAK003</v>
      </c>
      <c r="E846" s="979" t="s">
        <v>1260</v>
      </c>
      <c r="G846" t="s">
        <v>1218</v>
      </c>
    </row>
    <row r="847" spans="1:8" x14ac:dyDescent="0.3">
      <c r="C847" t="str">
        <f>_xlfn.CONCAT('Upload AXI - CONF'!$A847,'Upload AXI - CONF'!$B847)</f>
        <v/>
      </c>
      <c r="D847">
        <f>BJB!D3</f>
        <v>0</v>
      </c>
      <c r="E847" s="89" t="s">
        <v>171</v>
      </c>
      <c r="F847" s="868" t="s">
        <v>1261</v>
      </c>
    </row>
    <row r="848" spans="1:8" x14ac:dyDescent="0.3">
      <c r="C848" t="str">
        <f>_xlfn.CONCAT('Upload AXI - CONF'!$A848,'Upload AXI - CONF'!$B848)</f>
        <v/>
      </c>
      <c r="D848">
        <f>BJB!D4</f>
        <v>0</v>
      </c>
      <c r="E848" s="89" t="s">
        <v>173</v>
      </c>
      <c r="F848" s="868" t="s">
        <v>1261</v>
      </c>
    </row>
    <row r="849" spans="3:6" x14ac:dyDescent="0.3">
      <c r="C849" t="str">
        <f>_xlfn.CONCAT('Upload AXI - CONF'!$A849,'Upload AXI - CONF'!$B849)</f>
        <v/>
      </c>
      <c r="D849">
        <f>BJB!D5</f>
        <v>0</v>
      </c>
      <c r="E849" s="89" t="s">
        <v>175</v>
      </c>
      <c r="F849" s="868" t="s">
        <v>1261</v>
      </c>
    </row>
    <row r="850" spans="3:6" x14ac:dyDescent="0.3">
      <c r="C850" t="str">
        <f>_xlfn.CONCAT('Upload AXI - CONF'!$A850,'Upload AXI - CONF'!$B850)</f>
        <v/>
      </c>
      <c r="D850">
        <f>BJB!D7</f>
        <v>0</v>
      </c>
      <c r="E850" s="89" t="s">
        <v>177</v>
      </c>
      <c r="F850" s="868" t="s">
        <v>1261</v>
      </c>
    </row>
    <row r="851" spans="3:6" x14ac:dyDescent="0.3">
      <c r="C851" t="str">
        <f>_xlfn.CONCAT('Upload AXI - CONF'!$A851,'Upload AXI - CONF'!$B851)</f>
        <v/>
      </c>
      <c r="D851">
        <f>BJB!D8</f>
        <v>0</v>
      </c>
      <c r="E851" s="177" t="s">
        <v>178</v>
      </c>
      <c r="F851" s="868" t="s">
        <v>1261</v>
      </c>
    </row>
    <row r="852" spans="3:6" x14ac:dyDescent="0.3">
      <c r="C852" t="str">
        <f>_xlfn.CONCAT('Upload AXI - CONF'!$A852,'Upload AXI - CONF'!$B852)</f>
        <v/>
      </c>
      <c r="D852">
        <f>BJB!D9</f>
        <v>0</v>
      </c>
      <c r="E852" s="181" t="s">
        <v>179</v>
      </c>
      <c r="F852" s="868" t="s">
        <v>1261</v>
      </c>
    </row>
    <row r="853" spans="3:6" x14ac:dyDescent="0.3">
      <c r="C853" t="str">
        <f>_xlfn.CONCAT('Upload AXI - CONF'!$A853,'Upload AXI - CONF'!$B853)</f>
        <v/>
      </c>
      <c r="D853">
        <f>BJB!D11</f>
        <v>0</v>
      </c>
      <c r="E853" s="705" t="s">
        <v>182</v>
      </c>
      <c r="F853" s="868" t="s">
        <v>1261</v>
      </c>
    </row>
    <row r="854" spans="3:6" x14ac:dyDescent="0.3">
      <c r="C854" t="str">
        <f>_xlfn.CONCAT('Upload AXI - CONF'!$A854,'Upload AXI - CONF'!$B854)</f>
        <v/>
      </c>
      <c r="D854">
        <f>BJB!D12</f>
        <v>0</v>
      </c>
      <c r="E854" s="89" t="s">
        <v>183</v>
      </c>
      <c r="F854" s="868" t="s">
        <v>1261</v>
      </c>
    </row>
    <row r="855" spans="3:6" x14ac:dyDescent="0.3">
      <c r="C855" t="str">
        <f>_xlfn.CONCAT('Upload AXI - CONF'!$A855,'Upload AXI - CONF'!$B855)</f>
        <v/>
      </c>
      <c r="D855">
        <f>BJB!D13</f>
        <v>0</v>
      </c>
      <c r="E855" s="89" t="s">
        <v>184</v>
      </c>
      <c r="F855" s="868" t="s">
        <v>1261</v>
      </c>
    </row>
    <row r="856" spans="3:6" x14ac:dyDescent="0.3">
      <c r="C856" t="str">
        <f>_xlfn.CONCAT('Upload AXI - CONF'!$A856,'Upload AXI - CONF'!$B856)</f>
        <v/>
      </c>
      <c r="D856">
        <f>BJB!D14</f>
        <v>0</v>
      </c>
      <c r="E856" s="89" t="s">
        <v>185</v>
      </c>
      <c r="F856" s="868" t="s">
        <v>1261</v>
      </c>
    </row>
    <row r="857" spans="3:6" x14ac:dyDescent="0.3">
      <c r="C857" t="str">
        <f>_xlfn.CONCAT('Upload AXI - CONF'!$A857,'Upload AXI - CONF'!$B857)</f>
        <v/>
      </c>
      <c r="D857">
        <f>BJB!D15</f>
        <v>0</v>
      </c>
      <c r="E857" s="89" t="s">
        <v>186</v>
      </c>
      <c r="F857" s="868" t="s">
        <v>1261</v>
      </c>
    </row>
    <row r="858" spans="3:6" x14ac:dyDescent="0.3">
      <c r="C858" t="str">
        <f>_xlfn.CONCAT('Upload AXI - CONF'!$A858,'Upload AXI - CONF'!$B858)</f>
        <v/>
      </c>
      <c r="D858">
        <f>BJB!D16</f>
        <v>0</v>
      </c>
      <c r="E858" s="89" t="s">
        <v>187</v>
      </c>
      <c r="F858" s="868" t="s">
        <v>1261</v>
      </c>
    </row>
    <row r="859" spans="3:6" x14ac:dyDescent="0.3">
      <c r="C859" t="str">
        <f>_xlfn.CONCAT('Upload AXI - CONF'!$A859,'Upload AXI - CONF'!$B859)</f>
        <v/>
      </c>
      <c r="D859">
        <f>BJB!D17</f>
        <v>0</v>
      </c>
      <c r="E859" s="89" t="s">
        <v>188</v>
      </c>
      <c r="F859" s="868" t="s">
        <v>1261</v>
      </c>
    </row>
    <row r="860" spans="3:6" x14ac:dyDescent="0.3">
      <c r="C860" t="str">
        <f>_xlfn.CONCAT('Upload AXI - CONF'!$A860,'Upload AXI - CONF'!$B860)</f>
        <v/>
      </c>
      <c r="D860">
        <f>BJB!D18</f>
        <v>0</v>
      </c>
      <c r="E860" s="89" t="s">
        <v>189</v>
      </c>
      <c r="F860" s="868" t="s">
        <v>1261</v>
      </c>
    </row>
    <row r="861" spans="3:6" x14ac:dyDescent="0.3">
      <c r="C861" t="str">
        <f>_xlfn.CONCAT('Upload AXI - CONF'!$A861,'Upload AXI - CONF'!$B861)</f>
        <v/>
      </c>
      <c r="D861">
        <f>BJB!D19</f>
        <v>0</v>
      </c>
      <c r="E861" s="89" t="s">
        <v>190</v>
      </c>
      <c r="F861" s="868" t="s">
        <v>1261</v>
      </c>
    </row>
    <row r="862" spans="3:6" x14ac:dyDescent="0.3">
      <c r="C862" t="str">
        <f>_xlfn.CONCAT('Upload AXI - CONF'!$A862,'Upload AXI - CONF'!$B862)</f>
        <v/>
      </c>
      <c r="D862">
        <f>BJB!D20</f>
        <v>0</v>
      </c>
      <c r="E862" s="352" t="s">
        <v>191</v>
      </c>
      <c r="F862" s="868" t="s">
        <v>1261</v>
      </c>
    </row>
    <row r="863" spans="3:6" x14ac:dyDescent="0.3">
      <c r="C863" t="str">
        <f>_xlfn.CONCAT('Upload AXI - CONF'!$A863,'Upload AXI - CONF'!$B863)</f>
        <v/>
      </c>
      <c r="D863">
        <f>BJB!D21</f>
        <v>0</v>
      </c>
      <c r="E863" s="89" t="s">
        <v>192</v>
      </c>
      <c r="F863" s="868" t="s">
        <v>1261</v>
      </c>
    </row>
    <row r="864" spans="3:6" x14ac:dyDescent="0.3">
      <c r="C864" t="str">
        <f>_xlfn.CONCAT('Upload AXI - CONF'!$A864,'Upload AXI - CONF'!$B864)</f>
        <v/>
      </c>
      <c r="D864">
        <f>BJB!D23</f>
        <v>0</v>
      </c>
      <c r="E864" s="352" t="s">
        <v>194</v>
      </c>
      <c r="F864" s="868" t="s">
        <v>1261</v>
      </c>
    </row>
    <row r="865" spans="3:6" x14ac:dyDescent="0.3">
      <c r="C865" t="str">
        <f>_xlfn.CONCAT('Upload AXI - CONF'!$A865,'Upload AXI - CONF'!$B865)</f>
        <v/>
      </c>
      <c r="D865">
        <f>BJB!D31</f>
        <v>0</v>
      </c>
      <c r="E865" s="1037" t="s">
        <v>1262</v>
      </c>
      <c r="F865" s="868" t="s">
        <v>1261</v>
      </c>
    </row>
    <row r="866" spans="3:6" x14ac:dyDescent="0.3">
      <c r="C866" t="str">
        <f>_xlfn.CONCAT('Upload AXI - CONF'!$A866,'Upload AXI - CONF'!$B866)</f>
        <v/>
      </c>
      <c r="D866">
        <f>BJB!D32</f>
        <v>0</v>
      </c>
      <c r="E866" s="1037" t="s">
        <v>1263</v>
      </c>
      <c r="F866" s="868" t="s">
        <v>1261</v>
      </c>
    </row>
    <row r="867" spans="3:6" x14ac:dyDescent="0.3">
      <c r="C867" t="str">
        <f>_xlfn.CONCAT('Upload AXI - CONF'!$A867,'Upload AXI - CONF'!$B867)</f>
        <v/>
      </c>
      <c r="D867">
        <f>BJB!D33</f>
        <v>0</v>
      </c>
      <c r="E867" s="1038" t="s">
        <v>1264</v>
      </c>
      <c r="F867" s="868" t="s">
        <v>1261</v>
      </c>
    </row>
    <row r="868" spans="3:6" x14ac:dyDescent="0.3">
      <c r="C868" t="str">
        <f>_xlfn.CONCAT('Upload AXI - CONF'!$A868,'Upload AXI - CONF'!$B868)</f>
        <v/>
      </c>
      <c r="D868">
        <f>BJB!D36</f>
        <v>0</v>
      </c>
      <c r="E868" s="703" t="s">
        <v>1265</v>
      </c>
      <c r="F868" s="868" t="s">
        <v>1261</v>
      </c>
    </row>
    <row r="869" spans="3:6" x14ac:dyDescent="0.3">
      <c r="C869" t="str">
        <f>_xlfn.CONCAT('Upload AXI - CONF'!$A869,'Upload AXI - CONF'!$B869)</f>
        <v/>
      </c>
      <c r="D869">
        <f>BJB!D37</f>
        <v>0</v>
      </c>
      <c r="E869" s="703" t="s">
        <v>1266</v>
      </c>
      <c r="F869" s="868" t="s">
        <v>1261</v>
      </c>
    </row>
    <row r="870" spans="3:6" x14ac:dyDescent="0.3">
      <c r="C870" t="str">
        <f>_xlfn.CONCAT('Upload AXI - CONF'!$A870,'Upload AXI - CONF'!$B870)</f>
        <v/>
      </c>
      <c r="D870">
        <f>BJB!D38</f>
        <v>0</v>
      </c>
      <c r="E870" s="703" t="s">
        <v>1267</v>
      </c>
      <c r="F870" s="868" t="s">
        <v>1261</v>
      </c>
    </row>
    <row r="871" spans="3:6" x14ac:dyDescent="0.3">
      <c r="C871" t="str">
        <f>_xlfn.CONCAT('Upload AXI - CONF'!$A871,'Upload AXI - CONF'!$B871)</f>
        <v/>
      </c>
      <c r="D871">
        <f>BJB!D43</f>
        <v>0</v>
      </c>
      <c r="E871" s="354" t="s">
        <v>202</v>
      </c>
      <c r="F871" s="868" t="s">
        <v>1261</v>
      </c>
    </row>
    <row r="872" spans="3:6" x14ac:dyDescent="0.3">
      <c r="C872" t="str">
        <f>_xlfn.CONCAT('Upload AXI - CONF'!$A872,'Upload AXI - CONF'!$B872)</f>
        <v/>
      </c>
      <c r="D872">
        <f>BJB!D47</f>
        <v>0</v>
      </c>
      <c r="E872" s="354" t="s">
        <v>205</v>
      </c>
      <c r="F872" s="868" t="s">
        <v>1261</v>
      </c>
    </row>
    <row r="873" spans="3:6" x14ac:dyDescent="0.3">
      <c r="C873" t="str">
        <f>_xlfn.CONCAT('Upload AXI - CONF'!$A873,'Upload AXI - CONF'!$B873)</f>
        <v/>
      </c>
      <c r="D873">
        <f>CAW!C3</f>
        <v>0</v>
      </c>
      <c r="E873" s="204" t="s">
        <v>214</v>
      </c>
      <c r="F873" s="868" t="s">
        <v>1268</v>
      </c>
    </row>
    <row r="874" spans="3:6" x14ac:dyDescent="0.3">
      <c r="C874" t="str">
        <f>_xlfn.CONCAT('Upload AXI - CONF'!$A874,'Upload AXI - CONF'!$B874)</f>
        <v/>
      </c>
      <c r="D874">
        <f>CAW!C5</f>
        <v>0</v>
      </c>
      <c r="E874" s="1039" t="s">
        <v>1269</v>
      </c>
      <c r="F874" s="868" t="s">
        <v>1268</v>
      </c>
    </row>
    <row r="875" spans="3:6" x14ac:dyDescent="0.3">
      <c r="C875" t="str">
        <f>_xlfn.CONCAT('Upload AXI - CONF'!$A875,'Upload AXI - CONF'!$B875)</f>
        <v/>
      </c>
      <c r="D875">
        <f>CAW!C6</f>
        <v>0</v>
      </c>
      <c r="E875" s="1039" t="s">
        <v>1270</v>
      </c>
      <c r="F875" s="868" t="s">
        <v>1268</v>
      </c>
    </row>
    <row r="876" spans="3:6" ht="15" thickBot="1" x14ac:dyDescent="0.35">
      <c r="C876" t="str">
        <f>_xlfn.CONCAT('Upload AXI - CONF'!$A876,'Upload AXI - CONF'!$B876)</f>
        <v/>
      </c>
      <c r="D876">
        <f>CAW!D7</f>
        <v>0</v>
      </c>
      <c r="E876" s="1040" t="s">
        <v>1271</v>
      </c>
      <c r="F876" s="868" t="s">
        <v>1268</v>
      </c>
    </row>
    <row r="877" spans="3:6" ht="15" thickTop="1" x14ac:dyDescent="0.3">
      <c r="C877" t="str">
        <f>_xlfn.CONCAT('Upload AXI - CONF'!$A877,'Upload AXI - CONF'!$B877)</f>
        <v/>
      </c>
      <c r="D877">
        <f>BJB!D57</f>
        <v>0</v>
      </c>
      <c r="E877" s="1041" t="s">
        <v>1432</v>
      </c>
      <c r="F877" s="868" t="s">
        <v>1261</v>
      </c>
    </row>
    <row r="878" spans="3:6" x14ac:dyDescent="0.3">
      <c r="C878" t="str">
        <f>_xlfn.CONCAT('Upload AXI - CONF'!$A878,'Upload AXI - CONF'!$B878)</f>
        <v/>
      </c>
      <c r="D878">
        <f>BJB!D58</f>
        <v>0</v>
      </c>
      <c r="E878" s="1041" t="s">
        <v>229</v>
      </c>
      <c r="F878" s="868" t="s">
        <v>1261</v>
      </c>
    </row>
    <row r="879" spans="3:6" x14ac:dyDescent="0.3">
      <c r="C879" t="str">
        <f>_xlfn.CONCAT('Upload AXI - CONF'!$A879,'Upload AXI - CONF'!$B879)</f>
        <v/>
      </c>
      <c r="D879">
        <f>BJB!D59</f>
        <v>0</v>
      </c>
      <c r="E879" s="563" t="s">
        <v>230</v>
      </c>
      <c r="F879" s="868" t="s">
        <v>1261</v>
      </c>
    </row>
    <row r="880" spans="3:6" x14ac:dyDescent="0.3">
      <c r="C880" t="str">
        <f>_xlfn.CONCAT('Upload AXI - CONF'!$A880,'Upload AXI - CONF'!$B880)</f>
        <v/>
      </c>
      <c r="D880">
        <f>BJB!D61</f>
        <v>0</v>
      </c>
      <c r="E880" s="1041" t="s">
        <v>232</v>
      </c>
      <c r="F880" s="868" t="s">
        <v>1261</v>
      </c>
    </row>
    <row r="881" spans="3:6" x14ac:dyDescent="0.3">
      <c r="C881" t="str">
        <f>_xlfn.CONCAT('Upload AXI - CONF'!$A881,'Upload AXI - CONF'!$B881)</f>
        <v/>
      </c>
      <c r="D881">
        <f>BJB!D62</f>
        <v>0</v>
      </c>
      <c r="E881" s="1041" t="s">
        <v>233</v>
      </c>
      <c r="F881" s="868" t="s">
        <v>1261</v>
      </c>
    </row>
    <row r="882" spans="3:6" x14ac:dyDescent="0.3">
      <c r="C882" t="str">
        <f>_xlfn.CONCAT('Upload AXI - CONF'!$A882,'Upload AXI - CONF'!$B882)</f>
        <v/>
      </c>
      <c r="D882">
        <f>BJB!D63</f>
        <v>0</v>
      </c>
      <c r="E882" s="1041" t="s">
        <v>234</v>
      </c>
      <c r="F882" s="868" t="s">
        <v>1261</v>
      </c>
    </row>
    <row r="883" spans="3:6" x14ac:dyDescent="0.3">
      <c r="C883" t="str">
        <f>_xlfn.CONCAT('Upload AXI - CONF'!$A883,'Upload AXI - CONF'!$B883)</f>
        <v/>
      </c>
      <c r="D883">
        <f>BJB!D64</f>
        <v>0</v>
      </c>
      <c r="E883" s="1041" t="s">
        <v>235</v>
      </c>
      <c r="F883" s="868" t="s">
        <v>1261</v>
      </c>
    </row>
    <row r="884" spans="3:6" x14ac:dyDescent="0.3">
      <c r="C884" t="str">
        <f>_xlfn.CONCAT('Upload AXI - CONF'!$A884,'Upload AXI - CONF'!$B884)</f>
        <v/>
      </c>
      <c r="D884">
        <f>BJB!D68</f>
        <v>0</v>
      </c>
      <c r="E884" s="1039" t="s">
        <v>237</v>
      </c>
      <c r="F884" s="868" t="s">
        <v>1261</v>
      </c>
    </row>
    <row r="885" spans="3:6" x14ac:dyDescent="0.3">
      <c r="C885" t="str">
        <f>_xlfn.CONCAT('Upload AXI - CONF'!$A885,'Upload AXI - CONF'!$B885)</f>
        <v/>
      </c>
      <c r="D885">
        <f>BJB!D70</f>
        <v>0</v>
      </c>
      <c r="E885" s="1039" t="s">
        <v>239</v>
      </c>
      <c r="F885" s="868" t="s">
        <v>1261</v>
      </c>
    </row>
    <row r="886" spans="3:6" x14ac:dyDescent="0.3">
      <c r="C886" t="str">
        <f>_xlfn.CONCAT('Upload AXI - CONF'!$A886,'Upload AXI - CONF'!$B886)</f>
        <v/>
      </c>
      <c r="D886">
        <f>BJB!D71</f>
        <v>0</v>
      </c>
      <c r="E886" s="1039" t="s">
        <v>240</v>
      </c>
      <c r="F886" s="868" t="s">
        <v>1261</v>
      </c>
    </row>
    <row r="887" spans="3:6" ht="15" thickBot="1" x14ac:dyDescent="0.35">
      <c r="C887" t="str">
        <f>_xlfn.CONCAT('Upload AXI - CONF'!$A887,'Upload AXI - CONF'!$B887)</f>
        <v/>
      </c>
      <c r="D887">
        <f>BJB!D72</f>
        <v>0</v>
      </c>
      <c r="E887" s="1042" t="s">
        <v>241</v>
      </c>
      <c r="F887" s="868" t="s">
        <v>1261</v>
      </c>
    </row>
    <row r="888" spans="3:6" ht="15.6" thickTop="1" thickBot="1" x14ac:dyDescent="0.35">
      <c r="C888" t="str">
        <f>_xlfn.CONCAT('Upload AXI - CONF'!$A888,'Upload AXI - CONF'!$B888)</f>
        <v/>
      </c>
      <c r="D888">
        <f>BJB!D77</f>
        <v>0</v>
      </c>
      <c r="E888" s="1043" t="s">
        <v>243</v>
      </c>
      <c r="F888" s="868" t="s">
        <v>1261</v>
      </c>
    </row>
    <row r="889" spans="3:6" ht="15" thickTop="1" x14ac:dyDescent="0.3">
      <c r="C889" t="str">
        <f>_xlfn.CONCAT('Upload AXI - CONF'!$A889,'Upload AXI - CONF'!$B889)</f>
        <v/>
      </c>
      <c r="D889">
        <f>'Gezinnen met kinderen'!C2</f>
        <v>0</v>
      </c>
      <c r="E889" s="1041" t="s">
        <v>246</v>
      </c>
      <c r="F889" s="868" t="s">
        <v>1272</v>
      </c>
    </row>
    <row r="890" spans="3:6" x14ac:dyDescent="0.3">
      <c r="C890" t="str">
        <f>_xlfn.CONCAT('Upload AXI - CONF'!$A890,'Upload AXI - CONF'!$B890)</f>
        <v/>
      </c>
      <c r="D890">
        <f>PH!D4</f>
        <v>0</v>
      </c>
      <c r="E890" s="1044" t="s">
        <v>251</v>
      </c>
      <c r="F890" s="868" t="s">
        <v>1273</v>
      </c>
    </row>
    <row r="891" spans="3:6" x14ac:dyDescent="0.3">
      <c r="C891" t="str">
        <f>_xlfn.CONCAT('Upload AXI - CONF'!$A891,'Upload AXI - CONF'!$B891)</f>
        <v/>
      </c>
      <c r="D891">
        <f>PH!D5</f>
        <v>0</v>
      </c>
      <c r="E891" s="1044" t="s">
        <v>252</v>
      </c>
      <c r="F891" s="868" t="s">
        <v>1273</v>
      </c>
    </row>
    <row r="892" spans="3:6" x14ac:dyDescent="0.3">
      <c r="C892" t="str">
        <f>_xlfn.CONCAT('Upload AXI - CONF'!$A892,'Upload AXI - CONF'!$B892)</f>
        <v/>
      </c>
      <c r="D892">
        <f>PH!D6</f>
        <v>0</v>
      </c>
      <c r="E892" s="1044" t="s">
        <v>253</v>
      </c>
      <c r="F892" s="868" t="s">
        <v>1273</v>
      </c>
    </row>
    <row r="893" spans="3:6" x14ac:dyDescent="0.3">
      <c r="C893" t="str">
        <f>_xlfn.CONCAT('Upload AXI - CONF'!$A893,'Upload AXI - CONF'!$B893)</f>
        <v/>
      </c>
      <c r="D893">
        <f>PH!D7</f>
        <v>0</v>
      </c>
      <c r="E893" s="1044" t="s">
        <v>254</v>
      </c>
      <c r="F893" s="868" t="s">
        <v>1273</v>
      </c>
    </row>
    <row r="894" spans="3:6" x14ac:dyDescent="0.3">
      <c r="C894" t="str">
        <f>_xlfn.CONCAT('Upload AXI - CONF'!$A894,'Upload AXI - CONF'!$B894)</f>
        <v/>
      </c>
      <c r="D894">
        <f>PH!D8</f>
        <v>0</v>
      </c>
      <c r="E894" s="1044" t="s">
        <v>255</v>
      </c>
      <c r="F894" s="868" t="s">
        <v>1273</v>
      </c>
    </row>
    <row r="895" spans="3:6" x14ac:dyDescent="0.3">
      <c r="C895" t="str">
        <f>_xlfn.CONCAT('Upload AXI - CONF'!$A895,'Upload AXI - CONF'!$B895)</f>
        <v/>
      </c>
      <c r="D895">
        <f>PH!D9</f>
        <v>0</v>
      </c>
      <c r="E895" s="534" t="s">
        <v>256</v>
      </c>
      <c r="F895" s="868" t="s">
        <v>1273</v>
      </c>
    </row>
    <row r="896" spans="3:6" x14ac:dyDescent="0.3">
      <c r="C896" t="str">
        <f>_xlfn.CONCAT('Upload AXI - CONF'!$A896,'Upload AXI - CONF'!$B896)</f>
        <v/>
      </c>
      <c r="D896">
        <f>PH!D10</f>
        <v>0</v>
      </c>
      <c r="E896" s="534" t="s">
        <v>257</v>
      </c>
      <c r="F896" s="868" t="s">
        <v>1273</v>
      </c>
    </row>
    <row r="897" spans="3:6" x14ac:dyDescent="0.3">
      <c r="C897" t="str">
        <f>_xlfn.CONCAT('Upload AXI - CONF'!$A897,'Upload AXI - CONF'!$B897)</f>
        <v/>
      </c>
      <c r="D897">
        <f>'Preventieve en ambulante'!C3</f>
        <v>0</v>
      </c>
      <c r="E897" s="1045" t="s">
        <v>262</v>
      </c>
      <c r="F897" s="868" t="s">
        <v>1274</v>
      </c>
    </row>
    <row r="898" spans="3:6" x14ac:dyDescent="0.3">
      <c r="C898" t="str">
        <f>_xlfn.CONCAT('Upload AXI - CONF'!$A898,'Upload AXI - CONF'!$B898)</f>
        <v/>
      </c>
      <c r="D898">
        <f>'Preventieve en ambulante'!C10</f>
        <v>0</v>
      </c>
      <c r="E898" s="1045" t="s">
        <v>263</v>
      </c>
      <c r="F898" s="868" t="s">
        <v>1274</v>
      </c>
    </row>
    <row r="899" spans="3:6" ht="15" thickBot="1" x14ac:dyDescent="0.35">
      <c r="C899" t="str">
        <f>_xlfn.CONCAT('Upload AXI - CONF'!$A899,'Upload AXI - CONF'!$B899)</f>
        <v/>
      </c>
      <c r="D899">
        <f>'Preventieve en ambulante'!C11</f>
        <v>0</v>
      </c>
      <c r="E899" s="1046" t="s">
        <v>265</v>
      </c>
      <c r="F899" s="868" t="s">
        <v>1274</v>
      </c>
    </row>
    <row r="900" spans="3:6" ht="15" thickTop="1" x14ac:dyDescent="0.3">
      <c r="C900" t="str">
        <f>_xlfn.CONCAT('Upload AXI - CONF'!$A900,'Upload AXI - CONF'!$B900)</f>
        <v/>
      </c>
      <c r="D900">
        <f>Revalidatieovereenkomst!C3</f>
        <v>0</v>
      </c>
      <c r="E900" s="1045" t="s">
        <v>268</v>
      </c>
      <c r="F900" s="868" t="s">
        <v>1275</v>
      </c>
    </row>
    <row r="901" spans="3:6" x14ac:dyDescent="0.3">
      <c r="C901" t="str">
        <f>_xlfn.CONCAT('Upload AXI - CONF'!$A901,'Upload AXI - CONF'!$B901)</f>
        <v/>
      </c>
      <c r="D901">
        <f>Revalidatieovereenkomst!C4</f>
        <v>0</v>
      </c>
      <c r="E901" s="1045" t="s">
        <v>269</v>
      </c>
      <c r="F901" s="868" t="s">
        <v>1275</v>
      </c>
    </row>
    <row r="902" spans="3:6" x14ac:dyDescent="0.3">
      <c r="C902" t="str">
        <f>_xlfn.CONCAT('Upload AXI - CONF'!$A902,'Upload AXI - CONF'!$B902)</f>
        <v/>
      </c>
      <c r="D902">
        <f>Revalidatieovereenkomst!C5</f>
        <v>0</v>
      </c>
      <c r="E902" s="1045" t="s">
        <v>271</v>
      </c>
      <c r="F902" s="868" t="s">
        <v>1275</v>
      </c>
    </row>
  </sheetData>
  <mergeCells count="31">
    <mergeCell ref="CQ35:CX35"/>
    <mergeCell ref="CZ36:DU36"/>
    <mergeCell ref="DV37:EQ37"/>
    <mergeCell ref="ER38:FM38"/>
    <mergeCell ref="BE30:BM30"/>
    <mergeCell ref="BN31:BS31"/>
    <mergeCell ref="BT32:CB32"/>
    <mergeCell ref="CC33:CI33"/>
    <mergeCell ref="CJ34:CP34"/>
    <mergeCell ref="DV25:EQ25"/>
    <mergeCell ref="ER26:FM26"/>
    <mergeCell ref="BN19:BS19"/>
    <mergeCell ref="BT20:CB20"/>
    <mergeCell ref="CC21:CI21"/>
    <mergeCell ref="CJ22:CP22"/>
    <mergeCell ref="CQ23:CX23"/>
    <mergeCell ref="CZ24:DU24"/>
    <mergeCell ref="AG5:AL5"/>
    <mergeCell ref="AM6:AR6"/>
    <mergeCell ref="AS10:AX10"/>
    <mergeCell ref="AY14:BD14"/>
    <mergeCell ref="BE18:BM18"/>
    <mergeCell ref="AM7:AR7"/>
    <mergeCell ref="AM8:AR8"/>
    <mergeCell ref="AM9:AR9"/>
    <mergeCell ref="AS11:AX11"/>
    <mergeCell ref="AS12:AX12"/>
    <mergeCell ref="AS13:AX13"/>
    <mergeCell ref="AY15:BD15"/>
    <mergeCell ref="AY16:BD16"/>
    <mergeCell ref="AY17:BD17"/>
  </mergeCells>
  <phoneticPr fontId="49" type="noConversion"/>
  <pageMargins left="0.7" right="0.7" top="0.75" bottom="0.75" header="0.3" footer="0.3"/>
  <pageSetup paperSize="9" orientation="portrait" r:id="rId1"/>
  <legacy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4F26B-0BBF-4730-9A3E-0439A705B45A}">
  <sheetPr codeName="Blad16"/>
  <dimension ref="A1:BGH183"/>
  <sheetViews>
    <sheetView topLeftCell="BCI1" zoomScaleNormal="100" workbookViewId="0">
      <selection activeCell="BCU2" sqref="BCU2"/>
    </sheetView>
  </sheetViews>
  <sheetFormatPr defaultRowHeight="14.4" x14ac:dyDescent="0.3"/>
  <cols>
    <col min="1" max="1" width="16.109375" bestFit="1" customWidth="1"/>
    <col min="2" max="4" width="15.109375" bestFit="1" customWidth="1"/>
    <col min="29" max="48" width="9" bestFit="1" customWidth="1"/>
    <col min="49" max="49" width="16.33203125" bestFit="1" customWidth="1"/>
    <col min="50" max="237" width="9" bestFit="1" customWidth="1"/>
    <col min="238" max="238" width="16.109375" bestFit="1" customWidth="1"/>
    <col min="239" max="252" width="9" bestFit="1" customWidth="1"/>
    <col min="253" max="253" width="16.33203125" bestFit="1" customWidth="1"/>
    <col min="254" max="297" width="9" bestFit="1" customWidth="1"/>
    <col min="298" max="298" width="16.109375" bestFit="1" customWidth="1"/>
    <col min="299" max="616" width="9" bestFit="1" customWidth="1"/>
    <col min="618" max="620" width="9" bestFit="1" customWidth="1"/>
    <col min="623" max="624" width="9" bestFit="1" customWidth="1"/>
    <col min="626" max="627" width="9" bestFit="1" customWidth="1"/>
    <col min="629" max="630" width="9" bestFit="1" customWidth="1"/>
    <col min="632" max="633" width="9" bestFit="1" customWidth="1"/>
    <col min="636" max="637" width="9" bestFit="1" customWidth="1"/>
    <col min="639" max="640" width="9" bestFit="1" customWidth="1"/>
    <col min="642" max="643" width="9" bestFit="1" customWidth="1"/>
    <col min="645" max="646" width="9" bestFit="1" customWidth="1"/>
    <col min="649" max="650" width="9" bestFit="1" customWidth="1"/>
    <col min="652" max="653" width="9" bestFit="1" customWidth="1"/>
    <col min="655" max="656" width="9" bestFit="1" customWidth="1"/>
    <col min="658" max="664" width="9" bestFit="1" customWidth="1"/>
    <col min="666" max="668" width="9" bestFit="1" customWidth="1"/>
    <col min="671" max="672" width="9" bestFit="1" customWidth="1"/>
    <col min="674" max="675" width="9" bestFit="1" customWidth="1"/>
    <col min="677" max="678" width="9" bestFit="1" customWidth="1"/>
    <col min="680" max="681" width="9" bestFit="1" customWidth="1"/>
    <col min="684" max="685" width="9" bestFit="1" customWidth="1"/>
    <col min="687" max="688" width="9" bestFit="1" customWidth="1"/>
    <col min="689" max="689" width="16.109375" bestFit="1" customWidth="1"/>
    <col min="690" max="691" width="9" bestFit="1" customWidth="1"/>
    <col min="693" max="694" width="9" bestFit="1" customWidth="1"/>
    <col min="697" max="698" width="9" bestFit="1" customWidth="1"/>
    <col min="700" max="701" width="9" bestFit="1" customWidth="1"/>
    <col min="703" max="704" width="9" bestFit="1" customWidth="1"/>
    <col min="706" max="719" width="9" bestFit="1" customWidth="1"/>
    <col min="721" max="721" width="9" bestFit="1" customWidth="1"/>
    <col min="723" max="723" width="9" bestFit="1" customWidth="1"/>
    <col min="725" max="725" width="9" bestFit="1" customWidth="1"/>
    <col min="727" max="727" width="9" bestFit="1" customWidth="1"/>
    <col min="729" max="729" width="9" bestFit="1" customWidth="1"/>
    <col min="731" max="731" width="9" bestFit="1" customWidth="1"/>
    <col min="733" max="733" width="9" bestFit="1" customWidth="1"/>
    <col min="735" max="739" width="9" bestFit="1" customWidth="1"/>
    <col min="741" max="741" width="9" bestFit="1" customWidth="1"/>
    <col min="743" max="743" width="9" bestFit="1" customWidth="1"/>
    <col min="745" max="745" width="9" bestFit="1" customWidth="1"/>
    <col min="747" max="747" width="9" bestFit="1" customWidth="1"/>
    <col min="749" max="749" width="9" bestFit="1" customWidth="1"/>
    <col min="751" max="751" width="9" bestFit="1" customWidth="1"/>
    <col min="753" max="753" width="9" bestFit="1" customWidth="1"/>
    <col min="755" max="759" width="9" bestFit="1" customWidth="1"/>
    <col min="761" max="761" width="9" bestFit="1" customWidth="1"/>
    <col min="763" max="763" width="9" bestFit="1" customWidth="1"/>
    <col min="765" max="765" width="9" bestFit="1" customWidth="1"/>
    <col min="767" max="767" width="9" bestFit="1" customWidth="1"/>
    <col min="769" max="769" width="9" bestFit="1" customWidth="1"/>
    <col min="771" max="771" width="9" bestFit="1" customWidth="1"/>
    <col min="773" max="773" width="9" bestFit="1" customWidth="1"/>
    <col min="775" max="779" width="9" bestFit="1" customWidth="1"/>
    <col min="781" max="781" width="9" bestFit="1" customWidth="1"/>
    <col min="783" max="783" width="9" bestFit="1" customWidth="1"/>
    <col min="785" max="785" width="9" bestFit="1" customWidth="1"/>
    <col min="787" max="787" width="9" bestFit="1" customWidth="1"/>
    <col min="789" max="789" width="9" bestFit="1" customWidth="1"/>
    <col min="791" max="791" width="9" bestFit="1" customWidth="1"/>
    <col min="793" max="793" width="9" bestFit="1" customWidth="1"/>
    <col min="795" max="799" width="9" bestFit="1" customWidth="1"/>
    <col min="801" max="801" width="9" bestFit="1" customWidth="1"/>
    <col min="803" max="803" width="9" bestFit="1" customWidth="1"/>
    <col min="805" max="805" width="9" bestFit="1" customWidth="1"/>
    <col min="807" max="807" width="9" bestFit="1" customWidth="1"/>
    <col min="809" max="809" width="9" bestFit="1" customWidth="1"/>
    <col min="811" max="811" width="9" bestFit="1" customWidth="1"/>
    <col min="813" max="813" width="9" bestFit="1" customWidth="1"/>
    <col min="815" max="819" width="9" bestFit="1" customWidth="1"/>
    <col min="821" max="821" width="9" bestFit="1" customWidth="1"/>
    <col min="823" max="823" width="9" bestFit="1" customWidth="1"/>
    <col min="825" max="825" width="9" bestFit="1" customWidth="1"/>
    <col min="827" max="827" width="9" bestFit="1" customWidth="1"/>
    <col min="829" max="829" width="9" bestFit="1" customWidth="1"/>
    <col min="831" max="831" width="9" bestFit="1" customWidth="1"/>
    <col min="833" max="833" width="9" bestFit="1" customWidth="1"/>
    <col min="1275" max="1275" width="30.88671875" bestFit="1" customWidth="1"/>
    <col min="1276" max="1276" width="21.88671875" bestFit="1" customWidth="1"/>
    <col min="1450" max="1450" width="16.33203125" bestFit="1" customWidth="1"/>
    <col min="1451" max="1452" width="16.109375" bestFit="1" customWidth="1"/>
  </cols>
  <sheetData>
    <row r="1" spans="1:1542" x14ac:dyDescent="0.3">
      <c r="A1" t="str">
        <f>'Upload AXI - CONF'!C2</f>
        <v>Dossier.Reference</v>
      </c>
      <c r="B1" t="str">
        <f>'Upload AXI - CONF'!C3</f>
        <v>Dossier.FlexA103</v>
      </c>
      <c r="C1" t="str">
        <f>'Upload AXI - CONF'!C4</f>
        <v>Dossier.FlexA100</v>
      </c>
      <c r="D1" t="str">
        <f>'Upload AXI - CONF'!C5</f>
        <v>Dossier.FlexA888</v>
      </c>
      <c r="E1" t="str">
        <f>'Upload AXI - CONF'!C6</f>
        <v>Object.RAM[Z1K1].FlexVO12b</v>
      </c>
      <c r="F1" t="str">
        <f>'Upload AXI - CONF'!C7</f>
        <v>Object.RAM[Z1K2].FlexVO12b</v>
      </c>
      <c r="G1" t="str">
        <f>'Upload AXI - CONF'!C8</f>
        <v>Object.RAM[Z1K3].FlexVO12b</v>
      </c>
      <c r="H1" t="str">
        <f>'Upload AXI - CONF'!C9</f>
        <v>Object.RAM[Z1K4].FlexVO12b</v>
      </c>
      <c r="I1" t="str">
        <f>'Upload AXI - CONF'!C10</f>
        <v>Object.RAM[Z2K1].FlexVO12b</v>
      </c>
      <c r="J1" t="str">
        <f>'Upload AXI - CONF'!C11</f>
        <v>Object.RAM[Z2K2].FlexVO12b</v>
      </c>
      <c r="K1" t="str">
        <f>'Upload AXI - CONF'!C12</f>
        <v>Object.RAM[Z2K3].FlexVO12b</v>
      </c>
      <c r="L1" t="str">
        <f>'Upload AXI - CONF'!C13</f>
        <v>Object.RAM[Z2K4].FlexVO12b</v>
      </c>
      <c r="M1" t="str">
        <f>'Upload AXI - CONF'!C14</f>
        <v>Object.RAM[Z3K1].FlexVO12b</v>
      </c>
      <c r="N1" t="str">
        <f>'Upload AXI - CONF'!C15</f>
        <v>Object.RAM[Z3K2].FlexVO12b</v>
      </c>
      <c r="O1" t="str">
        <f>'Upload AXI - CONF'!C16</f>
        <v>Object.RAM[Z3K3].FlexVO12b</v>
      </c>
      <c r="P1" t="str">
        <f>'Upload AXI - CONF'!C17</f>
        <v>Object.RAM[Z3K4].FlexVO12b</v>
      </c>
      <c r="Q1" t="str">
        <f>'Upload AXI - CONF'!C18</f>
        <v>Object.RAM[Z1K1].FlexVO5</v>
      </c>
      <c r="R1" t="str">
        <f>'Upload AXI - CONF'!C19</f>
        <v>Object.RAM[Z1K2].FlexVO5</v>
      </c>
      <c r="S1" t="str">
        <f>'Upload AXI - CONF'!C20</f>
        <v>Object.RAM[Z1K3].FlexVO5</v>
      </c>
      <c r="T1" t="str">
        <f>'Upload AXI - CONF'!C21</f>
        <v>Object.RAM[Z1K4].FlexVO5</v>
      </c>
      <c r="U1" t="str">
        <f>'Upload AXI - CONF'!C22</f>
        <v>Object.RAM[Z2K1].FlexVO5</v>
      </c>
      <c r="V1" t="str">
        <f>'Upload AXI - CONF'!C23</f>
        <v>Object.RAM[Z2K2].FlexVO5</v>
      </c>
      <c r="W1" t="str">
        <f>'Upload AXI - CONF'!C24</f>
        <v>Object.RAM[Z2K3].FlexVO5</v>
      </c>
      <c r="X1" t="str">
        <f>'Upload AXI - CONF'!C25</f>
        <v>Object.RAM[Z2K4].FlexVO5</v>
      </c>
      <c r="Y1" t="str">
        <f>'Upload AXI - CONF'!C26</f>
        <v>Object.RAM[Z3K1].FlexVO5</v>
      </c>
      <c r="Z1" t="str">
        <f>'Upload AXI - CONF'!C27</f>
        <v>Object.RAM[Z3K2].FlexVO5</v>
      </c>
      <c r="AA1" t="str">
        <f>'Upload AXI - CONF'!C28</f>
        <v>Object.RAM[Z3K3].FlexVO5</v>
      </c>
      <c r="AB1" t="str">
        <f>'Upload AXI - CONF'!C29</f>
        <v>Object.RAM[Z3K4].FlexVO5</v>
      </c>
      <c r="AC1" t="str">
        <f>'Upload AXI - CONF'!C30</f>
        <v>Object.RAMW[Z1K1].FlexVO5</v>
      </c>
      <c r="AD1" t="str">
        <f>'Upload AXI - CONF'!C31</f>
        <v>Object.RAMW[Z1K2].FlexVO5</v>
      </c>
      <c r="AE1" t="str">
        <f>'Upload AXI - CONF'!C32</f>
        <v>Object.RAMW[Z1K3].FlexVO5</v>
      </c>
      <c r="AF1" t="str">
        <f>'Upload AXI - CONF'!C33</f>
        <v>Object.RAMW[Z1K4].FlexVO5</v>
      </c>
      <c r="AG1" t="str">
        <f>'Upload AXI - CONF'!C34</f>
        <v>Object.RAMW[Z2K1].FlexVO5</v>
      </c>
      <c r="AH1" t="str">
        <f>'Upload AXI - CONF'!C35</f>
        <v>Object.RAMW[Z2K2].FlexVO5</v>
      </c>
      <c r="AI1" t="str">
        <f>'Upload AXI - CONF'!C36</f>
        <v>Object.RAMW[Z2K3].FlexVO5</v>
      </c>
      <c r="AJ1" t="str">
        <f>'Upload AXI - CONF'!C37</f>
        <v>Object.RAMW[Z2K4].FlexVO5</v>
      </c>
      <c r="AK1" t="str">
        <f>'Upload AXI - CONF'!C38</f>
        <v>Object.RAMW[Z3K1].FlexVO5</v>
      </c>
      <c r="AL1" t="str">
        <f>'Upload AXI - CONF'!C39</f>
        <v>Object.RAMW[Z3K2].FlexVO5</v>
      </c>
      <c r="AM1" t="str">
        <f>'Upload AXI - CONF'!C40</f>
        <v>Object.RAMW[Z3K3].FlexVO5</v>
      </c>
      <c r="AN1" t="str">
        <f>'Upload AXI - CONF'!C41</f>
        <v>Object.RAMW[Z3K4].FlexVO5</v>
      </c>
      <c r="AO1" t="str">
        <f>'Upload AXI - CONF'!C42</f>
        <v/>
      </c>
      <c r="AP1" t="str">
        <f>'Upload AXI - CONF'!C43</f>
        <v/>
      </c>
      <c r="AQ1" t="str">
        <f>'Upload AXI - CONF'!C44</f>
        <v/>
      </c>
      <c r="AR1" t="str">
        <f>'Upload AXI - CONF'!C45</f>
        <v>Object.RAM[Z1K1].FlexA098</v>
      </c>
      <c r="AS1" t="str">
        <f>'Upload AXI - CONF'!C46</f>
        <v>Object.RAM[Z1K1].FlexA087</v>
      </c>
      <c r="AT1" t="str">
        <f>'Upload AXI - CONF'!C47</f>
        <v>Object.RAM[Z1K1].FlexA088</v>
      </c>
      <c r="AU1" t="str">
        <f>'Upload AXI - CONF'!C48</f>
        <v>Object.RAM[Z1K1].FlexA089</v>
      </c>
      <c r="AV1" t="str">
        <f>'Upload AXI - CONF'!C49</f>
        <v>Object.RAM[Z1K1].FlexA102</v>
      </c>
      <c r="AW1" t="str">
        <f>'Upload AXI - CONF'!C50</f>
        <v>Object.RAM[Z1K1].FlexA090</v>
      </c>
      <c r="AX1" t="str">
        <f>'Upload AXI - CONF'!C51</f>
        <v>Object.RAM[Z1K1].FlexA091</v>
      </c>
      <c r="AY1" t="str">
        <f>'Upload AXI - CONF'!C52</f>
        <v>Object.RAM[Z1K1].FlexA097</v>
      </c>
      <c r="AZ1" t="str">
        <f>'Upload AXI - CONF'!C53</f>
        <v>Object.RAM[Z1K1].FlexAO001</v>
      </c>
      <c r="BA1" t="str">
        <f>'Upload AXI - CONF'!C54</f>
        <v>Object.RAM[Z1K1].FlexAO400</v>
      </c>
      <c r="BB1" t="str">
        <f>'Upload AXI - CONF'!C55</f>
        <v>Object.RAM[Z1K1].FlexA062</v>
      </c>
      <c r="BC1" t="str">
        <f>'Upload AXI - CONF'!C56</f>
        <v>Object.RAM[Z1K1].FlexAO002</v>
      </c>
      <c r="BD1" t="str">
        <f>'Upload AXI - CONF'!C57</f>
        <v>Object.RAM[Z1K1].FlexAO003</v>
      </c>
      <c r="BE1" t="str">
        <f>'Upload AXI - CONF'!C58</f>
        <v>Object.RAM[Z1K1].FlexA101</v>
      </c>
      <c r="BF1" t="str">
        <f>'Upload AXI - CONF'!C59</f>
        <v>Object.RAM[Z1K1].FlexAO004</v>
      </c>
      <c r="BG1" t="str">
        <f>'Upload AXI - CONF'!C60</f>
        <v>Object.RAM[Z1K1].FlexAO005</v>
      </c>
      <c r="BH1" t="str">
        <f>'Upload AXI - CONF'!C61</f>
        <v>Object.RAM[Z1K2].FlexA098</v>
      </c>
      <c r="BI1" t="str">
        <f>'Upload AXI - CONF'!C62</f>
        <v>Object.RAM[Z1K2].FlexA087</v>
      </c>
      <c r="BJ1" t="str">
        <f>'Upload AXI - CONF'!C63</f>
        <v>Object.RAM[Z1K2].FlexA088</v>
      </c>
      <c r="BK1" t="str">
        <f>'Upload AXI - CONF'!C64</f>
        <v>Object.RAM[Z1K2].FlexA089</v>
      </c>
      <c r="BL1" t="str">
        <f>'Upload AXI - CONF'!C65</f>
        <v>Object.RAM[Z1K2].FlexA102</v>
      </c>
      <c r="BM1" t="str">
        <f>'Upload AXI - CONF'!C66</f>
        <v>Object.RAM[Z1K2].FlexA090</v>
      </c>
      <c r="BN1" t="str">
        <f>'Upload AXI - CONF'!C67</f>
        <v>Object.RAM[Z1K2].FlexA091</v>
      </c>
      <c r="BO1" t="str">
        <f>'Upload AXI - CONF'!C68</f>
        <v>Object.RAM[Z1K2].FlexA097</v>
      </c>
      <c r="BP1" t="str">
        <f>'Upload AXI - CONF'!C69</f>
        <v>Object.RAM[Z1K2].FlexAO400</v>
      </c>
      <c r="BQ1" t="str">
        <f>'Upload AXI - CONF'!C70</f>
        <v>Object.RAM[Z1K2].FlexAO001</v>
      </c>
      <c r="BR1" t="str">
        <f>'Upload AXI - CONF'!C71</f>
        <v>Object.RAM[Z1K2].FlexA062</v>
      </c>
      <c r="BS1" t="str">
        <f>'Upload AXI - CONF'!C72</f>
        <v>Object.RAM[Z1K2].FlexAO002</v>
      </c>
      <c r="BT1" t="str">
        <f>'Upload AXI - CONF'!C73</f>
        <v>Object.RAM[Z1K2].FlexAO003</v>
      </c>
      <c r="BU1" t="str">
        <f>'Upload AXI - CONF'!C74</f>
        <v>Object.RAM[Z1K2].FlexA101</v>
      </c>
      <c r="BV1" t="str">
        <f>'Upload AXI - CONF'!C75</f>
        <v>Object.RAM[Z1K2].FlexAO004</v>
      </c>
      <c r="BW1" t="str">
        <f>'Upload AXI - CONF'!C76</f>
        <v>Object.RAM[Z1K2].FlexAO005</v>
      </c>
      <c r="BX1" t="str">
        <f>'Upload AXI - CONF'!C77</f>
        <v>Object.RAM[Z1K3].FlexA098</v>
      </c>
      <c r="BY1" t="str">
        <f>'Upload AXI - CONF'!C78</f>
        <v>Object.RAM[Z1K3].FlexA087</v>
      </c>
      <c r="BZ1" t="str">
        <f>'Upload AXI - CONF'!C79</f>
        <v>Object.RAM[Z1K3].FlexA088</v>
      </c>
      <c r="CA1" t="str">
        <f>'Upload AXI - CONF'!C80</f>
        <v>Object.RAM[Z1K3].FlexA089</v>
      </c>
      <c r="CB1" t="str">
        <f>'Upload AXI - CONF'!C81</f>
        <v>Object.RAM[Z1K3].FlexA102</v>
      </c>
      <c r="CC1" t="str">
        <f>'Upload AXI - CONF'!C82</f>
        <v>Object.RAM[Z1K3].FlexA090</v>
      </c>
      <c r="CD1" t="str">
        <f>'Upload AXI - CONF'!C83</f>
        <v>Object.RAM[Z1K3].FlexA091</v>
      </c>
      <c r="CE1" t="str">
        <f>'Upload AXI - CONF'!C84</f>
        <v>Object.RAM[Z1K3].FlexA097</v>
      </c>
      <c r="CF1" t="str">
        <f>'Upload AXI - CONF'!C85</f>
        <v>Object.RAM[Z1K3].FlexAO400</v>
      </c>
      <c r="CG1" t="str">
        <f>'Upload AXI - CONF'!C86</f>
        <v>Object.RAM[Z1K3].FlexAO001</v>
      </c>
      <c r="CH1" t="str">
        <f>'Upload AXI - CONF'!C87</f>
        <v>Object.RAM[Z1K3].FlexA062</v>
      </c>
      <c r="CI1" t="str">
        <f>'Upload AXI - CONF'!C88</f>
        <v>Object.RAM[Z1K3].FlexAO002</v>
      </c>
      <c r="CJ1" t="str">
        <f>'Upload AXI - CONF'!C89</f>
        <v>Object.RAM[Z1K3].FlexAO003</v>
      </c>
      <c r="CK1" t="str">
        <f>'Upload AXI - CONF'!C90</f>
        <v>Object.RAM[Z1K3].FlexA101</v>
      </c>
      <c r="CL1" t="str">
        <f>'Upload AXI - CONF'!C91</f>
        <v>Object.RAM[Z1K3].FlexAO004</v>
      </c>
      <c r="CM1" t="str">
        <f>'Upload AXI - CONF'!C92</f>
        <v>Object.RAM[Z1K3].FlexAO005</v>
      </c>
      <c r="CN1" t="str">
        <f>'Upload AXI - CONF'!C93</f>
        <v>Object.RAM[Z1K4].FlexA098</v>
      </c>
      <c r="CO1" t="str">
        <f>'Upload AXI - CONF'!C94</f>
        <v>Object.RAM[Z1K4].FlexA087</v>
      </c>
      <c r="CP1" t="str">
        <f>'Upload AXI - CONF'!C95</f>
        <v>Object.RAM[Z1K4].FlexA088</v>
      </c>
      <c r="CQ1" t="str">
        <f>'Upload AXI - CONF'!C96</f>
        <v>Object.RAM[Z1K4].FlexA089</v>
      </c>
      <c r="CR1" t="str">
        <f>'Upload AXI - CONF'!C97</f>
        <v>Object.RAM[Z1K4].FlexA102</v>
      </c>
      <c r="CS1" t="str">
        <f>'Upload AXI - CONF'!C98</f>
        <v>Object.RAM[Z1K4].FlexA090</v>
      </c>
      <c r="CT1" t="str">
        <f>'Upload AXI - CONF'!C99</f>
        <v>Object.RAM[Z1K4].FlexA091</v>
      </c>
      <c r="CU1" t="str">
        <f>'Upload AXI - CONF'!C100</f>
        <v>Object.RAM[Z1K4].FlexA097</v>
      </c>
      <c r="CV1" t="str">
        <f>'Upload AXI - CONF'!C101</f>
        <v>Object.RAM[Z1K4].FlexAO400</v>
      </c>
      <c r="CW1" t="str">
        <f>'Upload AXI - CONF'!C102</f>
        <v>Object.RAM[Z1K4].FlexAO001</v>
      </c>
      <c r="CX1" t="str">
        <f>'Upload AXI - CONF'!C103</f>
        <v>Object.RAM[Z1K4].FlexA062</v>
      </c>
      <c r="CY1" t="str">
        <f>'Upload AXI - CONF'!C104</f>
        <v>Object.RAM[Z1K4].FlexAO002</v>
      </c>
      <c r="CZ1" t="str">
        <f>'Upload AXI - CONF'!C105</f>
        <v>Object.RAM[Z1K4].FlexAO003</v>
      </c>
      <c r="DA1" t="str">
        <f>'Upload AXI - CONF'!C106</f>
        <v>Object.RAM[Z1K4].FlexA101</v>
      </c>
      <c r="DB1" t="str">
        <f>'Upload AXI - CONF'!C107</f>
        <v>Object.RAM[Z1K4].FlexAO004</v>
      </c>
      <c r="DC1" t="str">
        <f>'Upload AXI - CONF'!C108</f>
        <v>Object.RAM[Z1K4].FlexAO005</v>
      </c>
      <c r="DD1" t="str">
        <f>'Upload AXI - CONF'!C109</f>
        <v>Object.RAM[Z2K1].FlexA098</v>
      </c>
      <c r="DE1" t="str">
        <f>'Upload AXI - CONF'!C110</f>
        <v>Object.RAM[Z2K1].FlexA087</v>
      </c>
      <c r="DF1" t="str">
        <f>'Upload AXI - CONF'!C111</f>
        <v>Object.RAM[Z2K1].FlexA088</v>
      </c>
      <c r="DG1" t="str">
        <f>'Upload AXI - CONF'!C112</f>
        <v>Object.RAM[Z2K1].FlexA089</v>
      </c>
      <c r="DH1" t="str">
        <f>'Upload AXI - CONF'!C113</f>
        <v>Object.RAM[Z2K1].FlexA102</v>
      </c>
      <c r="DI1" t="str">
        <f>'Upload AXI - CONF'!C114</f>
        <v>Object.RAM[Z2K1].FlexA090</v>
      </c>
      <c r="DJ1" t="str">
        <f>'Upload AXI - CONF'!C115</f>
        <v>Object.RAM[Z2K1].FlexA091</v>
      </c>
      <c r="DK1" t="str">
        <f>'Upload AXI - CONF'!C116</f>
        <v>Object.RAM[Z2K1].FlexA097</v>
      </c>
      <c r="DL1" t="str">
        <f>'Upload AXI - CONF'!C117</f>
        <v>Object.RAM[Z2K1].FlexAO400</v>
      </c>
      <c r="DM1" t="str">
        <f>'Upload AXI - CONF'!C118</f>
        <v>Object.RAM[Z2K1].FlexAO001</v>
      </c>
      <c r="DN1" t="str">
        <f>'Upload AXI - CONF'!C119</f>
        <v>Object.RAM[Z2K1].FlexA062</v>
      </c>
      <c r="DO1" t="str">
        <f>'Upload AXI - CONF'!C120</f>
        <v>Object.RAM[Z2K1].FlexAO002</v>
      </c>
      <c r="DP1" t="str">
        <f>'Upload AXI - CONF'!C121</f>
        <v>Object.RAM[Z2K1].FlexAO003</v>
      </c>
      <c r="DQ1" t="str">
        <f>'Upload AXI - CONF'!C122</f>
        <v>Object.RAM[Z2K1].FlexA101</v>
      </c>
      <c r="DR1" t="str">
        <f>'Upload AXI - CONF'!C123</f>
        <v>Object.RAM[Z2K1].FlexAO004</v>
      </c>
      <c r="DS1" t="str">
        <f>'Upload AXI - CONF'!C124</f>
        <v>Object.RAM[Z2K1].FlexAO005</v>
      </c>
      <c r="DT1" t="str">
        <f>'Upload AXI - CONF'!C125</f>
        <v>Object.RAM[Z2K2].FlexA098</v>
      </c>
      <c r="DU1" t="str">
        <f>'Upload AXI - CONF'!C126</f>
        <v>Object.RAM[Z2K2].FlexA087</v>
      </c>
      <c r="DV1" t="str">
        <f>'Upload AXI - CONF'!C127</f>
        <v>Object.RAM[Z2K2].FlexA088</v>
      </c>
      <c r="DW1" t="str">
        <f>'Upload AXI - CONF'!C128</f>
        <v>Object.RAM[Z2K2].FlexA089</v>
      </c>
      <c r="DX1" t="str">
        <f>'Upload AXI - CONF'!C129</f>
        <v>Object.RAM[Z2K2].FlexA102</v>
      </c>
      <c r="DY1" t="str">
        <f>'Upload AXI - CONF'!C130</f>
        <v>Object.RAM[Z2K2].FlexA090</v>
      </c>
      <c r="DZ1" t="str">
        <f>'Upload AXI - CONF'!C131</f>
        <v>Object.RAM[Z2K2].FlexA091</v>
      </c>
      <c r="EA1" t="str">
        <f>'Upload AXI - CONF'!C132</f>
        <v>Object.RAM[Z2K2].FlexA097</v>
      </c>
      <c r="EB1" t="str">
        <f>'Upload AXI - CONF'!C133</f>
        <v>Object.RAM[Z2K2].FlexAO400</v>
      </c>
      <c r="EC1" t="str">
        <f>'Upload AXI - CONF'!C134</f>
        <v>Object.RAM[Z2K2].FlexAO001</v>
      </c>
      <c r="ED1" t="str">
        <f>'Upload AXI - CONF'!C135</f>
        <v>Object.RAM[Z2K2].FlexA062</v>
      </c>
      <c r="EE1" t="str">
        <f>'Upload AXI - CONF'!C136</f>
        <v>Object.RAM[Z2K2].FlexAO002</v>
      </c>
      <c r="EF1" t="str">
        <f>'Upload AXI - CONF'!C137</f>
        <v>Object.RAM[Z2K2].FlexAO003</v>
      </c>
      <c r="EG1" t="str">
        <f>'Upload AXI - CONF'!C138</f>
        <v>Object.RAM[Z2K2].FlexA101</v>
      </c>
      <c r="EH1" t="str">
        <f>'Upload AXI - CONF'!C139</f>
        <v>Object.RAM[Z2K2].FlexAO004</v>
      </c>
      <c r="EI1" t="str">
        <f>'Upload AXI - CONF'!C140</f>
        <v>Object.RAM[Z2K2].FlexAO005</v>
      </c>
      <c r="EJ1" t="str">
        <f>'Upload AXI - CONF'!C141</f>
        <v>Object.RAM[Z2K3].FlexA098</v>
      </c>
      <c r="EK1" t="str">
        <f>'Upload AXI - CONF'!C142</f>
        <v>Object.RAM[Z2K3].FlexA087</v>
      </c>
      <c r="EL1" t="str">
        <f>'Upload AXI - CONF'!C143</f>
        <v>Object.RAM[Z2K3].FlexA088</v>
      </c>
      <c r="EM1" t="str">
        <f>'Upload AXI - CONF'!C144</f>
        <v>Object.RAM[Z2K3].FlexA089</v>
      </c>
      <c r="EN1" t="str">
        <f>'Upload AXI - CONF'!C145</f>
        <v>Object.RAM[Z2K3].FlexA102</v>
      </c>
      <c r="EO1" t="str">
        <f>'Upload AXI - CONF'!C146</f>
        <v>Object.RAM[Z2K3].FlexA090</v>
      </c>
      <c r="EP1" t="str">
        <f>'Upload AXI - CONF'!C147</f>
        <v>Object.RAM[Z2K3].FlexA091</v>
      </c>
      <c r="EQ1" t="str">
        <f>'Upload AXI - CONF'!C148</f>
        <v>Object.RAM[Z2K3].FlexA097</v>
      </c>
      <c r="ER1" t="str">
        <f>'Upload AXI - CONF'!C149</f>
        <v>Object.RAM[Z2K3].FlexAO400</v>
      </c>
      <c r="ES1" t="str">
        <f>'Upload AXI - CONF'!C150</f>
        <v>Object.RAM[Z2K3].FlexAO001</v>
      </c>
      <c r="ET1" t="str">
        <f>'Upload AXI - CONF'!C151</f>
        <v>Object.RAM[Z2K3].FlexA062</v>
      </c>
      <c r="EU1" t="str">
        <f>'Upload AXI - CONF'!C152</f>
        <v>Object.RAM[Z2K3].FlexAO002</v>
      </c>
      <c r="EV1" t="str">
        <f>'Upload AXI - CONF'!C153</f>
        <v>Object.RAM[Z2K3].FlexAO003</v>
      </c>
      <c r="EW1" t="str">
        <f>'Upload AXI - CONF'!C154</f>
        <v>Object.RAM[Z2K3].FlexA101</v>
      </c>
      <c r="EX1" t="str">
        <f>'Upload AXI - CONF'!C155</f>
        <v>Object.RAM[Z2K3].FlexAO004</v>
      </c>
      <c r="EY1" t="str">
        <f>'Upload AXI - CONF'!C156</f>
        <v>Object.RAM[Z2K3].FlexAO005</v>
      </c>
      <c r="EZ1" t="str">
        <f>'Upload AXI - CONF'!C157</f>
        <v>Object.RAM[Z2K4].FlexA098</v>
      </c>
      <c r="FA1" t="str">
        <f>'Upload AXI - CONF'!C158</f>
        <v>Object.RAM[Z2K4].FlexA087</v>
      </c>
      <c r="FB1" t="str">
        <f>'Upload AXI - CONF'!C159</f>
        <v>Object.RAM[Z2K4].FlexA088</v>
      </c>
      <c r="FC1" t="str">
        <f>'Upload AXI - CONF'!C160</f>
        <v>Object.RAM[Z2K4].FlexA089</v>
      </c>
      <c r="FD1" t="str">
        <f>'Upload AXI - CONF'!C161</f>
        <v>Object.RAM[Z2K4].FlexA102</v>
      </c>
      <c r="FE1" t="str">
        <f>'Upload AXI - CONF'!C162</f>
        <v>Object.RAM[Z2K4].FlexA090</v>
      </c>
      <c r="FF1" t="str">
        <f>'Upload AXI - CONF'!C163</f>
        <v>Object.RAM[Z2K4].FlexA091</v>
      </c>
      <c r="FG1" t="str">
        <f>'Upload AXI - CONF'!C164</f>
        <v>Object.RAM[Z2K4].FlexA097</v>
      </c>
      <c r="FH1" t="str">
        <f>'Upload AXI - CONF'!C165</f>
        <v>Object.RAM[Z2K4].FlexAO400</v>
      </c>
      <c r="FI1" t="str">
        <f>'Upload AXI - CONF'!C166</f>
        <v>Object.RAM[Z2K4].FlexAO001</v>
      </c>
      <c r="FJ1" t="str">
        <f>'Upload AXI - CONF'!C167</f>
        <v>Object.RAM[Z2K4].FlexA062</v>
      </c>
      <c r="FK1" t="str">
        <f>'Upload AXI - CONF'!C168</f>
        <v>Object.RAM[Z2K4].FlexAO002</v>
      </c>
      <c r="FL1" t="str">
        <f>'Upload AXI - CONF'!C169</f>
        <v>Object.RAM[Z2K4].FlexAO003</v>
      </c>
      <c r="FM1" t="str">
        <f>'Upload AXI - CONF'!C170</f>
        <v>Object.RAM[Z2K4].FlexA101</v>
      </c>
      <c r="FN1" t="str">
        <f>'Upload AXI - CONF'!C171</f>
        <v>Object.RAM[Z2K4].FlexAO004</v>
      </c>
      <c r="FO1" t="str">
        <f>'Upload AXI - CONF'!C172</f>
        <v>Object.RAM[Z2K4].FlexAO005</v>
      </c>
      <c r="FP1" t="str">
        <f>'Upload AXI - CONF'!C173</f>
        <v>Object.RAM[Z3K1].FlexA098</v>
      </c>
      <c r="FQ1" t="str">
        <f>'Upload AXI - CONF'!C174</f>
        <v>Object.RAM[Z3K1].FlexA087</v>
      </c>
      <c r="FR1" t="str">
        <f>'Upload AXI - CONF'!C175</f>
        <v>Object.RAM[Z3K1].FlexA088</v>
      </c>
      <c r="FS1" t="str">
        <f>'Upload AXI - CONF'!C176</f>
        <v>Object.RAM[Z3K1].FlexA089</v>
      </c>
      <c r="FT1" t="str">
        <f>'Upload AXI - CONF'!C177</f>
        <v>Object.RAM[Z3K1].FlexA102</v>
      </c>
      <c r="FU1" t="str">
        <f>'Upload AXI - CONF'!C178</f>
        <v>Object.RAM[Z3K1].FlexA090</v>
      </c>
      <c r="FV1" t="str">
        <f>'Upload AXI - CONF'!C179</f>
        <v>Object.RAM[Z3K1].FlexA091</v>
      </c>
      <c r="FW1" t="str">
        <f>'Upload AXI - CONF'!C180</f>
        <v>Object.RAM[Z3K1].FlexA097</v>
      </c>
      <c r="FX1" t="str">
        <f>'Upload AXI - CONF'!C181</f>
        <v>Object.RAM[Z3K1].FlexAO400</v>
      </c>
      <c r="FY1" t="str">
        <f>'Upload AXI - CONF'!C182</f>
        <v>Object.RAM[Z3K1].FlexAO001</v>
      </c>
      <c r="FZ1" t="str">
        <f>'Upload AXI - CONF'!C183</f>
        <v>Object.RAM[Z3K1].FlexA062</v>
      </c>
      <c r="GA1" t="str">
        <f>'Upload AXI - CONF'!C184</f>
        <v>Object.RAM[Z3K1].FlexAO002</v>
      </c>
      <c r="GB1" t="str">
        <f>'Upload AXI - CONF'!C185</f>
        <v>Object.RAM[Z3K1].FlexAO003</v>
      </c>
      <c r="GC1" t="str">
        <f>'Upload AXI - CONF'!C186</f>
        <v>Object.RAM[Z3K1].FlexA101</v>
      </c>
      <c r="GD1" t="str">
        <f>'Upload AXI - CONF'!C187</f>
        <v>Object.RAM[Z3K1].FlexAO004</v>
      </c>
      <c r="GE1" t="str">
        <f>'Upload AXI - CONF'!C188</f>
        <v>Object.RAM[Z3K1].FlexAO005</v>
      </c>
      <c r="GF1" t="str">
        <f>'Upload AXI - CONF'!C189</f>
        <v>Object.RAM[Z3K2].FlexA098</v>
      </c>
      <c r="GG1" t="str">
        <f>'Upload AXI - CONF'!C190</f>
        <v>Object.RAM[Z3K2].FlexA087</v>
      </c>
      <c r="GH1" t="str">
        <f>'Upload AXI - CONF'!C191</f>
        <v>Object.RAM[Z3K2].FlexA088</v>
      </c>
      <c r="GI1" t="str">
        <f>'Upload AXI - CONF'!C192</f>
        <v>Object.RAM[Z3K2].FlexA089</v>
      </c>
      <c r="GJ1" t="str">
        <f>'Upload AXI - CONF'!C193</f>
        <v>Object.RAM[Z3K2].FlexA102</v>
      </c>
      <c r="GK1" t="str">
        <f>'Upload AXI - CONF'!C194</f>
        <v>Object.RAM[Z3K2].FlexA090</v>
      </c>
      <c r="GL1" t="str">
        <f>'Upload AXI - CONF'!C195</f>
        <v>Object.RAM[Z3K2].FlexA091</v>
      </c>
      <c r="GM1" t="str">
        <f>'Upload AXI - CONF'!C196</f>
        <v>Object.RAM[Z3K2].FlexA097</v>
      </c>
      <c r="GN1" t="str">
        <f>'Upload AXI - CONF'!C197</f>
        <v>Object.RAM[Z3K2].FlexAO400</v>
      </c>
      <c r="GO1" t="str">
        <f>'Upload AXI - CONF'!C198</f>
        <v>Object.RAM[Z3K2].FlexAO001</v>
      </c>
      <c r="GP1" t="str">
        <f>'Upload AXI - CONF'!C199</f>
        <v>Object.RAM[Z3K2].FlexA062</v>
      </c>
      <c r="GQ1" t="str">
        <f>'Upload AXI - CONF'!C200</f>
        <v>Object.RAM[Z3K2].FlexAO002</v>
      </c>
      <c r="GR1" t="str">
        <f>'Upload AXI - CONF'!C201</f>
        <v>Object.RAM[Z3K2].FlexAO003</v>
      </c>
      <c r="GS1" t="str">
        <f>'Upload AXI - CONF'!C202</f>
        <v>Object.RAM[Z3K2].FlexA101</v>
      </c>
      <c r="GT1" t="str">
        <f>'Upload AXI - CONF'!C203</f>
        <v>Object.RAM[Z3K2].FlexAO004</v>
      </c>
      <c r="GU1" t="str">
        <f>'Upload AXI - CONF'!C204</f>
        <v>Object.RAM[Z3K2].FlexAO005</v>
      </c>
      <c r="GV1" t="str">
        <f>'Upload AXI - CONF'!C205</f>
        <v>Object.RAM[Z3K3].FlexA098</v>
      </c>
      <c r="GW1" t="str">
        <f>'Upload AXI - CONF'!C206</f>
        <v>Object.RAM[Z3K3].FlexA087</v>
      </c>
      <c r="GX1" t="str">
        <f>'Upload AXI - CONF'!C207</f>
        <v>Object.RAM[Z3K3].FlexA088</v>
      </c>
      <c r="GY1" t="str">
        <f>'Upload AXI - CONF'!C208</f>
        <v>Object.RAM[Z3K3].FlexA089</v>
      </c>
      <c r="GZ1" t="str">
        <f>'Upload AXI - CONF'!C209</f>
        <v>Object.RAM[Z3K3].FlexA102</v>
      </c>
      <c r="HA1" t="str">
        <f>'Upload AXI - CONF'!C210</f>
        <v>Object.RAM[Z3K3].FlexA090</v>
      </c>
      <c r="HB1" t="str">
        <f>'Upload AXI - CONF'!C211</f>
        <v>Object.RAM[Z3K3].FlexA091</v>
      </c>
      <c r="HC1" t="str">
        <f>'Upload AXI - CONF'!C212</f>
        <v>Object.RAM[Z3K3].FlexA097</v>
      </c>
      <c r="HD1" t="str">
        <f>'Upload AXI - CONF'!C213</f>
        <v>Object.RAM[Z3K3].FlexAO400</v>
      </c>
      <c r="HE1" t="str">
        <f>'Upload AXI - CONF'!C214</f>
        <v>Object.RAM[Z3K3].FlexAO001</v>
      </c>
      <c r="HF1" t="str">
        <f>'Upload AXI - CONF'!C215</f>
        <v>Object.RAM[Z3K3].FlexA062</v>
      </c>
      <c r="HG1" t="str">
        <f>'Upload AXI - CONF'!C216</f>
        <v>Object.RAM[Z3K3].FlexAO002</v>
      </c>
      <c r="HH1" t="str">
        <f>'Upload AXI - CONF'!C217</f>
        <v>Object.RAM[Z3K3].FlexAO003</v>
      </c>
      <c r="HI1" t="str">
        <f>'Upload AXI - CONF'!C218</f>
        <v>Object.RAM[Z3K3].FlexA101</v>
      </c>
      <c r="HJ1" t="str">
        <f>'Upload AXI - CONF'!C219</f>
        <v>Object.RAM[Z3K3].FlexAO004</v>
      </c>
      <c r="HK1" t="str">
        <f>'Upload AXI - CONF'!C220</f>
        <v>Object.RAM[Z3K3].FlexAO005</v>
      </c>
      <c r="HL1" t="str">
        <f>'Upload AXI - CONF'!C221</f>
        <v>Object.RAM[Z3K4].FlexA098</v>
      </c>
      <c r="HM1" t="str">
        <f>'Upload AXI - CONF'!C222</f>
        <v>Object.RAM[Z3K4].FlexA087</v>
      </c>
      <c r="HN1" t="str">
        <f>'Upload AXI - CONF'!C223</f>
        <v>Object.RAM[Z3K4].FlexA088</v>
      </c>
      <c r="HO1" t="str">
        <f>'Upload AXI - CONF'!C224</f>
        <v>Object.RAM[Z3K4].FlexA089</v>
      </c>
      <c r="HP1" t="str">
        <f>'Upload AXI - CONF'!C225</f>
        <v>Object.RAM[Z3K4].FlexA102</v>
      </c>
      <c r="HQ1" t="str">
        <f>'Upload AXI - CONF'!C226</f>
        <v>Object.RAM[Z3K4].FlexA090</v>
      </c>
      <c r="HR1" t="str">
        <f>'Upload AXI - CONF'!C227</f>
        <v>Object.RAM[Z3K4].FlexA091</v>
      </c>
      <c r="HS1" t="str">
        <f>'Upload AXI - CONF'!C228</f>
        <v>Object.RAM[Z3K4].FlexA097</v>
      </c>
      <c r="HT1" t="str">
        <f>'Upload AXI - CONF'!C229</f>
        <v>Object.RAM[Z3K4].FlexAO400</v>
      </c>
      <c r="HU1" t="str">
        <f>'Upload AXI - CONF'!C230</f>
        <v>Object.RAM[Z3K4].FlexAO001</v>
      </c>
      <c r="HV1" t="str">
        <f>'Upload AXI - CONF'!C231</f>
        <v>Object.RAM[Z3K4].FlexA062</v>
      </c>
      <c r="HW1" t="str">
        <f>'Upload AXI - CONF'!C232</f>
        <v>Object.RAM[Z3K4].FlexAO002</v>
      </c>
      <c r="HX1" t="str">
        <f>'Upload AXI - CONF'!C233</f>
        <v>Object.RAM[Z3K4].FlexAO003</v>
      </c>
      <c r="HY1" t="str">
        <f>'Upload AXI - CONF'!C234</f>
        <v>Object.RAM[Z3K4].FlexA101</v>
      </c>
      <c r="HZ1" t="str">
        <f>'Upload AXI - CONF'!C235</f>
        <v>Object.RAM[Z3K4].FlexAO004</v>
      </c>
      <c r="IA1" t="str">
        <f>'Upload AXI - CONF'!C236</f>
        <v>Object.RAM[Z3K4].FlexAO005</v>
      </c>
      <c r="IB1" t="str">
        <f>'Upload AXI - CONF'!C237</f>
        <v/>
      </c>
      <c r="IC1" t="str">
        <f>'Upload AXI - CONF'!C238</f>
        <v/>
      </c>
      <c r="ID1" t="str">
        <f>'Upload AXI - CONF'!C239</f>
        <v/>
      </c>
      <c r="IE1" t="str">
        <f>'Upload AXI - CONF'!C240</f>
        <v/>
      </c>
      <c r="IF1" t="str">
        <f>'Upload AXI - CONF'!C241</f>
        <v/>
      </c>
      <c r="IG1" t="str">
        <f>'Upload AXI - CONF'!C242</f>
        <v/>
      </c>
      <c r="IH1" t="str">
        <f>'Upload AXI - CONF'!C243</f>
        <v/>
      </c>
      <c r="II1" t="str">
        <f>'Upload AXI - CONF'!C244</f>
        <v/>
      </c>
      <c r="IJ1" t="str">
        <f>'Upload AXI - CONF'!C245</f>
        <v/>
      </c>
      <c r="IK1" t="str">
        <f>'Upload AXI - CONF'!C246</f>
        <v/>
      </c>
      <c r="IL1" t="str">
        <f>'Upload AXI - CONF'!C247</f>
        <v/>
      </c>
      <c r="IM1" t="str">
        <f>'Upload AXI - CONF'!C248</f>
        <v/>
      </c>
      <c r="IN1" t="str">
        <f>'Upload AXI - CONF'!C249</f>
        <v/>
      </c>
      <c r="IO1" t="str">
        <f>'Upload AXI - CONF'!C250</f>
        <v/>
      </c>
      <c r="IP1" t="str">
        <f>'Upload AXI - CONF'!C251</f>
        <v/>
      </c>
      <c r="IQ1" t="str">
        <f>'Upload AXI - CONF'!C252</f>
        <v/>
      </c>
      <c r="IR1" t="str">
        <f>'Upload AXI - CONF'!C253</f>
        <v/>
      </c>
      <c r="IS1" t="str">
        <f>'Upload AXI - CONF'!C254</f>
        <v/>
      </c>
      <c r="IT1" t="str">
        <f>'Upload AXI - CONF'!C255</f>
        <v/>
      </c>
      <c r="IU1" t="str">
        <f>'Upload AXI - CONF'!C256</f>
        <v/>
      </c>
      <c r="IV1" t="str">
        <f>'Upload AXI - CONF'!C257</f>
        <v/>
      </c>
      <c r="IW1" t="str">
        <f>'Upload AXI - CONF'!C258</f>
        <v/>
      </c>
      <c r="IX1" t="str">
        <f>'Upload AXI - CONF'!C259</f>
        <v/>
      </c>
      <c r="IY1" t="str">
        <f>'Upload AXI - CONF'!C260</f>
        <v/>
      </c>
      <c r="IZ1" t="str">
        <f>'Upload AXI - CONF'!C261</f>
        <v/>
      </c>
      <c r="JA1" t="str">
        <f>'Upload AXI - CONF'!C262</f>
        <v/>
      </c>
      <c r="JB1" t="str">
        <f>'Upload AXI - CONF'!C263</f>
        <v/>
      </c>
      <c r="JC1" t="str">
        <f>'Upload AXI - CONF'!C264</f>
        <v/>
      </c>
      <c r="JD1" t="str">
        <f>'Upload AXI - CONF'!C265</f>
        <v/>
      </c>
      <c r="JE1" t="str">
        <f>'Upload AXI - CONF'!C266</f>
        <v/>
      </c>
      <c r="JF1" t="str">
        <f>'Upload AXI - CONF'!C267</f>
        <v/>
      </c>
      <c r="JG1" t="str">
        <f>'Upload AXI - CONF'!C268</f>
        <v/>
      </c>
      <c r="JH1" t="str">
        <f>'Upload AXI - CONF'!C269</f>
        <v/>
      </c>
      <c r="JI1" t="str">
        <f>'Upload AXI - CONF'!C270</f>
        <v/>
      </c>
      <c r="JJ1" t="str">
        <f>'Upload AXI - CONF'!C271</f>
        <v/>
      </c>
      <c r="JK1" t="str">
        <f>'Upload AXI - CONF'!C272</f>
        <v/>
      </c>
      <c r="JL1" t="str">
        <f>'Upload AXI - CONF'!C273</f>
        <v/>
      </c>
      <c r="JM1" t="str">
        <f>'Upload AXI - CONF'!C274</f>
        <v/>
      </c>
      <c r="JN1" t="str">
        <f>'Upload AXI - CONF'!C275</f>
        <v/>
      </c>
      <c r="JO1" t="str">
        <f>'Upload AXI - CONF'!C276</f>
        <v/>
      </c>
      <c r="JP1" t="str">
        <f>'Upload AXI - CONF'!C277</f>
        <v/>
      </c>
      <c r="JQ1" t="str">
        <f>'Upload AXI - CONF'!C278</f>
        <v/>
      </c>
      <c r="JR1" t="str">
        <f>'Upload AXI - CONF'!C279</f>
        <v/>
      </c>
      <c r="JS1" t="str">
        <f>'Upload AXI - CONF'!C280</f>
        <v/>
      </c>
      <c r="JT1" t="str">
        <f>'Upload AXI - CONF'!C281</f>
        <v/>
      </c>
      <c r="JU1" t="str">
        <f>'Upload AXI - CONF'!C282</f>
        <v/>
      </c>
      <c r="JV1" t="str">
        <f>'Upload AXI - CONF'!C283</f>
        <v/>
      </c>
      <c r="JW1" t="str">
        <f>'Upload AXI - CONF'!C284</f>
        <v/>
      </c>
      <c r="JX1" t="str">
        <f>'Upload AXI - CONF'!C285</f>
        <v/>
      </c>
      <c r="JY1" t="str">
        <f>'Upload AXI - CONF'!C286</f>
        <v/>
      </c>
      <c r="JZ1" t="str">
        <f>'Upload AXI - CONF'!C287</f>
        <v/>
      </c>
      <c r="KA1" t="str">
        <f>'Upload AXI - CONF'!C288</f>
        <v/>
      </c>
      <c r="KB1" t="str">
        <f>'Upload AXI - CONF'!C289</f>
        <v/>
      </c>
      <c r="KC1" t="str">
        <f>'Upload AXI - CONF'!C290</f>
        <v/>
      </c>
      <c r="KD1" t="str">
        <f>'Upload AXI - CONF'!C291</f>
        <v/>
      </c>
      <c r="KE1" t="str">
        <f>'Upload AXI - CONF'!C292</f>
        <v/>
      </c>
      <c r="KF1" t="str">
        <f>'Upload AXI - CONF'!C293</f>
        <v/>
      </c>
      <c r="KG1" t="str">
        <f>'Upload AXI - CONF'!C294</f>
        <v/>
      </c>
      <c r="KH1" t="str">
        <f>'Upload AXI - CONF'!C295</f>
        <v/>
      </c>
      <c r="KI1" t="str">
        <f>'Upload AXI - CONF'!C296</f>
        <v/>
      </c>
      <c r="KJ1" t="str">
        <f>'Upload AXI - CONF'!C297</f>
        <v/>
      </c>
      <c r="KK1" t="str">
        <f>'Upload AXI - CONF'!C298</f>
        <v/>
      </c>
      <c r="KL1" t="str">
        <f>'Upload AXI - CONF'!C299</f>
        <v/>
      </c>
      <c r="KM1" t="str">
        <f>'Upload AXI - CONF'!C300</f>
        <v/>
      </c>
      <c r="KN1" t="str">
        <f>'Upload AXI - CONF'!C301</f>
        <v/>
      </c>
      <c r="KO1" t="str">
        <f>'Upload AXI - CONF'!C302</f>
        <v/>
      </c>
      <c r="KP1" t="str">
        <f>'Upload AXI - CONF'!C303</f>
        <v/>
      </c>
      <c r="KQ1" t="str">
        <f>'Upload AXI - CONF'!C304</f>
        <v/>
      </c>
      <c r="KR1" t="str">
        <f>'Upload AXI - CONF'!C305</f>
        <v/>
      </c>
      <c r="KS1" t="str">
        <f>'Upload AXI - CONF'!C306</f>
        <v/>
      </c>
      <c r="KT1" t="str">
        <f>'Upload AXI - CONF'!C307</f>
        <v/>
      </c>
      <c r="KU1" t="str">
        <f>'Upload AXI - CONF'!C308</f>
        <v/>
      </c>
      <c r="KV1" t="str">
        <f>'Upload AXI - CONF'!C309</f>
        <v/>
      </c>
      <c r="KW1" t="str">
        <f>'Upload AXI - CONF'!C310</f>
        <v/>
      </c>
      <c r="KX1" t="str">
        <f>'Upload AXI - CONF'!C311</f>
        <v/>
      </c>
      <c r="KY1" t="str">
        <f>'Upload AXI - CONF'!C312</f>
        <v/>
      </c>
      <c r="KZ1" t="str">
        <f>'Upload AXI - CONF'!C313</f>
        <v/>
      </c>
      <c r="LA1" t="str">
        <f>'Upload AXI - CONF'!C314</f>
        <v/>
      </c>
      <c r="LB1" t="str">
        <f>'Upload AXI - CONF'!C315</f>
        <v/>
      </c>
      <c r="LC1" t="str">
        <f>'Upload AXI - CONF'!C316</f>
        <v/>
      </c>
      <c r="LD1" t="str">
        <f>'Upload AXI - CONF'!C317</f>
        <v/>
      </c>
      <c r="LE1" t="str">
        <f>'Upload AXI - CONF'!C318</f>
        <v/>
      </c>
      <c r="LF1" t="str">
        <f>'Upload AXI - CONF'!C319</f>
        <v/>
      </c>
      <c r="LG1" t="str">
        <f>'Upload AXI - CONF'!C320</f>
        <v/>
      </c>
      <c r="LH1" t="str">
        <f>'Upload AXI - CONF'!C321</f>
        <v/>
      </c>
      <c r="LI1" t="str">
        <f>'Upload AXI - CONF'!C322</f>
        <v/>
      </c>
      <c r="LJ1" t="str">
        <f>'Upload AXI - CONF'!C323</f>
        <v/>
      </c>
      <c r="LK1" t="str">
        <f>'Upload AXI - CONF'!C324</f>
        <v/>
      </c>
      <c r="LL1" t="str">
        <f>'Upload AXI - CONF'!C325</f>
        <v/>
      </c>
      <c r="LM1" t="str">
        <f>'Upload AXI - CONF'!C326</f>
        <v/>
      </c>
      <c r="LN1" t="str">
        <f>'Upload AXI - CONF'!C327</f>
        <v/>
      </c>
      <c r="LO1" t="str">
        <f>'Upload AXI - CONF'!C328</f>
        <v/>
      </c>
      <c r="LP1" t="str">
        <f>'Upload AXI - CONF'!C329</f>
        <v/>
      </c>
      <c r="LQ1" t="str">
        <f>'Upload AXI - CONF'!C330</f>
        <v/>
      </c>
      <c r="LR1" t="str">
        <f>'Upload AXI - CONF'!C331</f>
        <v/>
      </c>
      <c r="LS1" t="str">
        <f>'Upload AXI - CONF'!C332</f>
        <v/>
      </c>
      <c r="LT1" t="str">
        <f>'Upload AXI - CONF'!C333</f>
        <v/>
      </c>
      <c r="LU1" t="str">
        <f>'Upload AXI - CONF'!C334</f>
        <v/>
      </c>
      <c r="LV1" t="str">
        <f>'Upload AXI - CONF'!C335</f>
        <v/>
      </c>
      <c r="LW1" t="str">
        <f>'Upload AXI - CONF'!C336</f>
        <v/>
      </c>
      <c r="LX1" t="str">
        <f>'Upload AXI - CONF'!C337</f>
        <v/>
      </c>
      <c r="LY1" t="str">
        <f>'Upload AXI - CONF'!C338</f>
        <v/>
      </c>
      <c r="LZ1" t="str">
        <f>'Upload AXI - CONF'!C339</f>
        <v/>
      </c>
      <c r="MA1" t="str">
        <f>'Upload AXI - CONF'!C340</f>
        <v/>
      </c>
      <c r="MB1" t="str">
        <f>'Upload AXI - CONF'!C341</f>
        <v/>
      </c>
      <c r="MC1" t="str">
        <f>'Upload AXI - CONF'!C342</f>
        <v/>
      </c>
      <c r="MD1" t="str">
        <f>'Upload AXI - CONF'!C343</f>
        <v/>
      </c>
      <c r="ME1" t="str">
        <f>'Upload AXI - CONF'!C344</f>
        <v/>
      </c>
      <c r="MF1" t="str">
        <f>'Upload AXI - CONF'!C345</f>
        <v/>
      </c>
      <c r="MG1" t="str">
        <f>'Upload AXI - CONF'!C346</f>
        <v/>
      </c>
      <c r="MH1" t="str">
        <f>'Upload AXI - CONF'!C347</f>
        <v/>
      </c>
      <c r="MI1" t="str">
        <f>'Upload AXI - CONF'!C348</f>
        <v/>
      </c>
      <c r="MJ1" t="str">
        <f>'Upload AXI - CONF'!C349</f>
        <v/>
      </c>
      <c r="MK1" t="str">
        <f>'Upload AXI - CONF'!C350</f>
        <v/>
      </c>
      <c r="ML1" t="str">
        <f>'Upload AXI - CONF'!C351</f>
        <v/>
      </c>
      <c r="MM1" t="str">
        <f>'Upload AXI - CONF'!C352</f>
        <v/>
      </c>
      <c r="MN1" t="str">
        <f>'Upload AXI - CONF'!C353</f>
        <v/>
      </c>
      <c r="MO1" t="str">
        <f>'Upload AXI - CONF'!C354</f>
        <v/>
      </c>
      <c r="MP1" t="str">
        <f>'Upload AXI - CONF'!C355</f>
        <v/>
      </c>
      <c r="MQ1" t="str">
        <f>'Upload AXI - CONF'!C356</f>
        <v/>
      </c>
      <c r="MR1" t="str">
        <f>'Upload AXI - CONF'!C357</f>
        <v/>
      </c>
      <c r="MS1" t="str">
        <f>'Upload AXI - CONF'!C358</f>
        <v/>
      </c>
      <c r="MT1" t="str">
        <f>'Upload AXI - CONF'!C359</f>
        <v/>
      </c>
      <c r="MU1" t="str">
        <f>'Upload AXI - CONF'!C360</f>
        <v/>
      </c>
      <c r="MV1" t="str">
        <f>'Upload AXI - CONF'!C361</f>
        <v/>
      </c>
      <c r="MW1" t="str">
        <f>'Upload AXI - CONF'!C362</f>
        <v/>
      </c>
      <c r="MX1" t="str">
        <f>'Upload AXI - CONF'!C363</f>
        <v/>
      </c>
      <c r="MY1" t="str">
        <f>'Upload AXI - CONF'!C364</f>
        <v/>
      </c>
      <c r="MZ1" t="str">
        <f>'Upload AXI - CONF'!C365</f>
        <v/>
      </c>
      <c r="NA1" t="str">
        <f>'Upload AXI - CONF'!C366</f>
        <v/>
      </c>
      <c r="NB1" t="str">
        <f>'Upload AXI - CONF'!C367</f>
        <v/>
      </c>
      <c r="NC1" t="str">
        <f>'Upload AXI - CONF'!C368</f>
        <v/>
      </c>
      <c r="ND1" t="str">
        <f>'Upload AXI - CONF'!C369</f>
        <v/>
      </c>
      <c r="NE1" t="str">
        <f>'Upload AXI - CONF'!C370</f>
        <v/>
      </c>
      <c r="NF1" t="str">
        <f>'Upload AXI - CONF'!C371</f>
        <v/>
      </c>
      <c r="NG1" t="str">
        <f>'Upload AXI - CONF'!C372</f>
        <v/>
      </c>
      <c r="NH1" t="str">
        <f>'Upload AXI - CONF'!C373</f>
        <v/>
      </c>
      <c r="NI1" t="str">
        <f>'Upload AXI - CONF'!C374</f>
        <v/>
      </c>
      <c r="NJ1" t="str">
        <f>'Upload AXI - CONF'!C375</f>
        <v/>
      </c>
      <c r="NK1" t="str">
        <f>'Upload AXI - CONF'!C376</f>
        <v/>
      </c>
      <c r="NL1" t="str">
        <f>'Upload AXI - CONF'!C377</f>
        <v/>
      </c>
      <c r="NM1" t="str">
        <f>'Upload AXI - CONF'!C378</f>
        <v/>
      </c>
      <c r="NN1" t="str">
        <f>'Upload AXI - CONF'!C379</f>
        <v/>
      </c>
      <c r="NO1" t="str">
        <f>'Upload AXI - CONF'!C380</f>
        <v/>
      </c>
      <c r="NP1" t="str">
        <f>'Upload AXI - CONF'!C381</f>
        <v/>
      </c>
      <c r="NQ1" t="str">
        <f>'Upload AXI - CONF'!C382</f>
        <v/>
      </c>
      <c r="NR1" t="str">
        <f>'Upload AXI - CONF'!C383</f>
        <v/>
      </c>
      <c r="NS1" t="str">
        <f>'Upload AXI - CONF'!C384</f>
        <v/>
      </c>
      <c r="NT1" t="str">
        <f>'Upload AXI - CONF'!C385</f>
        <v/>
      </c>
      <c r="NU1" t="str">
        <f>'Upload AXI - CONF'!C386</f>
        <v/>
      </c>
      <c r="NV1" t="str">
        <f>'Upload AXI - CONF'!C387</f>
        <v/>
      </c>
      <c r="NW1" t="str">
        <f>'Upload AXI - CONF'!C388</f>
        <v/>
      </c>
      <c r="NX1" t="str">
        <f>'Upload AXI - CONF'!C389</f>
        <v/>
      </c>
      <c r="NY1" t="str">
        <f>'Upload AXI - CONF'!C390</f>
        <v/>
      </c>
      <c r="NZ1" t="str">
        <f>'Upload AXI - CONF'!C391</f>
        <v/>
      </c>
      <c r="OA1" t="str">
        <f>'Upload AXI - CONF'!C392</f>
        <v/>
      </c>
      <c r="OB1" t="str">
        <f>'Upload AXI - CONF'!C393</f>
        <v/>
      </c>
      <c r="OC1" t="str">
        <f>'Upload AXI - CONF'!C394</f>
        <v/>
      </c>
      <c r="OD1" t="str">
        <f>'Upload AXI - CONF'!C395</f>
        <v/>
      </c>
      <c r="OE1" t="str">
        <f>'Upload AXI - CONF'!C396</f>
        <v/>
      </c>
      <c r="OF1" t="str">
        <f>'Upload AXI - CONF'!C397</f>
        <v/>
      </c>
      <c r="OG1" t="str">
        <f>'Upload AXI - CONF'!C398</f>
        <v/>
      </c>
      <c r="OH1" t="str">
        <f>'Upload AXI - CONF'!C399</f>
        <v/>
      </c>
      <c r="OI1" t="str">
        <f>'Upload AXI - CONF'!C400</f>
        <v/>
      </c>
      <c r="OJ1" t="str">
        <f>'Upload AXI - CONF'!C401</f>
        <v/>
      </c>
      <c r="OK1" t="str">
        <f>'Upload AXI - CONF'!C402</f>
        <v/>
      </c>
      <c r="OL1" t="str">
        <f>'Upload AXI - CONF'!C403</f>
        <v/>
      </c>
      <c r="OM1" t="str">
        <f>'Upload AXI - CONF'!C404</f>
        <v/>
      </c>
      <c r="ON1" t="str">
        <f>'Upload AXI - CONF'!C405</f>
        <v/>
      </c>
      <c r="OO1" t="str">
        <f>'Upload AXI - CONF'!C406</f>
        <v/>
      </c>
      <c r="OP1" t="str">
        <f>'Upload AXI - CONF'!C407</f>
        <v/>
      </c>
      <c r="OQ1" t="str">
        <f>'Upload AXI - CONF'!C408</f>
        <v/>
      </c>
      <c r="OR1" t="str">
        <f>'Upload AXI - CONF'!C409</f>
        <v/>
      </c>
      <c r="OS1" t="str">
        <f>'Upload AXI - CONF'!C410</f>
        <v/>
      </c>
      <c r="OT1" t="str">
        <f>'Upload AXI - CONF'!C411</f>
        <v/>
      </c>
      <c r="OU1" t="str">
        <f>'Upload AXI - CONF'!C412</f>
        <v/>
      </c>
      <c r="OV1" t="str">
        <f>'Upload AXI - CONF'!C413</f>
        <v/>
      </c>
      <c r="OW1" t="str">
        <f>'Upload AXI - CONF'!C414</f>
        <v/>
      </c>
      <c r="OX1" t="str">
        <f>'Upload AXI - CONF'!C415</f>
        <v/>
      </c>
      <c r="OY1" t="str">
        <f>'Upload AXI - CONF'!C416</f>
        <v/>
      </c>
      <c r="OZ1" t="str">
        <f>'Upload AXI - CONF'!C417</f>
        <v/>
      </c>
      <c r="PA1" t="str">
        <f>'Upload AXI - CONF'!C418</f>
        <v/>
      </c>
      <c r="PB1" t="str">
        <f>'Upload AXI - CONF'!C419</f>
        <v/>
      </c>
      <c r="PC1" t="str">
        <f>'Upload AXI - CONF'!C420</f>
        <v/>
      </c>
      <c r="PD1" t="str">
        <f>'Upload AXI - CONF'!C421</f>
        <v/>
      </c>
      <c r="PE1" t="str">
        <f>'Upload AXI - CONF'!C422</f>
        <v/>
      </c>
      <c r="PF1" t="str">
        <f>'Upload AXI - CONF'!C423</f>
        <v/>
      </c>
      <c r="PG1" t="str">
        <f>'Upload AXI - CONF'!C424</f>
        <v/>
      </c>
      <c r="PH1" t="str">
        <f>'Upload AXI - CONF'!C425</f>
        <v/>
      </c>
      <c r="PI1" t="str">
        <f>'Upload AXI - CONF'!C426</f>
        <v/>
      </c>
      <c r="PJ1" t="str">
        <f>'Upload AXI - CONF'!C427</f>
        <v/>
      </c>
      <c r="PK1" t="str">
        <f>'Upload AXI - CONF'!C428</f>
        <v/>
      </c>
      <c r="PL1" t="str">
        <f>'Upload AXI - CONF'!C429</f>
        <v/>
      </c>
      <c r="PM1" t="str">
        <f>'Upload AXI - CONF'!C430</f>
        <v/>
      </c>
      <c r="PN1" t="str">
        <f>'Upload AXI - CONF'!C431</f>
        <v/>
      </c>
      <c r="PO1" t="str">
        <f>'Upload AXI - CONF'!C432</f>
        <v/>
      </c>
      <c r="PP1" t="str">
        <f>'Upload AXI - CONF'!C433</f>
        <v/>
      </c>
      <c r="PQ1" t="str">
        <f>'Upload AXI - CONF'!C434</f>
        <v/>
      </c>
      <c r="PR1" t="str">
        <f>'Upload AXI - CONF'!C435</f>
        <v/>
      </c>
      <c r="PS1" t="str">
        <f>'Upload AXI - CONF'!C436</f>
        <v/>
      </c>
      <c r="PT1" t="str">
        <f>'Upload AXI - CONF'!C437</f>
        <v/>
      </c>
      <c r="PU1" t="str">
        <f>'Upload AXI - CONF'!C438</f>
        <v/>
      </c>
      <c r="PV1" t="str">
        <f>'Upload AXI - CONF'!C439</f>
        <v/>
      </c>
      <c r="PW1" t="str">
        <f>'Upload AXI - CONF'!C440</f>
        <v/>
      </c>
      <c r="PX1" t="str">
        <f>'Upload AXI - CONF'!C441</f>
        <v/>
      </c>
      <c r="PY1" t="str">
        <f>'Upload AXI - CONF'!C442</f>
        <v/>
      </c>
      <c r="PZ1" t="str">
        <f>'Upload AXI - CONF'!C443</f>
        <v/>
      </c>
      <c r="QA1" t="str">
        <f>'Upload AXI - CONF'!C444</f>
        <v/>
      </c>
      <c r="QB1" t="str">
        <f>'Upload AXI - CONF'!C445</f>
        <v/>
      </c>
      <c r="QC1" t="str">
        <f>'Upload AXI - CONF'!C446</f>
        <v/>
      </c>
      <c r="QD1" t="str">
        <f>'Upload AXI - CONF'!C447</f>
        <v/>
      </c>
      <c r="QE1" t="str">
        <f>'Upload AXI - CONF'!C448</f>
        <v/>
      </c>
      <c r="QF1" t="str">
        <f>'Upload AXI - CONF'!C449</f>
        <v/>
      </c>
      <c r="QG1" t="str">
        <f>'Upload AXI - CONF'!C450</f>
        <v/>
      </c>
      <c r="QH1" t="str">
        <f>'Upload AXI - CONF'!C451</f>
        <v/>
      </c>
      <c r="QI1" t="str">
        <f>'Upload AXI - CONF'!C452</f>
        <v/>
      </c>
      <c r="QJ1" t="str">
        <f>'Upload AXI - CONF'!C453</f>
        <v/>
      </c>
      <c r="QK1" t="str">
        <f>'Upload AXI - CONF'!C454</f>
        <v/>
      </c>
      <c r="QL1" t="str">
        <f>'Upload AXI - CONF'!C455</f>
        <v/>
      </c>
      <c r="QM1" t="str">
        <f>'Upload AXI - CONF'!C456</f>
        <v/>
      </c>
      <c r="QN1" t="str">
        <f>'Upload AXI - CONF'!C457</f>
        <v/>
      </c>
      <c r="QO1" t="str">
        <f>'Upload AXI - CONF'!C458</f>
        <v/>
      </c>
      <c r="QP1" t="str">
        <f>'Upload AXI - CONF'!C459</f>
        <v/>
      </c>
      <c r="QQ1" t="str">
        <f>'Upload AXI - CONF'!C460</f>
        <v/>
      </c>
      <c r="QR1" t="str">
        <f>'Upload AXI - CONF'!C461</f>
        <v/>
      </c>
      <c r="QS1" t="str">
        <f>'Upload AXI - CONF'!C462</f>
        <v/>
      </c>
      <c r="QT1" t="str">
        <f>'Upload AXI - CONF'!C463</f>
        <v/>
      </c>
      <c r="QU1" t="str">
        <f>'Upload AXI - CONF'!C464</f>
        <v/>
      </c>
      <c r="QV1" t="str">
        <f>'Upload AXI - CONF'!C465</f>
        <v/>
      </c>
      <c r="QW1" t="str">
        <f>'Upload AXI - CONF'!C466</f>
        <v/>
      </c>
      <c r="QX1" t="str">
        <f>'Upload AXI - CONF'!C467</f>
        <v/>
      </c>
      <c r="QY1" t="str">
        <f>'Upload AXI - CONF'!C468</f>
        <v/>
      </c>
      <c r="QZ1" t="str">
        <f>'Upload AXI - CONF'!C469</f>
        <v/>
      </c>
      <c r="RA1" t="str">
        <f>'Upload AXI - CONF'!C470</f>
        <v/>
      </c>
      <c r="RB1" t="str">
        <f>'Upload AXI - CONF'!C471</f>
        <v/>
      </c>
      <c r="RC1" t="str">
        <f>'Upload AXI - CONF'!C472</f>
        <v/>
      </c>
      <c r="RD1" t="str">
        <f>'Upload AXI - CONF'!C473</f>
        <v/>
      </c>
      <c r="RE1" t="str">
        <f>'Upload AXI - CONF'!C474</f>
        <v/>
      </c>
      <c r="RF1" t="str">
        <f>'Upload AXI - CONF'!C475</f>
        <v/>
      </c>
      <c r="RG1" t="str">
        <f>'Upload AXI - CONF'!C476</f>
        <v/>
      </c>
      <c r="RH1" t="str">
        <f>'Upload AXI - CONF'!C477</f>
        <v/>
      </c>
      <c r="RI1" t="str">
        <f>'Upload AXI - CONF'!C478</f>
        <v/>
      </c>
      <c r="RJ1" t="str">
        <f>'Upload AXI - CONF'!C479</f>
        <v/>
      </c>
      <c r="RK1" t="str">
        <f>'Upload AXI - CONF'!C480</f>
        <v/>
      </c>
      <c r="RL1" t="str">
        <f>'Upload AXI - CONF'!C481</f>
        <v/>
      </c>
      <c r="RM1" t="str">
        <f>'Upload AXI - CONF'!C482</f>
        <v/>
      </c>
      <c r="RN1" t="str">
        <f>'Upload AXI - CONF'!C483</f>
        <v/>
      </c>
      <c r="RO1" t="str">
        <f>'Upload AXI - CONF'!C484</f>
        <v/>
      </c>
      <c r="RP1" t="str">
        <f>'Upload AXI - CONF'!C485</f>
        <v/>
      </c>
      <c r="RQ1" t="str">
        <f>'Upload AXI - CONF'!C486</f>
        <v/>
      </c>
      <c r="RR1" t="str">
        <f>'Upload AXI - CONF'!C487</f>
        <v/>
      </c>
      <c r="RS1" t="str">
        <f>'Upload AXI - CONF'!C488</f>
        <v/>
      </c>
      <c r="RT1" t="str">
        <f>'Upload AXI - CONF'!C489</f>
        <v/>
      </c>
      <c r="RU1" t="str">
        <f>'Upload AXI - CONF'!C490</f>
        <v/>
      </c>
      <c r="RV1" t="str">
        <f>'Upload AXI - CONF'!C491</f>
        <v/>
      </c>
      <c r="RW1" t="str">
        <f>'Upload AXI - CONF'!C492</f>
        <v/>
      </c>
      <c r="RX1" t="str">
        <f>'Upload AXI - CONF'!C493</f>
        <v/>
      </c>
      <c r="RY1" t="str">
        <f>'Upload AXI - CONF'!C494</f>
        <v/>
      </c>
      <c r="RZ1" t="str">
        <f>'Upload AXI - CONF'!C495</f>
        <v/>
      </c>
      <c r="SA1" t="str">
        <f>'Upload AXI - CONF'!C496</f>
        <v/>
      </c>
      <c r="SB1" t="str">
        <f>'Upload AXI - CONF'!C497</f>
        <v/>
      </c>
      <c r="SC1" t="str">
        <f>'Upload AXI - CONF'!C498</f>
        <v/>
      </c>
      <c r="SD1" t="str">
        <f>'Upload AXI - CONF'!C499</f>
        <v/>
      </c>
      <c r="SE1" t="str">
        <f>'Upload AXI - CONF'!C500</f>
        <v/>
      </c>
      <c r="SF1" t="str">
        <f>'Upload AXI - CONF'!C501</f>
        <v/>
      </c>
      <c r="SG1" t="str">
        <f>'Upload AXI - CONF'!C502</f>
        <v/>
      </c>
      <c r="SH1" t="str">
        <f>'Upload AXI - CONF'!C503</f>
        <v/>
      </c>
      <c r="SI1" t="str">
        <f>'Upload AXI - CONF'!C504</f>
        <v/>
      </c>
      <c r="SJ1" t="str">
        <f>'Upload AXI - CONF'!C505</f>
        <v/>
      </c>
      <c r="SK1" t="str">
        <f>'Upload AXI - CONF'!C506</f>
        <v/>
      </c>
      <c r="SL1" t="str">
        <f>'Upload AXI - CONF'!C507</f>
        <v/>
      </c>
      <c r="SM1" t="str">
        <f>'Upload AXI - CONF'!C508</f>
        <v/>
      </c>
      <c r="SN1" t="str">
        <f>'Upload AXI - CONF'!C509</f>
        <v/>
      </c>
      <c r="SO1" t="str">
        <f>'Upload AXI - CONF'!C510</f>
        <v/>
      </c>
      <c r="SP1" t="str">
        <f>'Upload AXI - CONF'!C511</f>
        <v/>
      </c>
      <c r="SQ1" t="str">
        <f>'Upload AXI - CONF'!C512</f>
        <v/>
      </c>
      <c r="SR1" t="str">
        <f>'Upload AXI - CONF'!C513</f>
        <v/>
      </c>
      <c r="SS1" t="str">
        <f>'Upload AXI - CONF'!C514</f>
        <v/>
      </c>
      <c r="ST1" t="str">
        <f>'Upload AXI - CONF'!C515</f>
        <v/>
      </c>
      <c r="SU1" t="str">
        <f>'Upload AXI - CONF'!C516</f>
        <v/>
      </c>
      <c r="SV1" t="str">
        <f>'Upload AXI - CONF'!C517</f>
        <v/>
      </c>
      <c r="SW1" t="str">
        <f>'Upload AXI - CONF'!C518</f>
        <v/>
      </c>
      <c r="SX1" t="str">
        <f>'Upload AXI - CONF'!C519</f>
        <v/>
      </c>
      <c r="SY1" t="str">
        <f>'Upload AXI - CONF'!C520</f>
        <v/>
      </c>
      <c r="SZ1" t="str">
        <f>'Upload AXI - CONF'!C521</f>
        <v/>
      </c>
      <c r="TA1" t="str">
        <f>'Upload AXI - CONF'!C522</f>
        <v/>
      </c>
      <c r="TB1" t="str">
        <f>'Upload AXI - CONF'!C523</f>
        <v/>
      </c>
      <c r="TC1" t="str">
        <f>'Upload AXI - CONF'!C524</f>
        <v/>
      </c>
      <c r="TD1" t="str">
        <f>'Upload AXI - CONF'!C525</f>
        <v/>
      </c>
      <c r="TE1" t="str">
        <f>'Upload AXI - CONF'!C526</f>
        <v/>
      </c>
      <c r="TF1" t="str">
        <f>'Upload AXI - CONF'!C527</f>
        <v/>
      </c>
      <c r="TG1" t="str">
        <f>'Upload AXI - CONF'!C528</f>
        <v/>
      </c>
      <c r="TH1" t="str">
        <f>'Upload AXI - CONF'!C529</f>
        <v/>
      </c>
      <c r="TI1" t="str">
        <f>'Upload AXI - CONF'!C530</f>
        <v/>
      </c>
      <c r="TJ1" t="str">
        <f>'Upload AXI - CONF'!C531</f>
        <v/>
      </c>
      <c r="TK1" t="str">
        <f>'Upload AXI - CONF'!C532</f>
        <v/>
      </c>
      <c r="TL1" t="str">
        <f>'Upload AXI - CONF'!C533</f>
        <v/>
      </c>
      <c r="TM1" t="str">
        <f>'Upload AXI - CONF'!C534</f>
        <v/>
      </c>
      <c r="TN1" t="str">
        <f>'Upload AXI - CONF'!C535</f>
        <v/>
      </c>
      <c r="TO1" t="str">
        <f>'Upload AXI - CONF'!C536</f>
        <v/>
      </c>
      <c r="TP1" t="str">
        <f>'Upload AXI - CONF'!C537</f>
        <v/>
      </c>
      <c r="TQ1" t="str">
        <f>'Upload AXI - CONF'!C538</f>
        <v/>
      </c>
      <c r="TR1" t="str">
        <f>'Upload AXI - CONF'!C539</f>
        <v/>
      </c>
      <c r="TS1" t="str">
        <f>'Upload AXI - CONF'!C540</f>
        <v/>
      </c>
      <c r="TT1" t="str">
        <f>'Upload AXI - CONF'!C541</f>
        <v/>
      </c>
      <c r="TU1" t="str">
        <f>'Upload AXI - CONF'!C542</f>
        <v/>
      </c>
      <c r="TV1" t="str">
        <f>'Upload AXI - CONF'!C543</f>
        <v/>
      </c>
      <c r="TW1" t="str">
        <f>'Upload AXI - CONF'!C544</f>
        <v/>
      </c>
      <c r="TX1" t="str">
        <f>'Upload AXI - CONF'!C545</f>
        <v/>
      </c>
      <c r="TY1" t="str">
        <f>'Upload AXI - CONF'!C546</f>
        <v/>
      </c>
      <c r="TZ1" t="str">
        <f>'Upload AXI - CONF'!C547</f>
        <v/>
      </c>
      <c r="UA1" t="str">
        <f>'Upload AXI - CONF'!C548</f>
        <v/>
      </c>
      <c r="UB1" t="str">
        <f>'Upload AXI - CONF'!C549</f>
        <v/>
      </c>
      <c r="UC1" t="str">
        <f>'Upload AXI - CONF'!C550</f>
        <v/>
      </c>
      <c r="UD1" t="str">
        <f>'Upload AXI - CONF'!C551</f>
        <v/>
      </c>
      <c r="UE1" t="str">
        <f>'Upload AXI - CONF'!C552</f>
        <v/>
      </c>
      <c r="UF1" t="str">
        <f>'Upload AXI - CONF'!C553</f>
        <v/>
      </c>
      <c r="UG1" t="str">
        <f>'Upload AXI - CONF'!C554</f>
        <v/>
      </c>
      <c r="UH1" t="str">
        <f>'Upload AXI - CONF'!C555</f>
        <v/>
      </c>
      <c r="UI1" t="str">
        <f>'Upload AXI - CONF'!C556</f>
        <v/>
      </c>
      <c r="UJ1" t="str">
        <f>'Upload AXI - CONF'!C557</f>
        <v/>
      </c>
      <c r="UK1" t="str">
        <f>'Upload AXI - CONF'!C558</f>
        <v/>
      </c>
      <c r="UL1" t="str">
        <f>'Upload AXI - CONF'!C559</f>
        <v/>
      </c>
      <c r="UM1" t="str">
        <f>'Upload AXI - CONF'!C560</f>
        <v/>
      </c>
      <c r="UN1" t="str">
        <f>'Upload AXI - CONF'!C561</f>
        <v/>
      </c>
      <c r="UO1" t="str">
        <f>'Upload AXI - CONF'!C562</f>
        <v/>
      </c>
      <c r="UP1" t="str">
        <f>'Upload AXI - CONF'!C563</f>
        <v/>
      </c>
      <c r="UQ1" t="str">
        <f>'Upload AXI - CONF'!C564</f>
        <v/>
      </c>
      <c r="UR1" t="str">
        <f>'Upload AXI - CONF'!C565</f>
        <v/>
      </c>
      <c r="US1" t="str">
        <f>'Upload AXI - CONF'!C566</f>
        <v/>
      </c>
      <c r="UT1" t="str">
        <f>'Upload AXI - CONF'!C567</f>
        <v/>
      </c>
      <c r="UU1" t="str">
        <f>'Upload AXI - CONF'!C568</f>
        <v/>
      </c>
      <c r="UV1" t="str">
        <f>'Upload AXI - CONF'!C569</f>
        <v/>
      </c>
      <c r="UW1" t="str">
        <f>'Upload AXI - CONF'!C570</f>
        <v/>
      </c>
      <c r="UX1" t="str">
        <f>'Upload AXI - CONF'!C571</f>
        <v/>
      </c>
      <c r="UY1" t="str">
        <f>'Upload AXI - CONF'!C572</f>
        <v/>
      </c>
      <c r="UZ1" t="str">
        <f>'Upload AXI - CONF'!C573</f>
        <v/>
      </c>
      <c r="VA1" t="str">
        <f>'Upload AXI - CONF'!C574</f>
        <v/>
      </c>
      <c r="VB1" t="str">
        <f>'Upload AXI - CONF'!C575</f>
        <v/>
      </c>
      <c r="VC1" t="str">
        <f>'Upload AXI - CONF'!C576</f>
        <v/>
      </c>
      <c r="VD1" t="str">
        <f>'Upload AXI - CONF'!C577</f>
        <v/>
      </c>
      <c r="VE1" t="str">
        <f>'Upload AXI - CONF'!C578</f>
        <v/>
      </c>
      <c r="VF1" t="str">
        <f>'Upload AXI - CONF'!C579</f>
        <v/>
      </c>
      <c r="VG1" t="str">
        <f>'Upload AXI - CONF'!C580</f>
        <v/>
      </c>
      <c r="VH1" t="str">
        <f>'Upload AXI - CONF'!C581</f>
        <v/>
      </c>
      <c r="VI1" t="str">
        <f>'Upload AXI - CONF'!C582</f>
        <v/>
      </c>
      <c r="VJ1" t="str">
        <f>'Upload AXI - CONF'!C583</f>
        <v/>
      </c>
      <c r="VK1" t="str">
        <f>'Upload AXI - CONF'!C584</f>
        <v/>
      </c>
      <c r="VL1" t="str">
        <f>'Upload AXI - CONF'!C585</f>
        <v/>
      </c>
      <c r="VM1" t="str">
        <f>'Upload AXI - CONF'!C586</f>
        <v/>
      </c>
      <c r="VN1" t="str">
        <f>'Upload AXI - CONF'!C587</f>
        <v/>
      </c>
      <c r="VO1" t="str">
        <f>'Upload AXI - CONF'!C588</f>
        <v/>
      </c>
      <c r="VP1" t="str">
        <f>'Upload AXI - CONF'!C589</f>
        <v/>
      </c>
      <c r="VQ1" t="str">
        <f>'Upload AXI - CONF'!C590</f>
        <v/>
      </c>
      <c r="VR1" t="str">
        <f>'Upload AXI - CONF'!C591</f>
        <v/>
      </c>
      <c r="VS1" t="str">
        <f>'Upload AXI - CONF'!C592</f>
        <v/>
      </c>
      <c r="VT1" t="str">
        <f>'Upload AXI - CONF'!C593</f>
        <v/>
      </c>
      <c r="VU1" t="str">
        <f>'Upload AXI - CONF'!C594</f>
        <v/>
      </c>
      <c r="VV1" t="str">
        <f>'Upload AXI - CONF'!C595</f>
        <v/>
      </c>
      <c r="VW1" t="str">
        <f>'Upload AXI - CONF'!C596</f>
        <v/>
      </c>
      <c r="VX1" t="str">
        <f>'Upload AXI - CONF'!C597</f>
        <v/>
      </c>
      <c r="VY1" t="str">
        <f>'Upload AXI - CONF'!C598</f>
        <v/>
      </c>
      <c r="VZ1" t="str">
        <f>'Upload AXI - CONF'!C599</f>
        <v/>
      </c>
      <c r="WA1" t="str">
        <f>'Upload AXI - CONF'!C600</f>
        <v/>
      </c>
      <c r="WB1" t="str">
        <f>'Upload AXI - CONF'!C601</f>
        <v/>
      </c>
      <c r="WC1" t="str">
        <f>'Upload AXI - CONF'!C602</f>
        <v/>
      </c>
      <c r="WD1" t="str">
        <f>'Upload AXI - CONF'!C603</f>
        <v/>
      </c>
      <c r="WE1" t="str">
        <f>'Upload AXI - CONF'!C604</f>
        <v/>
      </c>
      <c r="WF1" t="str">
        <f>'Upload AXI - CONF'!C605</f>
        <v/>
      </c>
      <c r="WG1" t="str">
        <f>'Upload AXI - CONF'!C606</f>
        <v/>
      </c>
      <c r="WH1" t="str">
        <f>'Upload AXI - CONF'!C607</f>
        <v/>
      </c>
      <c r="WI1" t="str">
        <f>'Upload AXI - CONF'!C608</f>
        <v/>
      </c>
      <c r="WJ1" t="str">
        <f>'Upload AXI - CONF'!C609</f>
        <v/>
      </c>
      <c r="WK1" t="str">
        <f>'Upload AXI - CONF'!C610</f>
        <v/>
      </c>
      <c r="WL1" t="str">
        <f>'Upload AXI - CONF'!C611</f>
        <v/>
      </c>
      <c r="WM1" t="str">
        <f>'Upload AXI - CONF'!C612</f>
        <v/>
      </c>
      <c r="WN1" t="str">
        <f>'Upload AXI - CONF'!C613</f>
        <v/>
      </c>
      <c r="WO1" t="str">
        <f>'Upload AXI - CONF'!C614</f>
        <v/>
      </c>
      <c r="WP1" t="str">
        <f>'Upload AXI - CONF'!C615</f>
        <v/>
      </c>
      <c r="WQ1" t="str">
        <f>'Upload AXI - CONF'!C616</f>
        <v/>
      </c>
      <c r="WR1" t="str">
        <f>'Upload AXI - CONF'!C617</f>
        <v/>
      </c>
      <c r="WS1" t="str">
        <f>'Upload AXI - CONF'!C618</f>
        <v/>
      </c>
      <c r="WT1" t="str">
        <f>'Upload AXI - CONF'!C619</f>
        <v/>
      </c>
      <c r="WU1" t="str">
        <f>'Upload AXI - CONF'!C620</f>
        <v/>
      </c>
      <c r="WV1" t="str">
        <f>'Upload AXI - CONF'!C621</f>
        <v/>
      </c>
      <c r="WW1" t="str">
        <f>'Upload AXI - CONF'!C622</f>
        <v/>
      </c>
      <c r="WX1" t="str">
        <f>'Upload AXI - CONF'!C623</f>
        <v/>
      </c>
      <c r="WY1" t="str">
        <f>'Upload AXI - CONF'!C624</f>
        <v/>
      </c>
      <c r="WZ1" t="str">
        <f>'Upload AXI - CONF'!C625</f>
        <v/>
      </c>
      <c r="XA1" t="str">
        <f>'Upload AXI - CONF'!C626</f>
        <v/>
      </c>
      <c r="XB1" t="str">
        <f>'Upload AXI - CONF'!C627</f>
        <v/>
      </c>
      <c r="XC1" t="str">
        <f>'Upload AXI - CONF'!C628</f>
        <v/>
      </c>
      <c r="XD1" t="str">
        <f>'Upload AXI - CONF'!C629</f>
        <v/>
      </c>
      <c r="XE1" t="str">
        <f>'Upload AXI - CONF'!C630</f>
        <v/>
      </c>
      <c r="XF1" t="str">
        <f>'Upload AXI - CONF'!C631</f>
        <v/>
      </c>
      <c r="XG1" t="str">
        <f>'Upload AXI - CONF'!C632</f>
        <v/>
      </c>
      <c r="XH1" t="str">
        <f>'Upload AXI - CONF'!C633</f>
        <v/>
      </c>
      <c r="XI1" t="str">
        <f>'Upload AXI - CONF'!C634</f>
        <v/>
      </c>
      <c r="XJ1" t="str">
        <f>'Upload AXI - CONF'!C635</f>
        <v/>
      </c>
      <c r="XK1" t="str">
        <f>'Upload AXI - CONF'!C636</f>
        <v/>
      </c>
      <c r="XL1" t="str">
        <f>'Upload AXI - CONF'!C637</f>
        <v/>
      </c>
      <c r="XM1" t="str">
        <f>'Upload AXI - CONF'!C638</f>
        <v/>
      </c>
      <c r="XN1" t="str">
        <f>'Upload AXI - CONF'!C639</f>
        <v/>
      </c>
      <c r="XO1" t="str">
        <f>'Upload AXI - CONF'!C640</f>
        <v/>
      </c>
      <c r="XP1" t="str">
        <f>'Upload AXI - CONF'!C641</f>
        <v/>
      </c>
      <c r="XQ1" t="str">
        <f>'Upload AXI - CONF'!C642</f>
        <v/>
      </c>
      <c r="XR1" t="str">
        <f>'Upload AXI - CONF'!C643</f>
        <v/>
      </c>
      <c r="XS1" t="str">
        <f>'Upload AXI - CONF'!C644</f>
        <v/>
      </c>
      <c r="XT1" t="str">
        <f>'Upload AXI - CONF'!C645</f>
        <v/>
      </c>
      <c r="XU1" t="str">
        <f>'Upload AXI - CONF'!C646</f>
        <v>Object.BTAD.FlexBTA50</v>
      </c>
      <c r="XV1" t="str">
        <f>'Upload AXI - CONF'!C647</f>
        <v>Object.BTAD.FlexBTA51</v>
      </c>
      <c r="XW1" t="str">
        <f>'Upload AXI - CONF'!C648</f>
        <v>Object.BTAD.FlexBTA3</v>
      </c>
      <c r="XX1" t="str">
        <f>'Upload AXI - CONF'!C650</f>
        <v>Object.BTAD.FlexBTA4</v>
      </c>
      <c r="XY1" t="str">
        <f>'Upload AXI - CONF'!C651</f>
        <v>Object.BTAD.FlexBTA5</v>
      </c>
      <c r="XZ1" t="str">
        <f>'Upload AXI - CONF'!C652</f>
        <v>Object.BTAD.FlexBTA9</v>
      </c>
      <c r="YA1" t="str">
        <f>'Upload AXI - CONF'!C653</f>
        <v>Object.BTAD.FlexBTA10</v>
      </c>
      <c r="YB1" t="str">
        <f>'Upload AXI - CONF'!C654</f>
        <v>Object.BTAD.FlexO011</v>
      </c>
      <c r="YC1" t="str">
        <f>'Upload AXI - CONF'!C655</f>
        <v>Object.BTAD.FlexBTA8</v>
      </c>
      <c r="YD1" t="str">
        <f>'Upload AXI - CONF'!C656</f>
        <v>Object.BTAD.FlexBTA52</v>
      </c>
      <c r="YE1" t="str">
        <f>'Upload AXI - CONF'!C657</f>
        <v>Object.BTAD.FlexBTA12</v>
      </c>
      <c r="YF1" t="str">
        <f>'Upload AXI - CONF'!C658</f>
        <v/>
      </c>
      <c r="YG1" t="str">
        <f>'Upload AXI - CONF'!C659</f>
        <v>Object.BTAD.FlexVO12bis</v>
      </c>
      <c r="YH1" t="str">
        <f>'Upload AXI - CONF'!C660</f>
        <v>Object.BTAD.FlexVO511</v>
      </c>
      <c r="YI1" t="str">
        <f>'Upload AXI - CONF'!C661</f>
        <v>Object.BTAD.FlexVO511T</v>
      </c>
      <c r="YJ1" t="str">
        <f>'Upload AXI - CONF'!C662</f>
        <v>Object.BTAD.FlexVO511B</v>
      </c>
      <c r="YK1" t="str">
        <f>'Upload AXI - CONF'!C663</f>
        <v>Object.BTAD.FlexVO512</v>
      </c>
      <c r="YL1" t="str">
        <f>'Upload AXI - CONF'!C664</f>
        <v>Object.BTAD.FlexVO512T</v>
      </c>
      <c r="YM1" t="str">
        <f>'Upload AXI - CONF'!C665</f>
        <v>Object.BTAD.FlexVO512B</v>
      </c>
      <c r="YN1" t="str">
        <f>'Upload AXI - CONF'!C666</f>
        <v>Object.BTAD.FlexVO513</v>
      </c>
      <c r="YO1" t="str">
        <f>'Upload AXI - CONF'!C667</f>
        <v>Object.BTAD.FlexVO513T</v>
      </c>
      <c r="YP1" t="str">
        <f>'Upload AXI - CONF'!C668</f>
        <v>Object.BTAD.FlexVO513B</v>
      </c>
      <c r="YQ1" t="str">
        <f>'Upload AXI - CONF'!C669</f>
        <v>Object.BTAD.FlexVO514</v>
      </c>
      <c r="YR1" t="str">
        <f>'Upload AXI - CONF'!C670</f>
        <v>Object.BTAD.FlexVO514T</v>
      </c>
      <c r="YS1" t="str">
        <f>'Upload AXI - CONF'!C671</f>
        <v>Object.BTAD.FlexVO514B</v>
      </c>
      <c r="YT1" t="str">
        <f>'Upload AXI - CONF'!C672</f>
        <v>Object.BTAD.FlexVO12tri</v>
      </c>
      <c r="YU1" t="str">
        <f>'Upload AXI - CONF'!C673</f>
        <v>Object.BTAD.FlexVO521</v>
      </c>
      <c r="YV1" t="str">
        <f>'Upload AXI - CONF'!C674</f>
        <v>Object.BTAD.FlexVO521T</v>
      </c>
      <c r="YW1" t="str">
        <f>'Upload AXI - CONF'!C675</f>
        <v>Object.BTAD.FlexVO521B</v>
      </c>
      <c r="YX1" t="str">
        <f>'Upload AXI - CONF'!C676</f>
        <v>Object.BTAD.FlexVO522</v>
      </c>
      <c r="YY1" t="str">
        <f>'Upload AXI - CONF'!C677</f>
        <v>Object.BTAD.FlexVO522T</v>
      </c>
      <c r="YZ1" t="str">
        <f>'Upload AXI - CONF'!C678</f>
        <v>Object.BTAD.FlexVO522B</v>
      </c>
      <c r="ZA1" t="str">
        <f>'Upload AXI - CONF'!C679</f>
        <v>Object.BTAD.FlexVO523</v>
      </c>
      <c r="ZB1" t="str">
        <f>'Upload AXI - CONF'!C680</f>
        <v>Object.BTAD.FlexVO523T</v>
      </c>
      <c r="ZC1" t="str">
        <f>'Upload AXI - CONF'!C681</f>
        <v>Object.BTAD.FlexVO523B</v>
      </c>
      <c r="ZD1" t="str">
        <f>'Upload AXI - CONF'!C682</f>
        <v>Object.BTAD.FlexVO524</v>
      </c>
      <c r="ZE1" t="str">
        <f>'Upload AXI - CONF'!C683</f>
        <v>Object.BTAD.FlexVO524T</v>
      </c>
      <c r="ZF1" t="str">
        <f>'Upload AXI - CONF'!C684</f>
        <v>Object.BTAD.FlexVO524B</v>
      </c>
      <c r="ZG1" t="str">
        <f>'Upload AXI - CONF'!C685</f>
        <v>Object.BTAD.FlexVO12quat</v>
      </c>
      <c r="ZH1" t="str">
        <f>'Upload AXI - CONF'!C686</f>
        <v>Object.BTAD.FlexVO531</v>
      </c>
      <c r="ZI1" t="str">
        <f>'Upload AXI - CONF'!C687</f>
        <v>Object.BTAD.FlexVO531T</v>
      </c>
      <c r="ZJ1" t="str">
        <f>'Upload AXI - CONF'!C688</f>
        <v>Object.BTAD.FlexVO531B</v>
      </c>
      <c r="ZK1" t="str">
        <f>'Upload AXI - CONF'!C689</f>
        <v>Object.BTAD.FlexVO532</v>
      </c>
      <c r="ZL1" t="str">
        <f>'Upload AXI - CONF'!C690</f>
        <v>Object.BTAD.FlexVO532T</v>
      </c>
      <c r="ZM1" t="str">
        <f>'Upload AXI - CONF'!C691</f>
        <v>Object.BTAD.FlexVO532B</v>
      </c>
      <c r="ZN1" t="str">
        <f>'Upload AXI - CONF'!C692</f>
        <v>Object.BTAD.FlexVO533</v>
      </c>
      <c r="ZO1" t="str">
        <f>'Upload AXI - CONF'!C693</f>
        <v>Object.BTAD.FlexVO533T</v>
      </c>
      <c r="ZP1" t="str">
        <f>'Upload AXI - CONF'!C694</f>
        <v>Object.BTAD.FlexVO533B</v>
      </c>
      <c r="ZQ1" t="str">
        <f>'Upload AXI - CONF'!C695</f>
        <v>Object.BTAD.FlexVO534</v>
      </c>
      <c r="ZR1" t="str">
        <f>'Upload AXI - CONF'!C696</f>
        <v>Object.BTAD.FlexVO534T</v>
      </c>
      <c r="ZS1" t="str">
        <f>'Upload AXI - CONF'!C697</f>
        <v>Object.BTAD.FlexVO534B</v>
      </c>
      <c r="ZT1" t="str">
        <f>'Upload AXI - CONF'!C698</f>
        <v/>
      </c>
      <c r="ZU1" t="str">
        <f>'Upload AXI - CONF'!C699</f>
        <v/>
      </c>
      <c r="ZV1" t="str">
        <f>'Upload AXI - CONF'!C700</f>
        <v/>
      </c>
      <c r="ZW1" t="str">
        <f>'Upload AXI - CONF'!C701</f>
        <v/>
      </c>
      <c r="ZX1" t="str">
        <f>'Upload AXI - CONF'!C704</f>
        <v/>
      </c>
      <c r="ZY1" t="str">
        <f>'Upload AXI - CONF'!C705</f>
        <v/>
      </c>
      <c r="ZZ1" t="str">
        <f>'Upload AXI - CONF'!C706</f>
        <v/>
      </c>
      <c r="AAA1" t="str">
        <f>'Upload AXI - CONF'!C707</f>
        <v/>
      </c>
      <c r="AAB1" t="str">
        <f>'Upload AXI - CONF'!C708</f>
        <v/>
      </c>
      <c r="AAC1" t="str">
        <f>'Upload AXI - CONF'!C709</f>
        <v/>
      </c>
      <c r="AAD1" t="str">
        <f>'Upload AXI - CONF'!C710</f>
        <v/>
      </c>
      <c r="AAE1" t="str">
        <f>'Upload AXI - CONF'!C711</f>
        <v/>
      </c>
      <c r="AAF1" t="str">
        <f>'Upload AXI - CONF'!C712</f>
        <v/>
      </c>
      <c r="AAG1" t="str">
        <f>'Upload AXI - CONF'!C713</f>
        <v/>
      </c>
      <c r="AAH1" t="str">
        <f>'Upload AXI - CONF'!C714</f>
        <v/>
      </c>
      <c r="AAI1" t="str">
        <f>'Upload AXI - CONF'!C715</f>
        <v/>
      </c>
      <c r="AAJ1" t="str">
        <f>'Upload AXI - CONF'!C716</f>
        <v/>
      </c>
      <c r="AAK1" t="str">
        <f>'Upload AXI - CONF'!C717</f>
        <v/>
      </c>
      <c r="AAL1" t="str">
        <f>'Upload AXI - CONF'!C718</f>
        <v/>
      </c>
      <c r="AAM1" t="str">
        <f>'Upload AXI - CONF'!C719</f>
        <v/>
      </c>
      <c r="AAN1" t="str">
        <f>'Upload AXI - CONF'!C720</f>
        <v/>
      </c>
      <c r="AAO1" t="str">
        <f>'Upload AXI - CONF'!C721</f>
        <v/>
      </c>
      <c r="AAP1" t="str">
        <f>'Upload AXI - CONF'!C722</f>
        <v/>
      </c>
      <c r="AAQ1" t="str">
        <f>'Upload AXI - CONF'!C723</f>
        <v/>
      </c>
      <c r="AAR1" t="str">
        <f>'Upload AXI - CONF'!C724</f>
        <v/>
      </c>
      <c r="AAS1" t="str">
        <f>'Upload AXI - CONF'!C725</f>
        <v/>
      </c>
      <c r="AAT1" t="str">
        <f>'Upload AXI - CONF'!C726</f>
        <v/>
      </c>
      <c r="AAU1" t="str">
        <f>'Upload AXI - CONF'!C727</f>
        <v/>
      </c>
      <c r="AAV1" t="str">
        <f>'Upload AXI - CONF'!C728</f>
        <v/>
      </c>
      <c r="AAW1" t="str">
        <f>'Upload AXI - CONF'!C729</f>
        <v/>
      </c>
      <c r="AAX1" t="str">
        <f>'Upload AXI - CONF'!C730</f>
        <v/>
      </c>
      <c r="AAY1" t="str">
        <f>'Upload AXI - CONF'!C731</f>
        <v/>
      </c>
      <c r="AAZ1" t="str">
        <f>'Upload AXI - CONF'!C732</f>
        <v/>
      </c>
      <c r="ABA1" t="str">
        <f>'Upload AXI - CONF'!C733</f>
        <v/>
      </c>
      <c r="ABB1" t="str">
        <f>'Upload AXI - CONF'!C734</f>
        <v/>
      </c>
      <c r="ABC1" t="str">
        <f>'Upload AXI - CONF'!C735</f>
        <v/>
      </c>
      <c r="ABD1" t="str">
        <f>'Upload AXI - CONF'!C736</f>
        <v/>
      </c>
      <c r="ABE1" t="str">
        <f>'Upload AXI - CONF'!C737</f>
        <v/>
      </c>
      <c r="ABF1" t="str">
        <f>'Upload AXI - CONF'!C738</f>
        <v/>
      </c>
      <c r="ABG1" t="str">
        <f>'Upload AXI - CONF'!C739</f>
        <v/>
      </c>
      <c r="ABH1" t="str">
        <f>'Upload AXI - CONF'!C740</f>
        <v/>
      </c>
      <c r="ABI1" t="str">
        <f>'Upload AXI - CONF'!C741</f>
        <v/>
      </c>
      <c r="ABJ1" t="str">
        <f>'Upload AXI - CONF'!C742</f>
        <v/>
      </c>
      <c r="ABK1" t="str">
        <f>'Upload AXI - CONF'!C743</f>
        <v/>
      </c>
      <c r="ABL1" t="str">
        <f>'Upload AXI - CONF'!C744</f>
        <v/>
      </c>
      <c r="ABM1" t="str">
        <f>'Upload AXI - CONF'!C745</f>
        <v/>
      </c>
      <c r="ABN1" t="str">
        <f>'Upload AXI - CONF'!C746</f>
        <v/>
      </c>
      <c r="ABO1" t="str">
        <f>'Upload AXI - CONF'!C747</f>
        <v/>
      </c>
      <c r="ABP1" t="str">
        <f>'Upload AXI - CONF'!C748</f>
        <v/>
      </c>
      <c r="ABQ1" t="str">
        <f>'Upload AXI - CONF'!C749</f>
        <v/>
      </c>
      <c r="ABR1" t="str">
        <f>'Upload AXI - CONF'!C750</f>
        <v/>
      </c>
      <c r="ABS1" t="str">
        <f>'Upload AXI - CONF'!C751</f>
        <v/>
      </c>
      <c r="ABT1" t="str">
        <f>'Upload AXI - CONF'!C752</f>
        <v/>
      </c>
      <c r="ABU1" t="str">
        <f>'Upload AXI - CONF'!C753</f>
        <v/>
      </c>
      <c r="ABV1" t="str">
        <f>'Upload AXI - CONF'!C754</f>
        <v>Dossier.FlexEA45</v>
      </c>
      <c r="ABW1" t="str">
        <f>'Upload AXI - CONF'!C755</f>
        <v/>
      </c>
      <c r="ABX1" t="str">
        <f>'Upload AXI - CONF'!C756</f>
        <v/>
      </c>
      <c r="ABY1" t="str">
        <f>'Upload AXI - CONF'!C757</f>
        <v/>
      </c>
      <c r="ABZ1" t="str">
        <f>'Upload AXI - CONF'!C758</f>
        <v>Dossier.FlexB888</v>
      </c>
      <c r="ACA1" t="str">
        <f>'Upload AXI - CONF'!C759</f>
        <v/>
      </c>
      <c r="ACB1" t="str">
        <f>'Upload AXI - CONF'!C760</f>
        <v>Dossier.FlexAO406</v>
      </c>
      <c r="ACC1" t="str">
        <f>'Upload AXI - CONF'!C761</f>
        <v>Dossier.FlexAO407</v>
      </c>
      <c r="ACD1" t="str">
        <f>'Upload AXI - CONF'!C762</f>
        <v>Dossier.FlexAO408</v>
      </c>
      <c r="ACE1" t="str">
        <f>'Upload AXI - CONF'!C763</f>
        <v/>
      </c>
      <c r="ACF1" t="str">
        <f>'Upload AXI - CONF'!C764</f>
        <v/>
      </c>
      <c r="ACG1" t="str">
        <f>'Upload AXI - CONF'!C765</f>
        <v/>
      </c>
      <c r="ACH1" t="str">
        <f>'Upload AXI - CONF'!C766</f>
        <v>Dossier.FlexAO409</v>
      </c>
      <c r="ACI1" t="str">
        <f>'Upload AXI - CONF'!C767</f>
        <v>Object.RAM[Z1K1].FlexAO403</v>
      </c>
      <c r="ACJ1" t="str">
        <f>'Upload AXI - CONF'!C768</f>
        <v>Object.RAM[Z1K1].FlexAO404</v>
      </c>
      <c r="ACK1" t="str">
        <f>'Upload AXI - CONF'!C769</f>
        <v>Object.RAM[Z1K1].FlexAO405</v>
      </c>
      <c r="ACL1" t="str">
        <f>'Upload AXI - CONF'!C770</f>
        <v>Object.RAM[Z1K2].FlexAO403</v>
      </c>
      <c r="ACM1" t="str">
        <f>'Upload AXI - CONF'!C771</f>
        <v>Object.RAM[Z1K2].FlexAO404</v>
      </c>
      <c r="ACN1" t="str">
        <f>'Upload AXI - CONF'!C772</f>
        <v>Object.RAM[Z1K2].FlexAO405</v>
      </c>
      <c r="ACO1" t="str">
        <f>'Upload AXI - CONF'!C773</f>
        <v>Object.RAM[Z1K3].FlexAO403</v>
      </c>
      <c r="ACP1" t="str">
        <f>'Upload AXI - CONF'!C774</f>
        <v>Object.RAM[Z1K3].FlexAO404</v>
      </c>
      <c r="ACQ1" t="str">
        <f>'Upload AXI - CONF'!C775</f>
        <v>Object.RAM[Z1K3].FlexAO405</v>
      </c>
      <c r="ACR1" t="str">
        <f>'Upload AXI - CONF'!C776</f>
        <v>Object.RAM[Z1K4].FlexAO403</v>
      </c>
      <c r="ACS1" t="str">
        <f>'Upload AXI - CONF'!C777</f>
        <v>Object.RAM[Z1K4].FlexAO404</v>
      </c>
      <c r="ACT1" t="str">
        <f>'Upload AXI - CONF'!C778</f>
        <v>Object.RAM[Z1K4].FlexAO405</v>
      </c>
      <c r="ACU1" t="str">
        <f>'Upload AXI - CONF'!C779</f>
        <v>Object.RAM[Z2K1].FlexAO403</v>
      </c>
      <c r="ACV1" t="str">
        <f>'Upload AXI - CONF'!C780</f>
        <v>Object.RAM[Z2K1].FlexAO404</v>
      </c>
      <c r="ACW1" t="str">
        <f>'Upload AXI - CONF'!C781</f>
        <v>Object.RAM[Z2K1].FlexAO405</v>
      </c>
      <c r="ACX1" t="str">
        <f>'Upload AXI - CONF'!C782</f>
        <v>Object.RAM[Z2K2].FlexAO403</v>
      </c>
      <c r="ACY1" t="str">
        <f>'Upload AXI - CONF'!C783</f>
        <v>Object.RAM[Z2K2].FlexAO404</v>
      </c>
      <c r="ACZ1" t="str">
        <f>'Upload AXI - CONF'!C784</f>
        <v>Object.RAM[Z2K2].FlexAO405</v>
      </c>
      <c r="ADA1" t="str">
        <f>'Upload AXI - CONF'!C785</f>
        <v>Object.RAM[Z2K3].FlexAO403</v>
      </c>
      <c r="ADB1" t="str">
        <f>'Upload AXI - CONF'!C786</f>
        <v>Object.RAM[Z2K3].FlexAO404</v>
      </c>
      <c r="ADC1" t="str">
        <f>'Upload AXI - CONF'!C787</f>
        <v>Object.RAM[Z2K3].FlexAO405</v>
      </c>
      <c r="ADD1" t="str">
        <f>'Upload AXI - CONF'!C788</f>
        <v>Object.RAM[Z2K4].FlexAO403</v>
      </c>
      <c r="ADE1" t="str">
        <f>'Upload AXI - CONF'!C789</f>
        <v>Object.RAM[Z2K4].FlexAO404</v>
      </c>
      <c r="ADF1" t="str">
        <f>'Upload AXI - CONF'!C790</f>
        <v>Object.RAM[Z2K4].FlexAO405</v>
      </c>
      <c r="ADG1" t="str">
        <f>'Upload AXI - CONF'!C791</f>
        <v>Object.RAM[Z3K1].FlexAO403</v>
      </c>
      <c r="ADH1" t="str">
        <f>'Upload AXI - CONF'!C792</f>
        <v>Object.RAM[Z3K1].FlexAO404</v>
      </c>
      <c r="ADI1" t="str">
        <f>'Upload AXI - CONF'!C793</f>
        <v>Object.RAM[Z3K1].FlexAO405</v>
      </c>
      <c r="ADJ1" t="str">
        <f>'Upload AXI - CONF'!C794</f>
        <v>Object.RAM[Z3K2].FlexAO403</v>
      </c>
      <c r="ADK1" t="str">
        <f>'Upload AXI - CONF'!C795</f>
        <v>Object.RAM[Z3K2].FlexAO404</v>
      </c>
      <c r="ADL1" t="str">
        <f>'Upload AXI - CONF'!C796</f>
        <v>Object.RAM[Z3K2].FlexAO405</v>
      </c>
      <c r="ADM1" t="str">
        <f>'Upload AXI - CONF'!C797</f>
        <v>Object.RAM[Z3K3].FlexAO403</v>
      </c>
      <c r="ADN1" t="str">
        <f>'Upload AXI - CONF'!C798</f>
        <v>Object.RAM[Z3K3].FlexAO404</v>
      </c>
      <c r="ADO1" t="str">
        <f>'Upload AXI - CONF'!C799</f>
        <v>Object.RAM[Z3K3].FlexAO405</v>
      </c>
      <c r="ADP1" t="str">
        <f>'Upload AXI - CONF'!C800</f>
        <v>Object.RAM[Z3K4].FlexAO403</v>
      </c>
      <c r="ADQ1" t="str">
        <f>'Upload AXI - CONF'!C801</f>
        <v>Object.RAM[Z3K4].FlexAO404</v>
      </c>
      <c r="ADR1" t="str">
        <f>'Upload AXI - CONF'!C802</f>
        <v>Object.RAM[Z3K4].FlexAO405</v>
      </c>
      <c r="ADS1" t="str">
        <f>'Upload AXI - CONF'!C803</f>
        <v/>
      </c>
      <c r="ADT1" t="str">
        <f>'Upload AXI - CONF'!C804</f>
        <v/>
      </c>
      <c r="ADU1" t="str">
        <f>'Upload AXI - CONF'!C805</f>
        <v/>
      </c>
      <c r="ADV1" t="str">
        <f>'Upload AXI - CONF'!C806</f>
        <v/>
      </c>
      <c r="ADW1" t="str">
        <f>'Upload AXI - CONF'!C807</f>
        <v/>
      </c>
      <c r="ADX1" t="str">
        <f>'Upload AXI - CONF'!C808</f>
        <v/>
      </c>
      <c r="ADY1" t="str">
        <f>'Upload AXI - CONF'!C809</f>
        <v/>
      </c>
      <c r="ADZ1" t="str">
        <f>'Upload AXI - CONF'!C810</f>
        <v/>
      </c>
      <c r="AEA1" t="str">
        <f>'Upload AXI - CONF'!C811</f>
        <v/>
      </c>
      <c r="AEB1" t="str">
        <f>'Upload AXI - CONF'!C812</f>
        <v/>
      </c>
      <c r="AEC1" t="str">
        <f>'Upload AXI - CONF'!C813</f>
        <v/>
      </c>
      <c r="AED1" t="str">
        <f>'Upload AXI - CONF'!C814</f>
        <v/>
      </c>
      <c r="AEE1" t="str">
        <f>'Upload AXI - CONF'!C815</f>
        <v/>
      </c>
      <c r="AEF1" t="str">
        <f>'Upload AXI - CONF'!C816</f>
        <v/>
      </c>
      <c r="AEG1" t="str">
        <f>'Upload AXI - CONF'!C817</f>
        <v/>
      </c>
      <c r="AEH1" t="str">
        <f>'Upload AXI - CONF'!C818</f>
        <v/>
      </c>
      <c r="AEI1" t="str">
        <f>'Upload AXI - CONF'!C819</f>
        <v/>
      </c>
      <c r="AEJ1" t="str">
        <f>'Upload AXI - CONF'!C820</f>
        <v/>
      </c>
      <c r="AEK1" t="str">
        <f>'Upload AXI - CONF'!C821</f>
        <v/>
      </c>
      <c r="AEL1" t="str">
        <f>'Upload AXI - CONF'!C822</f>
        <v/>
      </c>
      <c r="AEM1" t="str">
        <f>'Upload AXI - CONF'!C823</f>
        <v/>
      </c>
      <c r="AEN1" t="str">
        <f>'Upload AXI - CONF'!C824</f>
        <v/>
      </c>
      <c r="AEO1" t="str">
        <f>'Upload AXI - CONF'!C825</f>
        <v/>
      </c>
      <c r="AEP1" t="str">
        <f>'Upload AXI - CONF'!C826</f>
        <v/>
      </c>
      <c r="AEQ1" t="str">
        <f>'Upload AXI - CONF'!C827</f>
        <v/>
      </c>
      <c r="AER1" t="str">
        <f>'Upload AXI - CONF'!C828</f>
        <v/>
      </c>
      <c r="AES1" t="str">
        <f>'Upload AXI - CONF'!C829</f>
        <v/>
      </c>
      <c r="AET1" t="str">
        <f>'Upload AXI - CONF'!C830</f>
        <v/>
      </c>
      <c r="AEU1" t="str">
        <f>'Upload AXI - CONF'!C831</f>
        <v/>
      </c>
      <c r="AEV1" t="str">
        <f>'Upload AXI - CONF'!C832</f>
        <v/>
      </c>
      <c r="AEW1" t="str">
        <f>'Upload AXI - CONF'!C833</f>
        <v/>
      </c>
      <c r="AEX1" t="str">
        <f>'Upload AXI - CONF'!C834</f>
        <v/>
      </c>
      <c r="AEY1" t="str">
        <f>'Upload AXI - CONF'!C835</f>
        <v/>
      </c>
      <c r="AEZ1" t="str">
        <f>'Upload AXI - CONF'!C836</f>
        <v/>
      </c>
      <c r="AFA1" t="str">
        <f>'Upload AXI - CONF'!C837</f>
        <v/>
      </c>
      <c r="AFB1" t="str">
        <f>'Upload AXI - CONF'!C838</f>
        <v/>
      </c>
      <c r="AFC1" t="str">
        <f>'Upload AXI - CONF'!C195</f>
        <v>Object.RAM[Z3K2].FlexA091</v>
      </c>
      <c r="AFD1" t="str">
        <f>'Upload AXI - CONF'!C196</f>
        <v>Object.RAM[Z3K2].FlexA097</v>
      </c>
      <c r="AFE1" t="str">
        <f>'Upload AXI - CONF'!C198</f>
        <v>Object.RAM[Z3K2].FlexAO001</v>
      </c>
      <c r="AFF1" t="str">
        <f>'Upload AXI - CONF'!C199</f>
        <v>Object.RAM[Z3K2].FlexA062</v>
      </c>
      <c r="AFG1" t="str">
        <f>'Upload AXI - CONF'!C200</f>
        <v>Object.RAM[Z3K2].FlexAO002</v>
      </c>
      <c r="AFH1" t="str">
        <f>'Upload AXI - CONF'!C201</f>
        <v>Object.RAM[Z3K2].FlexAO003</v>
      </c>
      <c r="AFI1" t="str">
        <f>'Upload AXI - CONF'!C202</f>
        <v>Object.RAM[Z3K2].FlexA101</v>
      </c>
      <c r="AFJ1" t="str">
        <f>'Upload AXI - CONF'!C203</f>
        <v>Object.RAM[Z3K2].FlexAO004</v>
      </c>
      <c r="AFK1" t="str">
        <f>'Upload AXI - CONF'!C204</f>
        <v>Object.RAM[Z3K2].FlexAO005</v>
      </c>
      <c r="AFL1" t="str">
        <f>'Upload AXI - CONF'!C205</f>
        <v>Object.RAM[Z3K3].FlexA098</v>
      </c>
      <c r="AFM1" t="str">
        <f>'Upload AXI - CONF'!C206</f>
        <v>Object.RAM[Z3K3].FlexA087</v>
      </c>
      <c r="AFN1" t="str">
        <f>'Upload AXI - CONF'!C207</f>
        <v>Object.RAM[Z3K3].FlexA088</v>
      </c>
      <c r="AFO1" t="str">
        <f>'Upload AXI - CONF'!C208</f>
        <v>Object.RAM[Z3K3].FlexA089</v>
      </c>
      <c r="AFP1" t="str">
        <f>'Upload AXI - CONF'!C209</f>
        <v>Object.RAM[Z3K3].FlexA102</v>
      </c>
      <c r="AFQ1" t="str">
        <f>'Upload AXI - CONF'!C210</f>
        <v>Object.RAM[Z3K3].FlexA090</v>
      </c>
      <c r="AFR1" t="str">
        <f>'Upload AXI - CONF'!C211</f>
        <v>Object.RAM[Z3K3].FlexA091</v>
      </c>
      <c r="AFS1" t="str">
        <f>'Upload AXI - CONF'!C212</f>
        <v>Object.RAM[Z3K3].FlexA097</v>
      </c>
      <c r="AFT1" t="str">
        <f>'Upload AXI - CONF'!C214</f>
        <v>Object.RAM[Z3K3].FlexAO001</v>
      </c>
      <c r="AFU1" t="str">
        <f>'Upload AXI - CONF'!C215</f>
        <v>Object.RAM[Z3K3].FlexA062</v>
      </c>
      <c r="AFV1" t="str">
        <f>'Upload AXI - CONF'!C216</f>
        <v>Object.RAM[Z3K3].FlexAO002</v>
      </c>
      <c r="AFW1" t="str">
        <f>'Upload AXI - CONF'!C217</f>
        <v>Object.RAM[Z3K3].FlexAO003</v>
      </c>
      <c r="AFX1" t="str">
        <f>'Upload AXI - CONF'!C218</f>
        <v>Object.RAM[Z3K3].FlexA101</v>
      </c>
      <c r="AFY1" t="str">
        <f>'Upload AXI - CONF'!C219</f>
        <v>Object.RAM[Z3K3].FlexAO004</v>
      </c>
      <c r="AFZ1" t="str">
        <f>'Upload AXI - CONF'!C220</f>
        <v>Object.RAM[Z3K3].FlexAO005</v>
      </c>
      <c r="AGA1" t="str">
        <f>'Upload AXI - CONF'!C221</f>
        <v>Object.RAM[Z3K4].FlexA098</v>
      </c>
      <c r="AGB1" t="str">
        <f>'Upload AXI - CONF'!C222</f>
        <v>Object.RAM[Z3K4].FlexA087</v>
      </c>
      <c r="AGC1" t="str">
        <f>'Upload AXI - CONF'!C223</f>
        <v>Object.RAM[Z3K4].FlexA088</v>
      </c>
      <c r="AGD1" t="str">
        <f>'Upload AXI - CONF'!C224</f>
        <v>Object.RAM[Z3K4].FlexA089</v>
      </c>
      <c r="AGE1" t="str">
        <f>'Upload AXI - CONF'!C225</f>
        <v>Object.RAM[Z3K4].FlexA102</v>
      </c>
      <c r="AGF1" t="str">
        <f>'Upload AXI - CONF'!C226</f>
        <v>Object.RAM[Z3K4].FlexA090</v>
      </c>
      <c r="AGG1" t="str">
        <f>'Upload AXI - CONF'!C227</f>
        <v>Object.RAM[Z3K4].FlexA091</v>
      </c>
      <c r="AGH1" t="str">
        <f>'Upload AXI - CONF'!C228</f>
        <v>Object.RAM[Z3K4].FlexA097</v>
      </c>
      <c r="AGI1" t="str">
        <f>'Upload AXI - CONF'!C230</f>
        <v>Object.RAM[Z3K4].FlexAO001</v>
      </c>
      <c r="AGJ1" t="str">
        <f>'Upload AXI - CONF'!C231</f>
        <v>Object.RAM[Z3K4].FlexA062</v>
      </c>
      <c r="AGK1" t="str">
        <f>'Upload AXI - CONF'!C232</f>
        <v>Object.RAM[Z3K4].FlexAO002</v>
      </c>
      <c r="AGL1" t="str">
        <f>'Upload AXI - CONF'!C233</f>
        <v>Object.RAM[Z3K4].FlexAO003</v>
      </c>
      <c r="AGM1" t="str">
        <f>'Upload AXI - CONF'!C234</f>
        <v>Object.RAM[Z3K4].FlexA101</v>
      </c>
      <c r="AGN1" t="str">
        <f>'Upload AXI - CONF'!C235</f>
        <v>Object.RAM[Z3K4].FlexAO004</v>
      </c>
      <c r="AGO1" t="str">
        <f>'Upload AXI - CONF'!C236</f>
        <v>Object.RAM[Z3K4].FlexAO005</v>
      </c>
      <c r="AGP1" t="str">
        <f>'Upload AXI - CONF'!C237</f>
        <v/>
      </c>
      <c r="AGQ1" t="str">
        <f>'Upload AXI - CONF'!C238</f>
        <v/>
      </c>
      <c r="AGR1" t="str">
        <f>'Upload AXI - CONF'!C239</f>
        <v/>
      </c>
      <c r="AGS1" t="str">
        <f>'Upload AXI - CONF'!C240</f>
        <v/>
      </c>
      <c r="AGT1" t="str">
        <f>'Upload AXI - CONF'!C241</f>
        <v/>
      </c>
      <c r="AGU1" t="str">
        <f>'Upload AXI - CONF'!C242</f>
        <v/>
      </c>
      <c r="AGV1" t="str">
        <f>'Upload AXI - CONF'!C243</f>
        <v/>
      </c>
      <c r="AGW1" t="str">
        <f>'Upload AXI - CONF'!C244</f>
        <v/>
      </c>
      <c r="AGX1" t="str">
        <f>'Upload AXI - CONF'!C246</f>
        <v/>
      </c>
      <c r="AGY1" t="str">
        <f>'Upload AXI - CONF'!C247</f>
        <v/>
      </c>
      <c r="AGZ1" t="str">
        <f>'Upload AXI - CONF'!C248</f>
        <v/>
      </c>
      <c r="AHA1" t="str">
        <f>'Upload AXI - CONF'!C249</f>
        <v/>
      </c>
      <c r="AHB1" t="str">
        <f>'Upload AXI - CONF'!C250</f>
        <v/>
      </c>
      <c r="AHC1" t="str">
        <f>'Upload AXI - CONF'!C251</f>
        <v/>
      </c>
      <c r="AHD1" t="str">
        <f>'Upload AXI - CONF'!C252</f>
        <v/>
      </c>
      <c r="AHE1" t="str">
        <f>'Upload AXI - CONF'!C253</f>
        <v/>
      </c>
      <c r="AHF1" t="str">
        <f>'Upload AXI - CONF'!C254</f>
        <v/>
      </c>
      <c r="AHG1" t="str">
        <f>'Upload AXI - CONF'!C255</f>
        <v/>
      </c>
      <c r="AHH1" t="str">
        <f>'Upload AXI - CONF'!C256</f>
        <v/>
      </c>
      <c r="AHI1" t="str">
        <f>'Upload AXI - CONF'!C257</f>
        <v/>
      </c>
      <c r="AHJ1" t="str">
        <f>'Upload AXI - CONF'!C258</f>
        <v/>
      </c>
      <c r="AHK1" t="str">
        <f>'Upload AXI - CONF'!C259</f>
        <v/>
      </c>
      <c r="AHL1" t="str">
        <f>'Upload AXI - CONF'!C260</f>
        <v/>
      </c>
      <c r="AHM1" t="str">
        <f>'Upload AXI - CONF'!C262</f>
        <v/>
      </c>
      <c r="AHN1" t="str">
        <f>'Upload AXI - CONF'!C263</f>
        <v/>
      </c>
      <c r="AHO1" t="str">
        <f>'Upload AXI - CONF'!C264</f>
        <v/>
      </c>
      <c r="AHP1" t="str">
        <f>'Upload AXI - CONF'!C265</f>
        <v/>
      </c>
      <c r="AHQ1" t="str">
        <f>'Upload AXI - CONF'!C266</f>
        <v/>
      </c>
      <c r="AHR1" t="str">
        <f>'Upload AXI - CONF'!C267</f>
        <v/>
      </c>
      <c r="AHS1" t="str">
        <f>'Upload AXI - CONF'!C268</f>
        <v/>
      </c>
      <c r="AHT1" t="str">
        <f>'Upload AXI - CONF'!C269</f>
        <v/>
      </c>
      <c r="AHU1" t="str">
        <f>'Upload AXI - CONF'!C270</f>
        <v/>
      </c>
      <c r="AHV1" t="str">
        <f>'Upload AXI - CONF'!C271</f>
        <v/>
      </c>
      <c r="AHW1" t="str">
        <f>'Upload AXI - CONF'!C272</f>
        <v/>
      </c>
      <c r="AHX1" t="str">
        <f>'Upload AXI - CONF'!C273</f>
        <v/>
      </c>
      <c r="AHY1" t="str">
        <f>'Upload AXI - CONF'!C274</f>
        <v/>
      </c>
      <c r="AHZ1" t="str">
        <f>'Upload AXI - CONF'!C275</f>
        <v/>
      </c>
      <c r="AIA1" t="str">
        <f>'Upload AXI - CONF'!C276</f>
        <v/>
      </c>
      <c r="AIB1" t="str">
        <f>'Upload AXI - CONF'!C278</f>
        <v/>
      </c>
      <c r="AIC1" t="str">
        <f>'Upload AXI - CONF'!C279</f>
        <v/>
      </c>
      <c r="AID1" t="str">
        <f>'Upload AXI - CONF'!C280</f>
        <v/>
      </c>
      <c r="AIE1" t="str">
        <f>'Upload AXI - CONF'!C281</f>
        <v/>
      </c>
      <c r="AIF1" t="str">
        <f>'Upload AXI - CONF'!C282</f>
        <v/>
      </c>
      <c r="AIG1" t="str">
        <f>'Upload AXI - CONF'!C283</f>
        <v/>
      </c>
      <c r="AIH1" t="str">
        <f>'Upload AXI - CONF'!C284</f>
        <v/>
      </c>
      <c r="AII1" t="str">
        <f>'Upload AXI - CONF'!C285</f>
        <v/>
      </c>
      <c r="AIJ1" t="str">
        <f>'Upload AXI - CONF'!C286</f>
        <v/>
      </c>
      <c r="AIK1" t="str">
        <f>'Upload AXI - CONF'!C287</f>
        <v/>
      </c>
      <c r="AIL1" t="str">
        <f>'Upload AXI - CONF'!C288</f>
        <v/>
      </c>
      <c r="AIM1" t="str">
        <f>'Upload AXI - CONF'!C289</f>
        <v/>
      </c>
      <c r="AIN1" t="str">
        <f>'Upload AXI - CONF'!C290</f>
        <v/>
      </c>
      <c r="AIO1" t="str">
        <f>'Upload AXI - CONF'!C291</f>
        <v/>
      </c>
      <c r="AIP1" t="str">
        <f>'Upload AXI - CONF'!C292</f>
        <v/>
      </c>
      <c r="AIQ1" t="str">
        <f>'Upload AXI - CONF'!C294</f>
        <v/>
      </c>
      <c r="AIR1" t="str">
        <f>'Upload AXI - CONF'!C295</f>
        <v/>
      </c>
      <c r="AIS1" t="str">
        <f>'Upload AXI - CONF'!C296</f>
        <v/>
      </c>
      <c r="AIT1" t="str">
        <f>'Upload AXI - CONF'!C297</f>
        <v/>
      </c>
      <c r="AIU1" t="str">
        <f>'Upload AXI - CONF'!C298</f>
        <v/>
      </c>
      <c r="AIV1" t="str">
        <f>'Upload AXI - CONF'!C299</f>
        <v/>
      </c>
      <c r="AIW1" t="str">
        <f>'Upload AXI - CONF'!C300</f>
        <v/>
      </c>
      <c r="AIX1" t="str">
        <f>'Upload AXI - CONF'!C301</f>
        <v/>
      </c>
      <c r="AIY1" t="str">
        <f>'Upload AXI - CONF'!C302</f>
        <v/>
      </c>
      <c r="AIZ1" t="str">
        <f>'Upload AXI - CONF'!C303</f>
        <v/>
      </c>
      <c r="AJA1" t="str">
        <f>'Upload AXI - CONF'!C304</f>
        <v/>
      </c>
      <c r="AJB1" t="str">
        <f>'Upload AXI - CONF'!C305</f>
        <v/>
      </c>
      <c r="AJC1" t="str">
        <f>'Upload AXI - CONF'!C306</f>
        <v/>
      </c>
      <c r="AJD1" t="str">
        <f>'Upload AXI - CONF'!C307</f>
        <v/>
      </c>
      <c r="AJE1" t="str">
        <f>'Upload AXI - CONF'!C308</f>
        <v/>
      </c>
      <c r="AJF1" t="str">
        <f>'Upload AXI - CONF'!C310</f>
        <v/>
      </c>
      <c r="AJG1" t="str">
        <f>'Upload AXI - CONF'!C311</f>
        <v/>
      </c>
      <c r="AJH1" t="str">
        <f>'Upload AXI - CONF'!C312</f>
        <v/>
      </c>
      <c r="AJI1" t="str">
        <f>'Upload AXI - CONF'!C313</f>
        <v/>
      </c>
      <c r="AJJ1" t="str">
        <f>'Upload AXI - CONF'!C314</f>
        <v/>
      </c>
      <c r="AJK1" t="str">
        <f>'Upload AXI - CONF'!C315</f>
        <v/>
      </c>
      <c r="AJL1" t="str">
        <f>'Upload AXI - CONF'!C316</f>
        <v/>
      </c>
      <c r="AJM1" t="str">
        <f>'Upload AXI - CONF'!C317</f>
        <v/>
      </c>
      <c r="AJN1" t="str">
        <f>'Upload AXI - CONF'!C318</f>
        <v/>
      </c>
      <c r="AJO1" t="str">
        <f>'Upload AXI - CONF'!C319</f>
        <v/>
      </c>
      <c r="AJP1" t="str">
        <f>'Upload AXI - CONF'!C320</f>
        <v/>
      </c>
      <c r="AJQ1" t="str">
        <f>'Upload AXI - CONF'!C321</f>
        <v/>
      </c>
      <c r="AJR1" t="str">
        <f>'Upload AXI - CONF'!C322</f>
        <v/>
      </c>
      <c r="AJS1" t="str">
        <f>'Upload AXI - CONF'!C323</f>
        <v/>
      </c>
      <c r="AJT1" t="str">
        <f>'Upload AXI - CONF'!C324</f>
        <v/>
      </c>
      <c r="AJU1" t="str">
        <f>'Upload AXI - CONF'!C326</f>
        <v/>
      </c>
      <c r="AJV1" t="str">
        <f>'Upload AXI - CONF'!C327</f>
        <v/>
      </c>
      <c r="AJW1" t="str">
        <f>'Upload AXI - CONF'!C328</f>
        <v/>
      </c>
      <c r="AJX1" t="str">
        <f>'Upload AXI - CONF'!C329</f>
        <v/>
      </c>
      <c r="AJY1" t="str">
        <f>'Upload AXI - CONF'!C330</f>
        <v/>
      </c>
      <c r="AJZ1" t="str">
        <f>'Upload AXI - CONF'!C331</f>
        <v/>
      </c>
      <c r="AKA1" t="str">
        <f>'Upload AXI - CONF'!C332</f>
        <v/>
      </c>
      <c r="AKB1" t="str">
        <f>'Upload AXI - CONF'!C333</f>
        <v/>
      </c>
      <c r="AKC1" t="str">
        <f>'Upload AXI - CONF'!C334</f>
        <v/>
      </c>
      <c r="AKD1" t="str">
        <f>'Upload AXI - CONF'!C335</f>
        <v/>
      </c>
      <c r="AKE1" t="str">
        <f>'Upload AXI - CONF'!C336</f>
        <v/>
      </c>
      <c r="AKF1" t="str">
        <f>'Upload AXI - CONF'!C337</f>
        <v/>
      </c>
      <c r="AKG1" t="str">
        <f>'Upload AXI - CONF'!C338</f>
        <v/>
      </c>
      <c r="AKH1" t="str">
        <f>'Upload AXI - CONF'!C339</f>
        <v/>
      </c>
      <c r="AKI1" t="str">
        <f>'Upload AXI - CONF'!C340</f>
        <v/>
      </c>
      <c r="AKJ1" t="str">
        <f>'Upload AXI - CONF'!C342</f>
        <v/>
      </c>
      <c r="AKK1" t="str">
        <f>'Upload AXI - CONF'!C343</f>
        <v/>
      </c>
      <c r="AKL1" t="str">
        <f>'Upload AXI - CONF'!C344</f>
        <v/>
      </c>
      <c r="AKM1" t="str">
        <f>'Upload AXI - CONF'!C345</f>
        <v/>
      </c>
      <c r="AKN1" t="str">
        <f>'Upload AXI - CONF'!C346</f>
        <v/>
      </c>
      <c r="AKO1" t="str">
        <f>'Upload AXI - CONF'!C347</f>
        <v/>
      </c>
      <c r="AKP1" t="str">
        <f>'Upload AXI - CONF'!C348</f>
        <v/>
      </c>
      <c r="AKQ1" t="str">
        <f>'Upload AXI - CONF'!C349</f>
        <v/>
      </c>
      <c r="AKR1" t="str">
        <f>'Upload AXI - CONF'!C350</f>
        <v/>
      </c>
      <c r="AKS1" t="str">
        <f>'Upload AXI - CONF'!C351</f>
        <v/>
      </c>
      <c r="AKT1" t="str">
        <f>'Upload AXI - CONF'!C352</f>
        <v/>
      </c>
      <c r="AKU1" t="str">
        <f>'Upload AXI - CONF'!C353</f>
        <v/>
      </c>
      <c r="AKV1" t="str">
        <f>'Upload AXI - CONF'!C354</f>
        <v/>
      </c>
      <c r="AKW1" t="str">
        <f>'Upload AXI - CONF'!C355</f>
        <v/>
      </c>
      <c r="AKX1" t="str">
        <f>'Upload AXI - CONF'!C356</f>
        <v/>
      </c>
      <c r="AKY1" t="str">
        <f>'Upload AXI - CONF'!C358</f>
        <v/>
      </c>
      <c r="AKZ1" t="str">
        <f>'Upload AXI - CONF'!C359</f>
        <v/>
      </c>
      <c r="ALA1" t="str">
        <f>'Upload AXI - CONF'!C360</f>
        <v/>
      </c>
      <c r="ALB1" t="str">
        <f>'Upload AXI - CONF'!C361</f>
        <v/>
      </c>
      <c r="ALC1" t="str">
        <f>'Upload AXI - CONF'!C362</f>
        <v/>
      </c>
      <c r="ALD1" t="str">
        <f>'Upload AXI - CONF'!C363</f>
        <v/>
      </c>
      <c r="ALE1" t="str">
        <f>'Upload AXI - CONF'!C364</f>
        <v/>
      </c>
      <c r="ALF1" t="str">
        <f>'Upload AXI - CONF'!C365</f>
        <v/>
      </c>
      <c r="ALG1" t="str">
        <f>'Upload AXI - CONF'!C366</f>
        <v/>
      </c>
      <c r="ALH1" t="str">
        <f>'Upload AXI - CONF'!C367</f>
        <v/>
      </c>
      <c r="ALI1" t="str">
        <f>'Upload AXI - CONF'!C368</f>
        <v/>
      </c>
      <c r="ALJ1" t="str">
        <f>'Upload AXI - CONF'!C369</f>
        <v/>
      </c>
      <c r="ALK1" t="str">
        <f>'Upload AXI - CONF'!C370</f>
        <v/>
      </c>
      <c r="ALL1" t="str">
        <f>'Upload AXI - CONF'!C371</f>
        <v/>
      </c>
      <c r="ALM1" t="str">
        <f>'Upload AXI - CONF'!C372</f>
        <v/>
      </c>
      <c r="ALN1" t="str">
        <f>'Upload AXI - CONF'!C374</f>
        <v/>
      </c>
      <c r="ALO1" t="str">
        <f>'Upload AXI - CONF'!C375</f>
        <v/>
      </c>
      <c r="ALP1" t="str">
        <f>'Upload AXI - CONF'!C376</f>
        <v/>
      </c>
      <c r="ALQ1" t="str">
        <f>'Upload AXI - CONF'!C377</f>
        <v/>
      </c>
      <c r="ALR1" t="str">
        <f>'Upload AXI - CONF'!C378</f>
        <v/>
      </c>
      <c r="ALS1" t="str">
        <f>'Upload AXI - CONF'!C379</f>
        <v/>
      </c>
      <c r="ALT1" t="str">
        <f>'Upload AXI - CONF'!C380</f>
        <v/>
      </c>
      <c r="ALU1" t="str">
        <f>'Upload AXI - CONF'!C381</f>
        <v/>
      </c>
      <c r="ALV1" t="str">
        <f>'Upload AXI - CONF'!C382</f>
        <v/>
      </c>
      <c r="ALW1" t="str">
        <f>'Upload AXI - CONF'!C383</f>
        <v/>
      </c>
      <c r="ALX1" t="str">
        <f>'Upload AXI - CONF'!C384</f>
        <v/>
      </c>
      <c r="ALY1" t="str">
        <f>'Upload AXI - CONF'!C385</f>
        <v/>
      </c>
      <c r="ALZ1" t="str">
        <f>'Upload AXI - CONF'!C386</f>
        <v/>
      </c>
      <c r="AMA1" t="str">
        <f>'Upload AXI - CONF'!C387</f>
        <v/>
      </c>
      <c r="AMB1" t="str">
        <f>'Upload AXI - CONF'!C388</f>
        <v/>
      </c>
      <c r="AMC1" t="str">
        <f>'Upload AXI - CONF'!C390</f>
        <v/>
      </c>
      <c r="AMD1" t="str">
        <f>'Upload AXI - CONF'!C391</f>
        <v/>
      </c>
      <c r="AME1" t="str">
        <f>'Upload AXI - CONF'!C392</f>
        <v/>
      </c>
      <c r="AMF1" t="str">
        <f>'Upload AXI - CONF'!C393</f>
        <v/>
      </c>
      <c r="AMG1" t="str">
        <f>'Upload AXI - CONF'!C394</f>
        <v/>
      </c>
      <c r="AMH1" t="str">
        <f>'Upload AXI - CONF'!C395</f>
        <v/>
      </c>
      <c r="AMI1" t="str">
        <f>'Upload AXI - CONF'!C396</f>
        <v/>
      </c>
      <c r="AMJ1" t="str">
        <f>'Upload AXI - CONF'!C397</f>
        <v/>
      </c>
      <c r="AMK1" t="str">
        <f>'Upload AXI - CONF'!C398</f>
        <v/>
      </c>
      <c r="AML1" t="str">
        <f>'Upload AXI - CONF'!C399</f>
        <v/>
      </c>
      <c r="AMM1" t="str">
        <f>'Upload AXI - CONF'!C400</f>
        <v/>
      </c>
      <c r="AMN1" t="str">
        <f>'Upload AXI - CONF'!C401</f>
        <v/>
      </c>
      <c r="AMO1" t="str">
        <f>'Upload AXI - CONF'!C402</f>
        <v/>
      </c>
      <c r="AMP1" t="str">
        <f>'Upload AXI - CONF'!C403</f>
        <v/>
      </c>
      <c r="AMQ1" t="str">
        <f>'Upload AXI - CONF'!C404</f>
        <v/>
      </c>
      <c r="AMR1" t="str">
        <f>'Upload AXI - CONF'!C406</f>
        <v/>
      </c>
      <c r="AMS1" t="str">
        <f>'Upload AXI - CONF'!C407</f>
        <v/>
      </c>
      <c r="AMT1" t="str">
        <f>'Upload AXI - CONF'!C408</f>
        <v/>
      </c>
      <c r="AMU1" t="str">
        <f>'Upload AXI - CONF'!C409</f>
        <v/>
      </c>
      <c r="AMV1" t="str">
        <f>'Upload AXI - CONF'!C410</f>
        <v/>
      </c>
      <c r="AMW1" t="str">
        <f>'Upload AXI - CONF'!C411</f>
        <v/>
      </c>
      <c r="AMX1" t="str">
        <f>'Upload AXI - CONF'!C412</f>
        <v/>
      </c>
      <c r="AMY1" t="str">
        <f>'Upload AXI - CONF'!C413</f>
        <v/>
      </c>
      <c r="AMZ1" t="str">
        <f>'Upload AXI - CONF'!C414</f>
        <v/>
      </c>
      <c r="ANA1" t="str">
        <f>'Upload AXI - CONF'!C415</f>
        <v/>
      </c>
      <c r="ANB1" t="str">
        <f>'Upload AXI - CONF'!C416</f>
        <v/>
      </c>
      <c r="ANC1" t="str">
        <f>'Upload AXI - CONF'!C417</f>
        <v/>
      </c>
      <c r="AND1" t="str">
        <f>'Upload AXI - CONF'!C418</f>
        <v/>
      </c>
      <c r="ANE1" t="str">
        <f>'Upload AXI - CONF'!C419</f>
        <v/>
      </c>
      <c r="ANF1" t="str">
        <f>'Upload AXI - CONF'!C420</f>
        <v/>
      </c>
      <c r="ANG1" t="str">
        <f>'Upload AXI - CONF'!C422</f>
        <v/>
      </c>
      <c r="ANH1" t="str">
        <f>'Upload AXI - CONF'!C423</f>
        <v/>
      </c>
      <c r="ANI1" t="str">
        <f>'Upload AXI - CONF'!C424</f>
        <v/>
      </c>
      <c r="ANJ1" t="str">
        <f>'Upload AXI - CONF'!C425</f>
        <v/>
      </c>
      <c r="ANK1" t="str">
        <f>'Upload AXI - CONF'!C426</f>
        <v/>
      </c>
      <c r="ANL1" t="str">
        <f>'Upload AXI - CONF'!C427</f>
        <v/>
      </c>
      <c r="ANM1" t="str">
        <f>'Upload AXI - CONF'!C428</f>
        <v/>
      </c>
      <c r="ANN1" t="str">
        <f>'Upload AXI - CONF'!C429</f>
        <v/>
      </c>
      <c r="ANO1" t="str">
        <f>'Upload AXI - CONF'!C430</f>
        <v/>
      </c>
      <c r="ANP1" t="str">
        <f>'Upload AXI - CONF'!C431</f>
        <v/>
      </c>
      <c r="ANQ1" t="str">
        <f>'Upload AXI - CONF'!C432</f>
        <v/>
      </c>
      <c r="ANR1" t="str">
        <f>'Upload AXI - CONF'!C433</f>
        <v/>
      </c>
      <c r="ANS1" t="str">
        <f>'Upload AXI - CONF'!C434</f>
        <v/>
      </c>
      <c r="ANT1" t="str">
        <f>'Upload AXI - CONF'!C435</f>
        <v/>
      </c>
      <c r="ANU1" t="str">
        <f>'Upload AXI - CONF'!C436</f>
        <v/>
      </c>
      <c r="ANV1" t="str">
        <f>'Upload AXI - CONF'!C437</f>
        <v/>
      </c>
      <c r="ANW1" t="str">
        <f>'Upload AXI - CONF'!C439</f>
        <v/>
      </c>
      <c r="ANX1" t="str">
        <f>'Upload AXI - CONF'!C440</f>
        <v/>
      </c>
      <c r="ANY1" t="str">
        <f>'Upload AXI - CONF'!C441</f>
        <v/>
      </c>
      <c r="ANZ1" t="str">
        <f>'Upload AXI - CONF'!C442</f>
        <v/>
      </c>
      <c r="AOA1" t="str">
        <f>'Upload AXI - CONF'!C443</f>
        <v/>
      </c>
      <c r="AOB1" t="str">
        <f>'Upload AXI - CONF'!C444</f>
        <v/>
      </c>
      <c r="AOC1" t="str">
        <f>'Upload AXI - CONF'!C445</f>
        <v/>
      </c>
      <c r="AOD1" t="str">
        <f>'Upload AXI - CONF'!C446</f>
        <v/>
      </c>
      <c r="AOE1" t="str">
        <f>'Upload AXI - CONF'!C447</f>
        <v/>
      </c>
      <c r="AOF1" t="str">
        <f>'Upload AXI - CONF'!C448</f>
        <v/>
      </c>
      <c r="AOG1" t="str">
        <f>'Upload AXI - CONF'!C449</f>
        <v/>
      </c>
      <c r="AOH1" t="str">
        <f>'Upload AXI - CONF'!C450</f>
        <v/>
      </c>
      <c r="AOI1" t="str">
        <f>'Upload AXI - CONF'!C451</f>
        <v/>
      </c>
      <c r="AOJ1" t="str">
        <f>'Upload AXI - CONF'!C452</f>
        <v/>
      </c>
      <c r="AOK1" t="str">
        <f>'Upload AXI - CONF'!C453</f>
        <v/>
      </c>
      <c r="AOL1" t="str">
        <f>'Upload AXI - CONF'!C454</f>
        <v/>
      </c>
      <c r="AOM1" t="str">
        <f>'Upload AXI - CONF'!C455</f>
        <v/>
      </c>
      <c r="AON1" t="str">
        <f>'Upload AXI - CONF'!C457</f>
        <v/>
      </c>
      <c r="AOO1" t="str">
        <f>'Upload AXI - CONF'!C458</f>
        <v/>
      </c>
      <c r="AOP1" t="str">
        <f>'Upload AXI - CONF'!C459</f>
        <v/>
      </c>
      <c r="AOQ1" t="str">
        <f>'Upload AXI - CONF'!C460</f>
        <v/>
      </c>
      <c r="AOR1" t="str">
        <f>'Upload AXI - CONF'!C461</f>
        <v/>
      </c>
      <c r="AOS1" t="str">
        <f>'Upload AXI - CONF'!C462</f>
        <v/>
      </c>
      <c r="AOT1" t="str">
        <f>'Upload AXI - CONF'!C463</f>
        <v/>
      </c>
      <c r="AOU1" t="str">
        <f>'Upload AXI - CONF'!C464</f>
        <v/>
      </c>
      <c r="AOV1" t="str">
        <f>'Upload AXI - CONF'!C465</f>
        <v/>
      </c>
      <c r="AOW1" t="str">
        <f>'Upload AXI - CONF'!C466</f>
        <v/>
      </c>
      <c r="AOX1" t="str">
        <f>'Upload AXI - CONF'!C467</f>
        <v/>
      </c>
      <c r="AOY1" t="str">
        <f>'Upload AXI - CONF'!C468</f>
        <v/>
      </c>
      <c r="AOZ1" t="str">
        <f>'Upload AXI - CONF'!C469</f>
        <v/>
      </c>
      <c r="APA1" t="str">
        <f>'Upload AXI - CONF'!C470</f>
        <v/>
      </c>
      <c r="APB1" t="str">
        <f>'Upload AXI - CONF'!C471</f>
        <v/>
      </c>
      <c r="APC1" t="str">
        <f>'Upload AXI - CONF'!C472</f>
        <v/>
      </c>
      <c r="APD1" t="str">
        <f>'Upload AXI - CONF'!C473</f>
        <v/>
      </c>
      <c r="APE1" t="str">
        <f>'Upload AXI - CONF'!C475</f>
        <v/>
      </c>
      <c r="APF1" t="str">
        <f>'Upload AXI - CONF'!C476</f>
        <v/>
      </c>
      <c r="APG1" t="str">
        <f>'Upload AXI - CONF'!C477</f>
        <v/>
      </c>
      <c r="APH1" t="str">
        <f>'Upload AXI - CONF'!C478</f>
        <v/>
      </c>
      <c r="API1" t="str">
        <f>'Upload AXI - CONF'!C479</f>
        <v/>
      </c>
      <c r="APJ1" t="str">
        <f>'Upload AXI - CONF'!C480</f>
        <v/>
      </c>
      <c r="APK1" t="str">
        <f>'Upload AXI - CONF'!C481</f>
        <v/>
      </c>
      <c r="APL1" t="str">
        <f>'Upload AXI - CONF'!C482</f>
        <v/>
      </c>
      <c r="APM1" t="str">
        <f>'Upload AXI - CONF'!C483</f>
        <v/>
      </c>
      <c r="APN1" t="str">
        <f>'Upload AXI - CONF'!C484</f>
        <v/>
      </c>
      <c r="APO1" t="str">
        <f>'Upload AXI - CONF'!C485</f>
        <v/>
      </c>
      <c r="APP1" t="str">
        <f>'Upload AXI - CONF'!C486</f>
        <v/>
      </c>
      <c r="APQ1" t="str">
        <f>'Upload AXI - CONF'!C487</f>
        <v/>
      </c>
      <c r="APR1" t="str">
        <f>'Upload AXI - CONF'!C488</f>
        <v/>
      </c>
      <c r="APS1" t="str">
        <f>'Upload AXI - CONF'!C489</f>
        <v/>
      </c>
      <c r="APT1" t="str">
        <f>'Upload AXI - CONF'!C490</f>
        <v/>
      </c>
      <c r="APU1" t="str">
        <f>'Upload AXI - CONF'!C491</f>
        <v/>
      </c>
      <c r="APV1" t="str">
        <f>'Upload AXI - CONF'!C493</f>
        <v/>
      </c>
      <c r="APW1" t="str">
        <f>'Upload AXI - CONF'!C494</f>
        <v/>
      </c>
      <c r="APX1" t="str">
        <f>'Upload AXI - CONF'!C495</f>
        <v/>
      </c>
      <c r="APY1" t="str">
        <f>'Upload AXI - CONF'!C496</f>
        <v/>
      </c>
      <c r="APZ1" t="str">
        <f>'Upload AXI - CONF'!C497</f>
        <v/>
      </c>
      <c r="AQA1" t="str">
        <f>'Upload AXI - CONF'!C498</f>
        <v/>
      </c>
      <c r="AQB1" t="str">
        <f>'Upload AXI - CONF'!C499</f>
        <v/>
      </c>
      <c r="AQC1" t="str">
        <f>'Upload AXI - CONF'!C500</f>
        <v/>
      </c>
      <c r="AQD1" t="str">
        <f>'Upload AXI - CONF'!C501</f>
        <v/>
      </c>
      <c r="AQE1" t="str">
        <f>'Upload AXI - CONF'!C502</f>
        <v/>
      </c>
      <c r="AQF1" t="str">
        <f>'Upload AXI - CONF'!C503</f>
        <v/>
      </c>
      <c r="AQG1" t="str">
        <f>'Upload AXI - CONF'!C504</f>
        <v/>
      </c>
      <c r="AQH1" t="str">
        <f>'Upload AXI - CONF'!C505</f>
        <v/>
      </c>
      <c r="AQI1" t="str">
        <f>'Upload AXI - CONF'!C506</f>
        <v/>
      </c>
      <c r="AQJ1" t="str">
        <f>'Upload AXI - CONF'!C507</f>
        <v/>
      </c>
      <c r="AQK1" t="str">
        <f>'Upload AXI - CONF'!C508</f>
        <v/>
      </c>
      <c r="AQL1" t="str">
        <f>'Upload AXI - CONF'!C509</f>
        <v/>
      </c>
      <c r="AQM1" t="str">
        <f>'Upload AXI - CONF'!C511</f>
        <v/>
      </c>
      <c r="AQN1" t="str">
        <f>'Upload AXI - CONF'!C512</f>
        <v/>
      </c>
      <c r="AQO1" t="str">
        <f>'Upload AXI - CONF'!C513</f>
        <v/>
      </c>
      <c r="AQP1" t="str">
        <f>'Upload AXI - CONF'!C514</f>
        <v/>
      </c>
      <c r="AQQ1" t="str">
        <f>'Upload AXI - CONF'!C515</f>
        <v/>
      </c>
      <c r="AQR1" t="str">
        <f>'Upload AXI - CONF'!C516</f>
        <v/>
      </c>
      <c r="AQS1" t="str">
        <f>'Upload AXI - CONF'!C517</f>
        <v/>
      </c>
      <c r="AQT1" t="str">
        <f>'Upload AXI - CONF'!C518</f>
        <v/>
      </c>
      <c r="AQU1" t="str">
        <f>'Upload AXI - CONF'!C519</f>
        <v/>
      </c>
      <c r="AQV1" t="str">
        <f>'Upload AXI - CONF'!C520</f>
        <v/>
      </c>
      <c r="AQW1" t="str">
        <f>'Upload AXI - CONF'!C521</f>
        <v/>
      </c>
      <c r="AQX1" t="str">
        <f>'Upload AXI - CONF'!C522</f>
        <v/>
      </c>
      <c r="AQY1" t="str">
        <f>'Upload AXI - CONF'!C523</f>
        <v/>
      </c>
      <c r="AQZ1" t="str">
        <f>'Upload AXI - CONF'!C524</f>
        <v/>
      </c>
      <c r="ARA1" t="str">
        <f>'Upload AXI - CONF'!C525</f>
        <v/>
      </c>
      <c r="ARB1" t="str">
        <f>'Upload AXI - CONF'!C526</f>
        <v/>
      </c>
      <c r="ARC1" t="str">
        <f>'Upload AXI - CONF'!C527</f>
        <v/>
      </c>
      <c r="ARD1" t="str">
        <f>'Upload AXI - CONF'!C529</f>
        <v/>
      </c>
      <c r="ARE1" t="str">
        <f>'Upload AXI - CONF'!C530</f>
        <v/>
      </c>
      <c r="ARF1" t="str">
        <f>'Upload AXI - CONF'!C531</f>
        <v/>
      </c>
      <c r="ARG1" t="str">
        <f>'Upload AXI - CONF'!C532</f>
        <v/>
      </c>
      <c r="ARH1" t="str">
        <f>'Upload AXI - CONF'!C533</f>
        <v/>
      </c>
      <c r="ARI1" t="str">
        <f>'Upload AXI - CONF'!C534</f>
        <v/>
      </c>
      <c r="ARJ1" t="str">
        <f>'Upload AXI - CONF'!C535</f>
        <v/>
      </c>
      <c r="ARK1" t="str">
        <f>'Upload AXI - CONF'!C536</f>
        <v/>
      </c>
      <c r="ARL1" t="str">
        <f>'Upload AXI - CONF'!C537</f>
        <v/>
      </c>
      <c r="ARM1" t="str">
        <f>'Upload AXI - CONF'!C538</f>
        <v/>
      </c>
      <c r="ARN1" t="str">
        <f>'Upload AXI - CONF'!C539</f>
        <v/>
      </c>
      <c r="ARO1" t="str">
        <f>'Upload AXI - CONF'!C540</f>
        <v/>
      </c>
      <c r="ARP1" t="str">
        <f>'Upload AXI - CONF'!C541</f>
        <v/>
      </c>
      <c r="ARQ1" t="str">
        <f>'Upload AXI - CONF'!C542</f>
        <v/>
      </c>
      <c r="ARR1" t="str">
        <f>'Upload AXI - CONF'!C543</f>
        <v/>
      </c>
      <c r="ARS1" t="str">
        <f>'Upload AXI - CONF'!C544</f>
        <v/>
      </c>
      <c r="ART1" t="str">
        <f>'Upload AXI - CONF'!C545</f>
        <v/>
      </c>
      <c r="ARU1" t="str">
        <f>'Upload AXI - CONF'!C547</f>
        <v/>
      </c>
      <c r="ARV1" t="str">
        <f>'Upload AXI - CONF'!C548</f>
        <v/>
      </c>
      <c r="ARW1" t="str">
        <f>'Upload AXI - CONF'!C549</f>
        <v/>
      </c>
      <c r="ARX1" t="str">
        <f>'Upload AXI - CONF'!C550</f>
        <v/>
      </c>
      <c r="ARY1" t="str">
        <f>'Upload AXI - CONF'!C551</f>
        <v/>
      </c>
      <c r="ARZ1" t="str">
        <f>'Upload AXI - CONF'!C552</f>
        <v/>
      </c>
      <c r="ASA1" t="str">
        <f>'Upload AXI - CONF'!C553</f>
        <v/>
      </c>
      <c r="ASB1" t="str">
        <f>'Upload AXI - CONF'!C554</f>
        <v/>
      </c>
      <c r="ASC1" t="str">
        <f>'Upload AXI - CONF'!C555</f>
        <v/>
      </c>
      <c r="ASD1" t="str">
        <f>'Upload AXI - CONF'!C556</f>
        <v/>
      </c>
      <c r="ASE1" t="str">
        <f>'Upload AXI - CONF'!C557</f>
        <v/>
      </c>
      <c r="ASF1" t="str">
        <f>'Upload AXI - CONF'!C558</f>
        <v/>
      </c>
      <c r="ASG1" t="str">
        <f>'Upload AXI - CONF'!C559</f>
        <v/>
      </c>
      <c r="ASH1" t="str">
        <f>'Upload AXI - CONF'!C560</f>
        <v/>
      </c>
      <c r="ASI1" t="str">
        <f>'Upload AXI - CONF'!C561</f>
        <v/>
      </c>
      <c r="ASJ1" t="str">
        <f>'Upload AXI - CONF'!C562</f>
        <v/>
      </c>
      <c r="ASK1" t="str">
        <f>'Upload AXI - CONF'!C563</f>
        <v/>
      </c>
      <c r="ASL1" t="str">
        <f>'Upload AXI - CONF'!C565</f>
        <v/>
      </c>
      <c r="ASM1" t="str">
        <f>'Upload AXI - CONF'!C566</f>
        <v/>
      </c>
      <c r="ASN1" t="str">
        <f>'Upload AXI - CONF'!C567</f>
        <v/>
      </c>
      <c r="ASO1" t="str">
        <f>'Upload AXI - CONF'!C568</f>
        <v/>
      </c>
      <c r="ASP1" t="str">
        <f>'Upload AXI - CONF'!C569</f>
        <v/>
      </c>
      <c r="ASQ1" t="str">
        <f>'Upload AXI - CONF'!C570</f>
        <v/>
      </c>
      <c r="ASR1" t="str">
        <f>'Upload AXI - CONF'!C571</f>
        <v/>
      </c>
      <c r="ASS1" t="str">
        <f>'Upload AXI - CONF'!C572</f>
        <v/>
      </c>
      <c r="AST1" t="str">
        <f>'Upload AXI - CONF'!C573</f>
        <v/>
      </c>
      <c r="ASU1" t="str">
        <f>'Upload AXI - CONF'!C574</f>
        <v/>
      </c>
      <c r="ASV1" t="str">
        <f>'Upload AXI - CONF'!C575</f>
        <v/>
      </c>
      <c r="ASW1" t="str">
        <f>'Upload AXI - CONF'!C576</f>
        <v/>
      </c>
      <c r="ASX1" t="str">
        <f>'Upload AXI - CONF'!C577</f>
        <v/>
      </c>
      <c r="ASY1" t="str">
        <f>'Upload AXI - CONF'!C578</f>
        <v/>
      </c>
      <c r="ASZ1" t="str">
        <f>'Upload AXI - CONF'!C579</f>
        <v/>
      </c>
      <c r="ATA1" t="str">
        <f>'Upload AXI - CONF'!C580</f>
        <v/>
      </c>
      <c r="ATB1" t="str">
        <f>'Upload AXI - CONF'!C581</f>
        <v/>
      </c>
      <c r="ATC1" t="str">
        <f>'Upload AXI - CONF'!C583</f>
        <v/>
      </c>
      <c r="ATD1" t="str">
        <f>'Upload AXI - CONF'!C584</f>
        <v/>
      </c>
      <c r="ATE1" t="str">
        <f>'Upload AXI - CONF'!C585</f>
        <v/>
      </c>
      <c r="ATF1" t="str">
        <f>'Upload AXI - CONF'!C586</f>
        <v/>
      </c>
      <c r="ATG1" t="str">
        <f>'Upload AXI - CONF'!C587</f>
        <v/>
      </c>
      <c r="ATH1" t="str">
        <f>'Upload AXI - CONF'!C588</f>
        <v/>
      </c>
      <c r="ATI1" t="str">
        <f>'Upload AXI - CONF'!C589</f>
        <v/>
      </c>
      <c r="ATJ1" t="str">
        <f>'Upload AXI - CONF'!C590</f>
        <v/>
      </c>
      <c r="ATK1" t="str">
        <f>'Upload AXI - CONF'!C591</f>
        <v/>
      </c>
      <c r="ATL1" t="str">
        <f>'Upload AXI - CONF'!C592</f>
        <v/>
      </c>
      <c r="ATM1" t="str">
        <f>'Upload AXI - CONF'!C593</f>
        <v/>
      </c>
      <c r="ATN1" t="str">
        <f>'Upload AXI - CONF'!C594</f>
        <v/>
      </c>
      <c r="ATO1" t="str">
        <f>'Upload AXI - CONF'!C595</f>
        <v/>
      </c>
      <c r="ATP1" t="str">
        <f>'Upload AXI - CONF'!C596</f>
        <v/>
      </c>
      <c r="ATQ1" t="str">
        <f>'Upload AXI - CONF'!C597</f>
        <v/>
      </c>
      <c r="ATR1" t="str">
        <f>'Upload AXI - CONF'!C598</f>
        <v/>
      </c>
      <c r="ATS1" t="str">
        <f>'Upload AXI - CONF'!C599</f>
        <v/>
      </c>
      <c r="ATT1" t="str">
        <f>'Upload AXI - CONF'!C601</f>
        <v/>
      </c>
      <c r="ATU1" t="str">
        <f>'Upload AXI - CONF'!C602</f>
        <v/>
      </c>
      <c r="ATV1" t="str">
        <f>'Upload AXI - CONF'!C603</f>
        <v/>
      </c>
      <c r="ATW1" t="str">
        <f>'Upload AXI - CONF'!C604</f>
        <v/>
      </c>
      <c r="ATX1" t="str">
        <f>'Upload AXI - CONF'!C605</f>
        <v/>
      </c>
      <c r="ATY1" t="str">
        <f>'Upload AXI - CONF'!C606</f>
        <v/>
      </c>
      <c r="ATZ1" t="str">
        <f>'Upload AXI - CONF'!C607</f>
        <v/>
      </c>
      <c r="AUA1" t="str">
        <f>'Upload AXI - CONF'!C608</f>
        <v/>
      </c>
      <c r="AUB1" t="str">
        <f>'Upload AXI - CONF'!C609</f>
        <v/>
      </c>
      <c r="AUC1" t="str">
        <f>'Upload AXI - CONF'!C610</f>
        <v/>
      </c>
      <c r="AUD1" t="str">
        <f>'Upload AXI - CONF'!C611</f>
        <v/>
      </c>
      <c r="AUE1" t="str">
        <f>'Upload AXI - CONF'!C612</f>
        <v/>
      </c>
      <c r="AUF1" t="str">
        <f>'Upload AXI - CONF'!C613</f>
        <v/>
      </c>
      <c r="AUG1" t="str">
        <f>'Upload AXI - CONF'!C614</f>
        <v/>
      </c>
      <c r="AUH1" t="str">
        <f>'Upload AXI - CONF'!C615</f>
        <v/>
      </c>
      <c r="AUI1" t="str">
        <f>'Upload AXI - CONF'!C616</f>
        <v/>
      </c>
      <c r="AUJ1" t="str">
        <f>'Upload AXI - CONF'!C617</f>
        <v/>
      </c>
      <c r="AUK1" t="str">
        <f>'Upload AXI - CONF'!C619</f>
        <v/>
      </c>
      <c r="AUL1" t="str">
        <f>'Upload AXI - CONF'!C620</f>
        <v/>
      </c>
      <c r="AUM1" t="str">
        <f>'Upload AXI - CONF'!C621</f>
        <v/>
      </c>
      <c r="AUN1" t="str">
        <f>'Upload AXI - CONF'!C622</f>
        <v/>
      </c>
      <c r="AUO1" t="str">
        <f>'Upload AXI - CONF'!C623</f>
        <v/>
      </c>
      <c r="AUP1" t="str">
        <f>'Upload AXI - CONF'!C624</f>
        <v/>
      </c>
      <c r="AUQ1" t="str">
        <f>'Upload AXI - CONF'!C625</f>
        <v/>
      </c>
      <c r="AUR1" t="str">
        <f>'Upload AXI - CONF'!C626</f>
        <v/>
      </c>
      <c r="AUS1" t="str">
        <f>'Upload AXI - CONF'!C627</f>
        <v/>
      </c>
      <c r="AUT1" t="str">
        <f>'Upload AXI - CONF'!C628</f>
        <v/>
      </c>
      <c r="AUU1" t="str">
        <f>'Upload AXI - CONF'!C629</f>
        <v/>
      </c>
      <c r="AUV1" t="str">
        <f>'Upload AXI - CONF'!C630</f>
        <v/>
      </c>
      <c r="AUW1" t="str">
        <f>'Upload AXI - CONF'!C631</f>
        <v/>
      </c>
      <c r="AUX1" t="str">
        <f>'Upload AXI - CONF'!C632</f>
        <v/>
      </c>
      <c r="AUY1" t="str">
        <f>'Upload AXI - CONF'!C633</f>
        <v/>
      </c>
      <c r="AUZ1" t="str">
        <f>'Upload AXI - CONF'!C634</f>
        <v/>
      </c>
      <c r="AVA1" t="str">
        <f>'Upload AXI - CONF'!C635</f>
        <v/>
      </c>
      <c r="AVB1" t="str">
        <f>'Upload AXI - CONF'!C637</f>
        <v/>
      </c>
      <c r="AVC1" t="str">
        <f>'Upload AXI - CONF'!C638</f>
        <v/>
      </c>
      <c r="AVD1" t="str">
        <f>'Upload AXI - CONF'!C639</f>
        <v/>
      </c>
      <c r="AVE1" t="str">
        <f>'Upload AXI - CONF'!C640</f>
        <v/>
      </c>
      <c r="AVF1" t="str">
        <f>'Upload AXI - CONF'!C641</f>
        <v/>
      </c>
      <c r="AVG1" t="str">
        <f>'Upload AXI - CONF'!C642</f>
        <v/>
      </c>
      <c r="AVH1" t="str">
        <f>'Upload AXI - CONF'!C643</f>
        <v/>
      </c>
      <c r="AVI1" t="str">
        <f>'Upload AXI - CONF'!C644</f>
        <v/>
      </c>
      <c r="AVJ1" t="str">
        <f>'Upload AXI - CONF'!C645</f>
        <v/>
      </c>
      <c r="AVK1" t="str">
        <f>'Upload AXI - CONF'!C646</f>
        <v>Object.BTAD.FlexBTA50</v>
      </c>
      <c r="AVL1" t="str">
        <f>'Upload AXI - CONF'!C647</f>
        <v>Object.BTAD.FlexBTA51</v>
      </c>
      <c r="AVM1" t="str">
        <f>'Upload AXI - CONF'!C648</f>
        <v>Object.BTAD.FlexBTA3</v>
      </c>
      <c r="AVN1" t="str">
        <f>'Upload AXI - CONF'!C650</f>
        <v>Object.BTAD.FlexBTA4</v>
      </c>
      <c r="AVO1" t="str">
        <f>'Upload AXI - CONF'!C651</f>
        <v>Object.BTAD.FlexBTA5</v>
      </c>
      <c r="AVP1" t="str">
        <f>'Upload AXI - CONF'!C652</f>
        <v>Object.BTAD.FlexBTA9</v>
      </c>
      <c r="AVQ1" t="str">
        <f>'Upload AXI - CONF'!C653</f>
        <v>Object.BTAD.FlexBTA10</v>
      </c>
      <c r="AVR1" t="str">
        <f>'Upload AXI - CONF'!C654</f>
        <v>Object.BTAD.FlexO011</v>
      </c>
      <c r="AVS1" t="str">
        <f>'Upload AXI - CONF'!C655</f>
        <v>Object.BTAD.FlexBTA8</v>
      </c>
      <c r="AVT1" t="str">
        <f>'Upload AXI - CONF'!C656</f>
        <v>Object.BTAD.FlexBTA52</v>
      </c>
      <c r="AVU1" t="str">
        <f>'Upload AXI - CONF'!C657</f>
        <v>Object.BTAD.FlexBTA12</v>
      </c>
      <c r="AVV1" t="str">
        <f>'Upload AXI - CONF'!C658</f>
        <v/>
      </c>
      <c r="AVW1" t="str">
        <f>'Upload AXI - CONF'!C659</f>
        <v>Object.BTAD.FlexVO12bis</v>
      </c>
      <c r="AVX1" t="str">
        <f>'Upload AXI - CONF'!C660</f>
        <v>Object.BTAD.FlexVO511</v>
      </c>
      <c r="AVY1" t="str">
        <f>'Upload AXI - CONF'!C661</f>
        <v>Object.BTAD.FlexVO511T</v>
      </c>
      <c r="AVZ1" t="str">
        <f>'Upload AXI - CONF'!C662</f>
        <v>Object.BTAD.FlexVO511B</v>
      </c>
      <c r="AWA1" t="str">
        <f>'Upload AXI - CONF'!C663</f>
        <v>Object.BTAD.FlexVO512</v>
      </c>
      <c r="AWB1" t="str">
        <f>'Upload AXI - CONF'!C664</f>
        <v>Object.BTAD.FlexVO512T</v>
      </c>
      <c r="AWC1" t="str">
        <f>'Upload AXI - CONF'!C665</f>
        <v>Object.BTAD.FlexVO512B</v>
      </c>
      <c r="AWD1" t="str">
        <f>'Upload AXI - CONF'!C666</f>
        <v>Object.BTAD.FlexVO513</v>
      </c>
      <c r="AWE1" t="str">
        <f>'Upload AXI - CONF'!C667</f>
        <v>Object.BTAD.FlexVO513T</v>
      </c>
      <c r="AWF1" t="str">
        <f>'Upload AXI - CONF'!C668</f>
        <v>Object.BTAD.FlexVO513B</v>
      </c>
      <c r="AWG1" t="str">
        <f>'Upload AXI - CONF'!C669</f>
        <v>Object.BTAD.FlexVO514</v>
      </c>
      <c r="AWH1" t="str">
        <f>'Upload AXI - CONF'!C670</f>
        <v>Object.BTAD.FlexVO514T</v>
      </c>
      <c r="AWI1" t="str">
        <f>'Upload AXI - CONF'!C671</f>
        <v>Object.BTAD.FlexVO514B</v>
      </c>
      <c r="AWJ1" t="str">
        <f>'Upload AXI - CONF'!C672</f>
        <v>Object.BTAD.FlexVO12tri</v>
      </c>
      <c r="AWK1" t="str">
        <f>'Upload AXI - CONF'!C673</f>
        <v>Object.BTAD.FlexVO521</v>
      </c>
      <c r="AWL1" t="str">
        <f>'Upload AXI - CONF'!C674</f>
        <v>Object.BTAD.FlexVO521T</v>
      </c>
      <c r="AWM1" t="str">
        <f>'Upload AXI - CONF'!C675</f>
        <v>Object.BTAD.FlexVO521B</v>
      </c>
      <c r="AWN1" t="str">
        <f>'Upload AXI - CONF'!C676</f>
        <v>Object.BTAD.FlexVO522</v>
      </c>
      <c r="AWO1" t="str">
        <f>'Upload AXI - CONF'!C677</f>
        <v>Object.BTAD.FlexVO522T</v>
      </c>
      <c r="AWP1" t="str">
        <f>'Upload AXI - CONF'!C678</f>
        <v>Object.BTAD.FlexVO522B</v>
      </c>
      <c r="AWQ1" t="str">
        <f>'Upload AXI - CONF'!C679</f>
        <v>Object.BTAD.FlexVO523</v>
      </c>
      <c r="AWR1" t="str">
        <f>'Upload AXI - CONF'!C680</f>
        <v>Object.BTAD.FlexVO523T</v>
      </c>
      <c r="AWS1" t="str">
        <f>'Upload AXI - CONF'!C681</f>
        <v>Object.BTAD.FlexVO523B</v>
      </c>
      <c r="AWT1" t="str">
        <f>'Upload AXI - CONF'!C682</f>
        <v>Object.BTAD.FlexVO524</v>
      </c>
      <c r="AWU1" t="str">
        <f>'Upload AXI - CONF'!C683</f>
        <v>Object.BTAD.FlexVO524T</v>
      </c>
      <c r="AWV1" t="str">
        <f>'Upload AXI - CONF'!C684</f>
        <v>Object.BTAD.FlexVO524B</v>
      </c>
      <c r="AWW1" t="str">
        <f>'Upload AXI - CONF'!C685</f>
        <v>Object.BTAD.FlexVO12quat</v>
      </c>
      <c r="AWX1" t="str">
        <f>'Upload AXI - CONF'!C686</f>
        <v>Object.BTAD.FlexVO531</v>
      </c>
      <c r="AWY1" t="str">
        <f>'Upload AXI - CONF'!C687</f>
        <v>Object.BTAD.FlexVO531T</v>
      </c>
      <c r="AWZ1" t="str">
        <f>'Upload AXI - CONF'!C688</f>
        <v>Object.BTAD.FlexVO531B</v>
      </c>
      <c r="AXA1" t="str">
        <f>'Upload AXI - CONF'!C689</f>
        <v>Object.BTAD.FlexVO532</v>
      </c>
      <c r="AXB1" t="str">
        <f>'Upload AXI - CONF'!C690</f>
        <v>Object.BTAD.FlexVO532T</v>
      </c>
      <c r="AXC1" t="str">
        <f>'Upload AXI - CONF'!C691</f>
        <v>Object.BTAD.FlexVO532B</v>
      </c>
      <c r="AXD1" t="str">
        <f>'Upload AXI - CONF'!C692</f>
        <v>Object.BTAD.FlexVO533</v>
      </c>
      <c r="AXE1" t="str">
        <f>'Upload AXI - CONF'!C693</f>
        <v>Object.BTAD.FlexVO533T</v>
      </c>
      <c r="AXF1" t="str">
        <f>'Upload AXI - CONF'!C694</f>
        <v>Object.BTAD.FlexVO533B</v>
      </c>
      <c r="AXG1" t="str">
        <f>'Upload AXI - CONF'!C695</f>
        <v>Object.BTAD.FlexVO534</v>
      </c>
      <c r="AXH1" t="str">
        <f>'Upload AXI - CONF'!C696</f>
        <v>Object.BTAD.FlexVO534T</v>
      </c>
      <c r="AXI1" t="str">
        <f>'Upload AXI - CONF'!C697</f>
        <v>Object.BTAD.FlexVO534B</v>
      </c>
      <c r="AXJ1" t="str">
        <f>'Upload AXI - CONF'!C698</f>
        <v/>
      </c>
      <c r="AXK1" t="str">
        <f>'Upload AXI - CONF'!C699</f>
        <v/>
      </c>
      <c r="AXL1" t="str">
        <f>'Upload AXI - CONF'!C700</f>
        <v/>
      </c>
      <c r="AXM1" t="str">
        <f>'Upload AXI - CONF'!C701</f>
        <v/>
      </c>
      <c r="AXN1" t="str">
        <f>'Upload AXI - CONF'!C704</f>
        <v/>
      </c>
      <c r="AXO1" t="str">
        <f>'Upload AXI - CONF'!C705</f>
        <v/>
      </c>
      <c r="AXP1" t="str">
        <f>'Upload AXI - CONF'!C706</f>
        <v/>
      </c>
      <c r="AXQ1" t="str">
        <f>'Upload AXI - CONF'!C707</f>
        <v/>
      </c>
      <c r="AXR1" t="str">
        <f>'Upload AXI - CONF'!C708</f>
        <v/>
      </c>
      <c r="AXS1" t="str">
        <f>'Upload AXI - CONF'!C709</f>
        <v/>
      </c>
      <c r="AXT1" t="str">
        <f>'Upload AXI - CONF'!C710</f>
        <v/>
      </c>
      <c r="AXU1" t="str">
        <f>'Upload AXI - CONF'!C711</f>
        <v/>
      </c>
      <c r="AXV1" t="str">
        <f>'Upload AXI - CONF'!C712</f>
        <v/>
      </c>
      <c r="AXW1" t="str">
        <f>'Upload AXI - CONF'!C713</f>
        <v/>
      </c>
      <c r="AXX1" t="str">
        <f>'Upload AXI - CONF'!C714</f>
        <v/>
      </c>
      <c r="AXY1" t="str">
        <f>'Upload AXI - CONF'!C715</f>
        <v/>
      </c>
      <c r="AXZ1" t="str">
        <f>'Upload AXI - CONF'!C716</f>
        <v/>
      </c>
      <c r="AYA1" t="str">
        <f>'Upload AXI - CONF'!C717</f>
        <v/>
      </c>
      <c r="AYB1" t="str">
        <f>'Upload AXI - CONF'!C718</f>
        <v/>
      </c>
      <c r="AYC1" t="str">
        <f>'Upload AXI - CONF'!C719</f>
        <v/>
      </c>
      <c r="AYD1" t="str">
        <f>'Upload AXI - CONF'!C720</f>
        <v/>
      </c>
      <c r="AYE1" t="str">
        <f>'Upload AXI - CONF'!C721</f>
        <v/>
      </c>
      <c r="AYF1" t="str">
        <f>'Upload AXI - CONF'!C722</f>
        <v/>
      </c>
      <c r="AYG1" t="str">
        <f>'Upload AXI - CONF'!C723</f>
        <v/>
      </c>
      <c r="AYH1" t="str">
        <f>'Upload AXI - CONF'!C724</f>
        <v/>
      </c>
      <c r="AYI1" t="str">
        <f>'Upload AXI - CONF'!C725</f>
        <v/>
      </c>
      <c r="AYJ1" t="str">
        <f>'Upload AXI - CONF'!C726</f>
        <v/>
      </c>
      <c r="AYK1" t="str">
        <f>'Upload AXI - CONF'!C727</f>
        <v/>
      </c>
      <c r="AYL1" t="str">
        <f>'Upload AXI - CONF'!C728</f>
        <v/>
      </c>
      <c r="AYM1" t="str">
        <f>'Upload AXI - CONF'!C729</f>
        <v/>
      </c>
      <c r="AYN1" t="str">
        <f>'Upload AXI - CONF'!C730</f>
        <v/>
      </c>
      <c r="AYO1" t="str">
        <f>'Upload AXI - CONF'!C731</f>
        <v/>
      </c>
      <c r="AYP1" t="str">
        <f>'Upload AXI - CONF'!C732</f>
        <v/>
      </c>
      <c r="AYQ1" t="str">
        <f>'Upload AXI - CONF'!C733</f>
        <v/>
      </c>
      <c r="AYR1" t="str">
        <f>'Upload AXI - CONF'!C734</f>
        <v/>
      </c>
      <c r="AYS1" t="str">
        <f>'Upload AXI - CONF'!C735</f>
        <v/>
      </c>
      <c r="AYT1" t="str">
        <f>'Upload AXI - CONF'!C736</f>
        <v/>
      </c>
      <c r="AYU1" t="str">
        <f>'Upload AXI - CONF'!C737</f>
        <v/>
      </c>
      <c r="AYV1" t="str">
        <f>'Upload AXI - CONF'!C738</f>
        <v/>
      </c>
      <c r="AYW1" t="str">
        <f>'Upload AXI - CONF'!C739</f>
        <v/>
      </c>
      <c r="AYX1" t="str">
        <f>'Upload AXI - CONF'!C740</f>
        <v/>
      </c>
      <c r="AYY1" t="str">
        <f>'Upload AXI - CONF'!C741</f>
        <v/>
      </c>
      <c r="AYZ1" t="str">
        <f>'Upload AXI - CONF'!C742</f>
        <v/>
      </c>
      <c r="AZA1" t="str">
        <f>'Upload AXI - CONF'!C743</f>
        <v/>
      </c>
      <c r="AZB1" t="str">
        <f>'Upload AXI - CONF'!C744</f>
        <v/>
      </c>
      <c r="AZC1" t="str">
        <f>'Upload AXI - CONF'!C745</f>
        <v/>
      </c>
      <c r="AZD1" t="str">
        <f>'Upload AXI - CONF'!C746</f>
        <v/>
      </c>
      <c r="AZE1" t="str">
        <f>'Upload AXI - CONF'!C747</f>
        <v/>
      </c>
      <c r="AZF1" t="str">
        <f>'Upload AXI - CONF'!C751</f>
        <v/>
      </c>
      <c r="AZG1" t="str">
        <f>'Upload AXI - CONF'!C752</f>
        <v/>
      </c>
      <c r="AZH1" t="str">
        <f>'Upload AXI - CONF'!C753</f>
        <v/>
      </c>
      <c r="AZI1" t="str">
        <f>'Upload AXI - CONF'!C754</f>
        <v>Dossier.FlexEA45</v>
      </c>
      <c r="AZJ1" t="str">
        <f>'Upload AXI - CONF'!C755</f>
        <v/>
      </c>
      <c r="AZK1" t="str">
        <f>'Upload AXI - CONF'!C756</f>
        <v/>
      </c>
      <c r="AZL1" t="str">
        <f>'Upload AXI - CONF'!C757</f>
        <v/>
      </c>
      <c r="AZM1" t="str">
        <f>'Upload AXI - CONF'!C758</f>
        <v>Dossier.FlexB888</v>
      </c>
      <c r="AZN1" t="str">
        <f>'Upload AXI - CONF'!C759</f>
        <v/>
      </c>
      <c r="AZO1" t="str">
        <f>'Upload AXI - CONF'!C760</f>
        <v>Dossier.FlexAO406</v>
      </c>
      <c r="AZP1" t="str">
        <f>'Upload AXI - CONF'!C761</f>
        <v>Dossier.FlexAO407</v>
      </c>
      <c r="AZQ1" t="str">
        <f>'Upload AXI - CONF'!C762</f>
        <v>Dossier.FlexAO408</v>
      </c>
      <c r="AZR1" t="str">
        <f>'Upload AXI - CONF'!C763</f>
        <v/>
      </c>
      <c r="AZS1" t="str">
        <f>'Upload AXI - CONF'!C764</f>
        <v/>
      </c>
      <c r="AZT1" t="str">
        <f>'Upload AXI - CONF'!C765</f>
        <v/>
      </c>
      <c r="AZU1" t="str">
        <f>'Upload AXI - CONF'!C766</f>
        <v>Dossier.FlexAO409</v>
      </c>
      <c r="AZV1" t="str">
        <f>'Upload AXI - CONF'!C748</f>
        <v/>
      </c>
      <c r="AZW1" t="str">
        <f>'Upload AXI - CONF'!C749</f>
        <v/>
      </c>
      <c r="AZX1" t="str">
        <f>'Upload AXI - CONF'!C750</f>
        <v/>
      </c>
      <c r="AZY1" t="str">
        <f>'Upload AXI - CONF'!C767</f>
        <v>Object.RAM[Z1K1].FlexAO403</v>
      </c>
      <c r="AZZ1" t="str">
        <f>'Upload AXI - CONF'!C768</f>
        <v>Object.RAM[Z1K1].FlexAO404</v>
      </c>
      <c r="BAA1" t="str">
        <f>'Upload AXI - CONF'!C769</f>
        <v>Object.RAM[Z1K1].FlexAO405</v>
      </c>
      <c r="BAB1" t="str">
        <f>'Upload AXI - CONF'!C770</f>
        <v>Object.RAM[Z1K2].FlexAO403</v>
      </c>
      <c r="BAC1" t="str">
        <f>'Upload AXI - CONF'!C771</f>
        <v>Object.RAM[Z1K2].FlexAO404</v>
      </c>
      <c r="BAD1" t="str">
        <f>'Upload AXI - CONF'!C772</f>
        <v>Object.RAM[Z1K2].FlexAO405</v>
      </c>
      <c r="BAE1" t="str">
        <f>'Upload AXI - CONF'!C773</f>
        <v>Object.RAM[Z1K3].FlexAO403</v>
      </c>
      <c r="BAF1" t="str">
        <f>'Upload AXI - CONF'!C774</f>
        <v>Object.RAM[Z1K3].FlexAO404</v>
      </c>
      <c r="BAG1" t="str">
        <f>'Upload AXI - CONF'!C775</f>
        <v>Object.RAM[Z1K3].FlexAO405</v>
      </c>
      <c r="BAH1" t="str">
        <f>'Upload AXI - CONF'!C776</f>
        <v>Object.RAM[Z1K4].FlexAO403</v>
      </c>
      <c r="BAI1" t="str">
        <f>'Upload AXI - CONF'!C777</f>
        <v>Object.RAM[Z1K4].FlexAO404</v>
      </c>
      <c r="BAJ1" t="str">
        <f>'Upload AXI - CONF'!C778</f>
        <v>Object.RAM[Z1K4].FlexAO405</v>
      </c>
      <c r="BAK1" t="str">
        <f>'Upload AXI - CONF'!C779</f>
        <v>Object.RAM[Z2K1].FlexAO403</v>
      </c>
      <c r="BAL1" t="str">
        <f>'Upload AXI - CONF'!C780</f>
        <v>Object.RAM[Z2K1].FlexAO404</v>
      </c>
      <c r="BAM1" t="str">
        <f>'Upload AXI - CONF'!C781</f>
        <v>Object.RAM[Z2K1].FlexAO405</v>
      </c>
      <c r="BAN1" t="str">
        <f>'Upload AXI - CONF'!C782</f>
        <v>Object.RAM[Z2K2].FlexAO403</v>
      </c>
      <c r="BAO1" t="str">
        <f>'Upload AXI - CONF'!C783</f>
        <v>Object.RAM[Z2K2].FlexAO404</v>
      </c>
      <c r="BAP1" t="str">
        <f>'Upload AXI - CONF'!C784</f>
        <v>Object.RAM[Z2K2].FlexAO405</v>
      </c>
      <c r="BAQ1" t="str">
        <f>'Upload AXI - CONF'!C785</f>
        <v>Object.RAM[Z2K3].FlexAO403</v>
      </c>
      <c r="BAR1" t="str">
        <f>'Upload AXI - CONF'!C786</f>
        <v>Object.RAM[Z2K3].FlexAO404</v>
      </c>
      <c r="BAS1" t="str">
        <f>'Upload AXI - CONF'!C787</f>
        <v>Object.RAM[Z2K3].FlexAO405</v>
      </c>
      <c r="BAT1" t="str">
        <f>'Upload AXI - CONF'!C788</f>
        <v>Object.RAM[Z2K4].FlexAO403</v>
      </c>
      <c r="BAU1" t="str">
        <f>'Upload AXI - CONF'!C789</f>
        <v>Object.RAM[Z2K4].FlexAO404</v>
      </c>
      <c r="BAV1" t="str">
        <f>'Upload AXI - CONF'!C790</f>
        <v>Object.RAM[Z2K4].FlexAO405</v>
      </c>
      <c r="BAW1" t="str">
        <f>'Upload AXI - CONF'!C791</f>
        <v>Object.RAM[Z3K1].FlexAO403</v>
      </c>
      <c r="BAX1" t="str">
        <f>'Upload AXI - CONF'!C792</f>
        <v>Object.RAM[Z3K1].FlexAO404</v>
      </c>
      <c r="BAY1" t="str">
        <f>'Upload AXI - CONF'!C793</f>
        <v>Object.RAM[Z3K1].FlexAO405</v>
      </c>
      <c r="BAZ1" t="str">
        <f>'Upload AXI - CONF'!C794</f>
        <v>Object.RAM[Z3K2].FlexAO403</v>
      </c>
      <c r="BBA1" t="str">
        <f>'Upload AXI - CONF'!C795</f>
        <v>Object.RAM[Z3K2].FlexAO404</v>
      </c>
      <c r="BBB1" t="str">
        <f>'Upload AXI - CONF'!C796</f>
        <v>Object.RAM[Z3K2].FlexAO405</v>
      </c>
      <c r="BBC1" t="str">
        <f>'Upload AXI - CONF'!C797</f>
        <v>Object.RAM[Z3K3].FlexAO403</v>
      </c>
      <c r="BBD1" t="str">
        <f>'Upload AXI - CONF'!C798</f>
        <v>Object.RAM[Z3K3].FlexAO404</v>
      </c>
      <c r="BBE1" t="str">
        <f>'Upload AXI - CONF'!C799</f>
        <v>Object.RAM[Z3K3].FlexAO405</v>
      </c>
      <c r="BBF1" t="str">
        <f>'Upload AXI - CONF'!C800</f>
        <v>Object.RAM[Z3K4].FlexAO403</v>
      </c>
      <c r="BBG1" t="str">
        <f>'Upload AXI - CONF'!C801</f>
        <v>Object.RAM[Z3K4].FlexAO404</v>
      </c>
      <c r="BBH1" t="str">
        <f>'Upload AXI - CONF'!C802</f>
        <v>Object.RAM[Z3K4].FlexAO405</v>
      </c>
      <c r="BBI1" t="str">
        <f>'Upload AXI - CONF'!C803</f>
        <v/>
      </c>
      <c r="BBJ1" t="str">
        <f>'Upload AXI - CONF'!C804</f>
        <v/>
      </c>
      <c r="BBK1" t="str">
        <f>'Upload AXI - CONF'!C805</f>
        <v/>
      </c>
      <c r="BBL1" t="str">
        <f>'Upload AXI - CONF'!C806</f>
        <v/>
      </c>
      <c r="BBM1" t="str">
        <f>'Upload AXI - CONF'!C807</f>
        <v/>
      </c>
      <c r="BBN1" t="str">
        <f>'Upload AXI - CONF'!C808</f>
        <v/>
      </c>
      <c r="BBO1" t="str">
        <f>'Upload AXI - CONF'!C809</f>
        <v/>
      </c>
      <c r="BBP1" t="str">
        <f>'Upload AXI - CONF'!C810</f>
        <v/>
      </c>
      <c r="BBQ1" t="str">
        <f>'Upload AXI - CONF'!C811</f>
        <v/>
      </c>
      <c r="BBR1" t="str">
        <f>'Upload AXI - CONF'!C812</f>
        <v/>
      </c>
      <c r="BBS1" t="str">
        <f>'Upload AXI - CONF'!C813</f>
        <v/>
      </c>
      <c r="BBT1" t="str">
        <f>'Upload AXI - CONF'!C814</f>
        <v/>
      </c>
      <c r="BBU1" t="str">
        <f>'Upload AXI - CONF'!C815</f>
        <v/>
      </c>
      <c r="BBV1" t="str">
        <f>'Upload AXI - CONF'!C816</f>
        <v/>
      </c>
      <c r="BBW1" t="str">
        <f>'Upload AXI - CONF'!C817</f>
        <v/>
      </c>
      <c r="BBX1" t="str">
        <f>'Upload AXI - CONF'!C818</f>
        <v/>
      </c>
      <c r="BBY1" t="str">
        <f>'Upload AXI - CONF'!C819</f>
        <v/>
      </c>
      <c r="BBZ1" t="str">
        <f>'Upload AXI - CONF'!C820</f>
        <v/>
      </c>
      <c r="BCA1" t="str">
        <f>'Upload AXI - CONF'!C821</f>
        <v/>
      </c>
      <c r="BCB1" t="str">
        <f>'Upload AXI - CONF'!C822</f>
        <v/>
      </c>
      <c r="BCC1" t="str">
        <f>'Upload AXI - CONF'!C823</f>
        <v/>
      </c>
      <c r="BCD1" t="str">
        <f>'Upload AXI - CONF'!C824</f>
        <v/>
      </c>
      <c r="BCE1" t="str">
        <f>'Upload AXI - CONF'!C825</f>
        <v/>
      </c>
      <c r="BCF1" t="str">
        <f>'Upload AXI - CONF'!C826</f>
        <v/>
      </c>
      <c r="BCG1" t="str">
        <f>'Upload AXI - CONF'!C827</f>
        <v/>
      </c>
      <c r="BCH1" t="str">
        <f>'Upload AXI - CONF'!C828</f>
        <v/>
      </c>
      <c r="BCI1" t="str">
        <f>'Upload AXI - CONF'!C829</f>
        <v/>
      </c>
      <c r="BCJ1" t="str">
        <f>'Upload AXI - CONF'!C830</f>
        <v/>
      </c>
      <c r="BCK1" t="str">
        <f>'Upload AXI - CONF'!C831</f>
        <v/>
      </c>
      <c r="BCL1" t="str">
        <f>'Upload AXI - CONF'!C832</f>
        <v/>
      </c>
      <c r="BCM1" t="str">
        <f>'Upload AXI - CONF'!C833</f>
        <v/>
      </c>
      <c r="BCN1" t="str">
        <f>'Upload AXI - CONF'!C834</f>
        <v/>
      </c>
      <c r="BCO1" t="str">
        <f>'Upload AXI - CONF'!C835</f>
        <v/>
      </c>
      <c r="BCP1" t="str">
        <f>'Upload AXI - CONF'!C836</f>
        <v/>
      </c>
      <c r="BCQ1" t="str">
        <f>'Upload AXI - CONF'!C837</f>
        <v/>
      </c>
      <c r="BCR1" t="str">
        <f>'Upload AXI - CONF'!C838</f>
        <v/>
      </c>
      <c r="BCS1" t="str">
        <f>'Upload AXI - CONF'!C839</f>
        <v/>
      </c>
      <c r="BCT1" t="str">
        <f>'Upload AXI - CONF'!$C840</f>
        <v/>
      </c>
      <c r="BCU1" t="str">
        <f>'Upload AXI - CONF'!$C841</f>
        <v/>
      </c>
      <c r="BCV1" t="str">
        <f>'Upload AXI - CONF'!$C842</f>
        <v/>
      </c>
      <c r="BCW1" t="str">
        <f>'Upload AXI - CONF'!$C843</f>
        <v/>
      </c>
      <c r="BCX1" t="str">
        <f>'Upload AXI - CONF'!$C844</f>
        <v/>
      </c>
      <c r="BCY1" t="str">
        <f>'Upload AXI - CONF'!$C845</f>
        <v>Dossier.FlexZAK001</v>
      </c>
      <c r="BCZ1" t="str">
        <f>'Upload AXI - CONF'!$C846</f>
        <v>Dossier.FlexAK003</v>
      </c>
      <c r="BDA1" t="str">
        <f>'Upload AXI - CONF'!$C847</f>
        <v/>
      </c>
      <c r="BDB1" t="str">
        <f>'Upload AXI - CONF'!$C848</f>
        <v/>
      </c>
      <c r="BDC1" t="str">
        <f>'Upload AXI - CONF'!$C849</f>
        <v/>
      </c>
      <c r="BDD1" t="str">
        <f>'Upload AXI - CONF'!$C850</f>
        <v/>
      </c>
    </row>
    <row r="2" spans="1:1542" x14ac:dyDescent="0.3">
      <c r="A2">
        <f>'Upload AXI - CONF'!D2</f>
        <v>0</v>
      </c>
      <c r="B2" s="558" t="e">
        <f ca="1">'Upload AXI - CONF'!D3</f>
        <v>#REF!</v>
      </c>
      <c r="C2" s="558">
        <f>'Upload AXI - CONF'!D4</f>
        <v>0</v>
      </c>
      <c r="D2" s="770">
        <f>'Upload AXI - CONF'!D5</f>
        <v>0</v>
      </c>
      <c r="E2" t="str">
        <f>'Upload AXI - CONF'!D6</f>
        <v/>
      </c>
      <c r="F2" t="str">
        <f>'Upload AXI - CONF'!D7</f>
        <v/>
      </c>
      <c r="G2" t="str">
        <f>'Upload AXI - CONF'!D8</f>
        <v/>
      </c>
      <c r="H2" t="str">
        <f>'Upload AXI - CONF'!D9</f>
        <v/>
      </c>
      <c r="I2" t="str">
        <f>'Upload AXI - CONF'!D10</f>
        <v/>
      </c>
      <c r="J2" t="str">
        <f>'Upload AXI - CONF'!D11</f>
        <v/>
      </c>
      <c r="K2" t="str">
        <f>'Upload AXI - CONF'!D12</f>
        <v/>
      </c>
      <c r="L2" t="str">
        <f>'Upload AXI - CONF'!D13</f>
        <v/>
      </c>
      <c r="M2" t="str">
        <f>'Upload AXI - CONF'!D14</f>
        <v/>
      </c>
      <c r="N2" t="str">
        <f>'Upload AXI - CONF'!D15</f>
        <v/>
      </c>
      <c r="O2" t="str">
        <f>'Upload AXI - CONF'!D16</f>
        <v/>
      </c>
      <c r="P2" t="str">
        <f>'Upload AXI - CONF'!D17</f>
        <v/>
      </c>
      <c r="Q2" t="str">
        <f>'Upload AXI - CONF'!D18</f>
        <v/>
      </c>
      <c r="R2" t="str">
        <f>'Upload AXI - CONF'!D19</f>
        <v/>
      </c>
      <c r="S2" t="str">
        <f>'Upload AXI - CONF'!D20</f>
        <v/>
      </c>
      <c r="T2" t="str">
        <f>'Upload AXI - CONF'!D21</f>
        <v/>
      </c>
      <c r="U2" t="str">
        <f>'Upload AXI - CONF'!D22</f>
        <v/>
      </c>
      <c r="V2" t="str">
        <f>'Upload AXI - CONF'!D23</f>
        <v/>
      </c>
      <c r="W2" t="str">
        <f>'Upload AXI - CONF'!D24</f>
        <v/>
      </c>
      <c r="X2" t="str">
        <f>'Upload AXI - CONF'!D25</f>
        <v/>
      </c>
      <c r="Y2" t="str">
        <f>'Upload AXI - CONF'!D26</f>
        <v/>
      </c>
      <c r="Z2" t="str">
        <f>'Upload AXI - CONF'!D27</f>
        <v/>
      </c>
      <c r="AA2" t="str">
        <f>'Upload AXI - CONF'!D28</f>
        <v/>
      </c>
      <c r="AB2" t="str">
        <f>'Upload AXI - CONF'!D29</f>
        <v/>
      </c>
      <c r="AC2" s="558" t="str">
        <f>'Upload AXI - CONF'!D30</f>
        <v/>
      </c>
      <c r="AD2" s="558" t="str">
        <f>'Upload AXI - CONF'!D31</f>
        <v/>
      </c>
      <c r="AE2" s="558" t="str">
        <f>'Upload AXI - CONF'!D32</f>
        <v/>
      </c>
      <c r="AF2" s="558" t="str">
        <f>'Upload AXI - CONF'!D33</f>
        <v/>
      </c>
      <c r="AG2" s="558" t="str">
        <f>'Upload AXI - CONF'!D34</f>
        <v/>
      </c>
      <c r="AH2" s="558" t="str">
        <f>'Upload AXI - CONF'!D35</f>
        <v/>
      </c>
      <c r="AI2" s="558" t="str">
        <f>'Upload AXI - CONF'!D36</f>
        <v/>
      </c>
      <c r="AJ2" s="558" t="str">
        <f>'Upload AXI - CONF'!D37</f>
        <v/>
      </c>
      <c r="AK2" s="558" t="str">
        <f>'Upload AXI - CONF'!D38</f>
        <v/>
      </c>
      <c r="AL2" s="558" t="str">
        <f>'Upload AXI - CONF'!D39</f>
        <v/>
      </c>
      <c r="AM2" s="558" t="str">
        <f>'Upload AXI - CONF'!D40</f>
        <v/>
      </c>
      <c r="AN2" s="558" t="str">
        <f>'Upload AXI - CONF'!D41</f>
        <v/>
      </c>
      <c r="AO2" s="350">
        <f>'Upload AXI - CONF'!D42</f>
        <v>0</v>
      </c>
      <c r="AP2" s="350">
        <f>'Upload AXI - CONF'!D43</f>
        <v>0</v>
      </c>
      <c r="AQ2" s="350">
        <f>'Upload AXI - CONF'!D44</f>
        <v>0</v>
      </c>
      <c r="AR2" s="558">
        <f>'Upload AXI - CONF'!D45</f>
        <v>0</v>
      </c>
      <c r="AS2" s="558">
        <f>'Upload AXI - CONF'!D46</f>
        <v>0</v>
      </c>
      <c r="AT2" s="558">
        <f>'Upload AXI - CONF'!D47</f>
        <v>0</v>
      </c>
      <c r="AU2" s="558">
        <f>'Upload AXI - CONF'!D48</f>
        <v>0</v>
      </c>
      <c r="AV2" s="558">
        <f>'Upload AXI - CONF'!D49</f>
        <v>0</v>
      </c>
      <c r="AW2" s="558">
        <f>'Upload AXI - CONF'!D50</f>
        <v>0</v>
      </c>
      <c r="AX2" s="558">
        <f>'Upload AXI - CONF'!D51</f>
        <v>0</v>
      </c>
      <c r="AY2" s="558">
        <f>'Upload AXI - CONF'!D52</f>
        <v>0</v>
      </c>
      <c r="AZ2" s="558">
        <f>'Upload AXI - CONF'!D53</f>
        <v>0</v>
      </c>
      <c r="BA2" s="558">
        <f>'Upload AXI - CONF'!D54</f>
        <v>0</v>
      </c>
      <c r="BB2" s="491">
        <f>'Upload AXI - CONF'!D55</f>
        <v>0.21</v>
      </c>
      <c r="BC2" s="558">
        <f>'Upload AXI - CONF'!D56</f>
        <v>0</v>
      </c>
      <c r="BD2" s="558">
        <f>'Upload AXI - CONF'!D57</f>
        <v>0</v>
      </c>
      <c r="BE2" s="350">
        <f>'Upload AXI - CONF'!D58</f>
        <v>0</v>
      </c>
      <c r="BF2" s="350">
        <f>'Upload AXI - CONF'!D59</f>
        <v>0</v>
      </c>
      <c r="BG2" s="491">
        <f>'Upload AXI - CONF'!D60</f>
        <v>0</v>
      </c>
      <c r="BH2" s="558">
        <f>'Upload AXI - CONF'!D61</f>
        <v>0</v>
      </c>
      <c r="BI2" s="558">
        <f>'Upload AXI - CONF'!D62</f>
        <v>0</v>
      </c>
      <c r="BJ2" s="558">
        <f>'Upload AXI - CONF'!D63</f>
        <v>0</v>
      </c>
      <c r="BK2" s="558">
        <f>'Upload AXI - CONF'!D64</f>
        <v>0</v>
      </c>
      <c r="BL2" s="558">
        <f>'Upload AXI - CONF'!D65</f>
        <v>0</v>
      </c>
      <c r="BM2" s="558">
        <f>'Upload AXI - CONF'!D66</f>
        <v>0</v>
      </c>
      <c r="BN2" s="558">
        <f>'Upload AXI - CONF'!D67</f>
        <v>0</v>
      </c>
      <c r="BO2" s="558">
        <f>'Upload AXI - CONF'!D68</f>
        <v>0</v>
      </c>
      <c r="BP2" s="558">
        <f>'Upload AXI - CONF'!D69</f>
        <v>0</v>
      </c>
      <c r="BQ2" s="558">
        <f>'Upload AXI - CONF'!D70</f>
        <v>0</v>
      </c>
      <c r="BR2" s="491">
        <f>'Upload AXI - CONF'!D71</f>
        <v>0.21</v>
      </c>
      <c r="BS2" s="350">
        <f>'Upload AXI - CONF'!D72</f>
        <v>0</v>
      </c>
      <c r="BT2" s="350">
        <f>'Upload AXI - CONF'!D73</f>
        <v>0</v>
      </c>
      <c r="BU2" s="350">
        <f>'Upload AXI - CONF'!D74</f>
        <v>0</v>
      </c>
      <c r="BV2" s="350">
        <f>'Upload AXI - CONF'!D75</f>
        <v>0</v>
      </c>
      <c r="BW2" s="491">
        <f>'Upload AXI - CONF'!D76</f>
        <v>0</v>
      </c>
      <c r="BX2" s="558">
        <f>'Upload AXI - CONF'!D77</f>
        <v>0</v>
      </c>
      <c r="BY2" s="558">
        <f>'Upload AXI - CONF'!D78</f>
        <v>0</v>
      </c>
      <c r="BZ2" s="558">
        <f>'Upload AXI - CONF'!D79</f>
        <v>0</v>
      </c>
      <c r="CA2" s="558">
        <f>'Upload AXI - CONF'!D80</f>
        <v>0</v>
      </c>
      <c r="CB2" s="558">
        <f>'Upload AXI - CONF'!D81</f>
        <v>0</v>
      </c>
      <c r="CC2" s="558">
        <f>'Upload AXI - CONF'!D82</f>
        <v>0</v>
      </c>
      <c r="CD2" s="558">
        <f>'Upload AXI - CONF'!D83</f>
        <v>0</v>
      </c>
      <c r="CE2" s="558">
        <f>'Upload AXI - CONF'!D84</f>
        <v>0</v>
      </c>
      <c r="CF2" s="558">
        <f>'Upload AXI - CONF'!D85</f>
        <v>0</v>
      </c>
      <c r="CG2" s="558">
        <f>'Upload AXI - CONF'!D86</f>
        <v>0</v>
      </c>
      <c r="CH2" s="491">
        <f>'Upload AXI - CONF'!D87</f>
        <v>0.21</v>
      </c>
      <c r="CI2" s="558">
        <f>'Upload AXI - CONF'!D88</f>
        <v>0</v>
      </c>
      <c r="CJ2" s="558">
        <f>'Upload AXI - CONF'!D89</f>
        <v>0</v>
      </c>
      <c r="CK2" s="350">
        <f>'Upload AXI - CONF'!D90</f>
        <v>0</v>
      </c>
      <c r="CL2" s="350">
        <f>'Upload AXI - CONF'!D91</f>
        <v>0</v>
      </c>
      <c r="CM2" s="491">
        <f>'Upload AXI - CONF'!D92</f>
        <v>0</v>
      </c>
      <c r="CN2" s="558">
        <f>'Upload AXI - CONF'!D93</f>
        <v>0</v>
      </c>
      <c r="CO2" s="558">
        <f>'Upload AXI - CONF'!D94</f>
        <v>0</v>
      </c>
      <c r="CP2" s="558">
        <f>'Upload AXI - CONF'!D95</f>
        <v>0</v>
      </c>
      <c r="CQ2" s="558">
        <f>'Upload AXI - CONF'!D96</f>
        <v>0</v>
      </c>
      <c r="CR2" s="558">
        <f>'Upload AXI - CONF'!D97</f>
        <v>0</v>
      </c>
      <c r="CS2" s="558">
        <f>'Upload AXI - CONF'!D98</f>
        <v>0</v>
      </c>
      <c r="CT2" s="558">
        <f>'Upload AXI - CONF'!D99</f>
        <v>0</v>
      </c>
      <c r="CU2" s="558">
        <f>'Upload AXI - CONF'!D100</f>
        <v>0</v>
      </c>
      <c r="CV2" s="558">
        <f>'Upload AXI - CONF'!D101</f>
        <v>0</v>
      </c>
      <c r="CW2" s="558">
        <f>'Upload AXI - CONF'!D102</f>
        <v>0</v>
      </c>
      <c r="CX2" s="491">
        <f>'Upload AXI - CONF'!D103</f>
        <v>0.21</v>
      </c>
      <c r="CY2" s="558">
        <f>'Upload AXI - CONF'!D104</f>
        <v>0</v>
      </c>
      <c r="CZ2" s="558">
        <f>'Upload AXI - CONF'!D105</f>
        <v>0</v>
      </c>
      <c r="DA2" s="350">
        <f>'Upload AXI - CONF'!D106</f>
        <v>0</v>
      </c>
      <c r="DB2" s="350">
        <f>'Upload AXI - CONF'!D107</f>
        <v>0</v>
      </c>
      <c r="DC2" s="491">
        <f>'Upload AXI - CONF'!D108</f>
        <v>0</v>
      </c>
      <c r="DD2" s="558">
        <f>'Upload AXI - CONF'!D109</f>
        <v>0</v>
      </c>
      <c r="DE2" s="558">
        <f>'Upload AXI - CONF'!D110</f>
        <v>0</v>
      </c>
      <c r="DF2" s="558">
        <f>'Upload AXI - CONF'!D111</f>
        <v>0</v>
      </c>
      <c r="DG2" s="558">
        <f>'Upload AXI - CONF'!D112</f>
        <v>0</v>
      </c>
      <c r="DH2" s="558">
        <f>'Upload AXI - CONF'!D113</f>
        <v>0</v>
      </c>
      <c r="DI2" s="558">
        <f>'Upload AXI - CONF'!D114</f>
        <v>0</v>
      </c>
      <c r="DJ2" s="558">
        <f>'Upload AXI - CONF'!D115</f>
        <v>0</v>
      </c>
      <c r="DK2" s="558">
        <f>'Upload AXI - CONF'!D116</f>
        <v>0</v>
      </c>
      <c r="DL2" s="558">
        <f>'Upload AXI - CONF'!D117</f>
        <v>0</v>
      </c>
      <c r="DM2" s="558">
        <f>'Upload AXI - CONF'!D118</f>
        <v>0</v>
      </c>
      <c r="DN2" s="491">
        <f>'Upload AXI - CONF'!D119</f>
        <v>0</v>
      </c>
      <c r="DO2" s="558">
        <f>'Upload AXI - CONF'!D120</f>
        <v>0</v>
      </c>
      <c r="DP2" s="558">
        <f>'Upload AXI - CONF'!D121</f>
        <v>0</v>
      </c>
      <c r="DQ2" s="350">
        <f>'Upload AXI - CONF'!D122</f>
        <v>0</v>
      </c>
      <c r="DR2" s="350">
        <f>'Upload AXI - CONF'!D123</f>
        <v>0</v>
      </c>
      <c r="DS2" s="491">
        <f>'Upload AXI - CONF'!D124</f>
        <v>0</v>
      </c>
      <c r="DT2" s="558">
        <f>'Upload AXI - CONF'!D125</f>
        <v>0</v>
      </c>
      <c r="DU2" s="558">
        <f>'Upload AXI - CONF'!D126</f>
        <v>0</v>
      </c>
      <c r="DV2" s="558">
        <f>'Upload AXI - CONF'!D127</f>
        <v>0</v>
      </c>
      <c r="DW2" s="558">
        <f>'Upload AXI - CONF'!D128</f>
        <v>0</v>
      </c>
      <c r="DX2" s="558">
        <f>'Upload AXI - CONF'!D129</f>
        <v>0</v>
      </c>
      <c r="DY2" s="558">
        <f>'Upload AXI - CONF'!D130</f>
        <v>0</v>
      </c>
      <c r="DZ2" s="558">
        <f>'Upload AXI - CONF'!D131</f>
        <v>0</v>
      </c>
      <c r="EA2" s="558">
        <f>'Upload AXI - CONF'!D132</f>
        <v>0</v>
      </c>
      <c r="EB2" s="558">
        <f>'Upload AXI - CONF'!D133</f>
        <v>0</v>
      </c>
      <c r="EC2" s="558">
        <f>'Upload AXI - CONF'!D134</f>
        <v>0</v>
      </c>
      <c r="ED2" s="491">
        <f>'Upload AXI - CONF'!D135</f>
        <v>0.21</v>
      </c>
      <c r="EE2" s="558">
        <f>'Upload AXI - CONF'!D136</f>
        <v>0</v>
      </c>
      <c r="EF2" s="558">
        <f>'Upload AXI - CONF'!D137</f>
        <v>0</v>
      </c>
      <c r="EG2" s="350">
        <f>'Upload AXI - CONF'!D138</f>
        <v>0</v>
      </c>
      <c r="EH2" s="350">
        <f>'Upload AXI - CONF'!D139</f>
        <v>0</v>
      </c>
      <c r="EI2" s="491">
        <f>'Upload AXI - CONF'!D140</f>
        <v>0</v>
      </c>
      <c r="EJ2" s="558">
        <f>'Upload AXI - CONF'!D141</f>
        <v>0</v>
      </c>
      <c r="EK2" s="558">
        <f>'Upload AXI - CONF'!D142</f>
        <v>0</v>
      </c>
      <c r="EL2" s="558">
        <f>'Upload AXI - CONF'!D143</f>
        <v>0</v>
      </c>
      <c r="EM2" s="558">
        <f>'Upload AXI - CONF'!D144</f>
        <v>0</v>
      </c>
      <c r="EN2" s="558">
        <f>'Upload AXI - CONF'!D145</f>
        <v>0</v>
      </c>
      <c r="EO2" s="558">
        <f>'Upload AXI - CONF'!D146</f>
        <v>0</v>
      </c>
      <c r="EP2" s="558">
        <f>'Upload AXI - CONF'!D147</f>
        <v>0</v>
      </c>
      <c r="EQ2" s="558">
        <f>'Upload AXI - CONF'!D148</f>
        <v>0</v>
      </c>
      <c r="ER2" s="558">
        <f>'Upload AXI - CONF'!D149</f>
        <v>0</v>
      </c>
      <c r="ES2" s="558">
        <f>'Upload AXI - CONF'!D150</f>
        <v>0</v>
      </c>
      <c r="ET2" s="491">
        <f>'Upload AXI - CONF'!D151</f>
        <v>0.21</v>
      </c>
      <c r="EU2" s="558">
        <f>'Upload AXI - CONF'!D152</f>
        <v>0</v>
      </c>
      <c r="EV2" s="558">
        <f>'Upload AXI - CONF'!D153</f>
        <v>0</v>
      </c>
      <c r="EW2" s="350">
        <f>'Upload AXI - CONF'!D154</f>
        <v>0</v>
      </c>
      <c r="EX2" s="350">
        <f>'Upload AXI - CONF'!D155</f>
        <v>0</v>
      </c>
      <c r="EY2" s="491">
        <f>'Upload AXI - CONF'!D156</f>
        <v>0</v>
      </c>
      <c r="EZ2" s="558">
        <f>'Upload AXI - CONF'!D157</f>
        <v>0</v>
      </c>
      <c r="FA2" s="558">
        <f>'Upload AXI - CONF'!D158</f>
        <v>0</v>
      </c>
      <c r="FB2" s="558">
        <f>'Upload AXI - CONF'!D159</f>
        <v>0</v>
      </c>
      <c r="FC2" s="558">
        <f>'Upload AXI - CONF'!D160</f>
        <v>0</v>
      </c>
      <c r="FD2" s="558">
        <f>'Upload AXI - CONF'!D161</f>
        <v>0</v>
      </c>
      <c r="FE2" s="558">
        <f>'Upload AXI - CONF'!D162</f>
        <v>0</v>
      </c>
      <c r="FF2" s="558">
        <f>'Upload AXI - CONF'!D163</f>
        <v>0</v>
      </c>
      <c r="FG2" s="558">
        <f>'Upload AXI - CONF'!D164</f>
        <v>0</v>
      </c>
      <c r="FH2" s="558">
        <f>'Upload AXI - CONF'!D165</f>
        <v>0</v>
      </c>
      <c r="FI2" s="558">
        <f>'Upload AXI - CONF'!D166</f>
        <v>0</v>
      </c>
      <c r="FJ2" s="491">
        <f>'Upload AXI - CONF'!D167</f>
        <v>0.21</v>
      </c>
      <c r="FK2" s="558">
        <f>'Upload AXI - CONF'!D168</f>
        <v>0</v>
      </c>
      <c r="FL2" s="558">
        <f>'Upload AXI - CONF'!D169</f>
        <v>0</v>
      </c>
      <c r="FM2" s="350">
        <f>'Upload AXI - CONF'!D170</f>
        <v>0</v>
      </c>
      <c r="FN2" s="350">
        <f>'Upload AXI - CONF'!D171</f>
        <v>0</v>
      </c>
      <c r="FO2" s="491">
        <f>'Upload AXI - CONF'!D172</f>
        <v>0</v>
      </c>
      <c r="FP2" s="558">
        <f>'Upload AXI - CONF'!D173</f>
        <v>0</v>
      </c>
      <c r="FQ2" s="558">
        <f>'Upload AXI - CONF'!D174</f>
        <v>0</v>
      </c>
      <c r="FR2" s="558">
        <f>'Upload AXI - CONF'!D175</f>
        <v>0</v>
      </c>
      <c r="FS2" s="558">
        <f>'Upload AXI - CONF'!D176</f>
        <v>0</v>
      </c>
      <c r="FT2" s="558">
        <f>'Upload AXI - CONF'!D177</f>
        <v>0</v>
      </c>
      <c r="FU2" s="558">
        <f>'Upload AXI - CONF'!D178</f>
        <v>0</v>
      </c>
      <c r="FV2" s="558">
        <f>'Upload AXI - CONF'!D179</f>
        <v>0</v>
      </c>
      <c r="FW2" s="558">
        <f>'Upload AXI - CONF'!D180</f>
        <v>0</v>
      </c>
      <c r="FX2" s="558">
        <f>'Upload AXI - CONF'!D181</f>
        <v>0</v>
      </c>
      <c r="FY2" s="558">
        <f>'Upload AXI - CONF'!D182</f>
        <v>0</v>
      </c>
      <c r="FZ2" s="491">
        <f>'Upload AXI - CONF'!D183</f>
        <v>0.21</v>
      </c>
      <c r="GA2" s="558">
        <f>'Upload AXI - CONF'!D184</f>
        <v>0</v>
      </c>
      <c r="GB2" s="558">
        <f>'Upload AXI - CONF'!D185</f>
        <v>0</v>
      </c>
      <c r="GC2" s="350">
        <f>'Upload AXI - CONF'!D186</f>
        <v>0</v>
      </c>
      <c r="GD2" s="350">
        <f>'Upload AXI - CONF'!D187</f>
        <v>0</v>
      </c>
      <c r="GE2" s="491">
        <f>'Upload AXI - CONF'!D188</f>
        <v>0</v>
      </c>
      <c r="GF2" s="558">
        <f>'Upload AXI - CONF'!D189</f>
        <v>0</v>
      </c>
      <c r="GG2" s="558">
        <f>'Upload AXI - CONF'!D190</f>
        <v>0</v>
      </c>
      <c r="GH2" s="558">
        <f>'Upload AXI - CONF'!D191</f>
        <v>0</v>
      </c>
      <c r="GI2" s="558">
        <f>'Upload AXI - CONF'!D192</f>
        <v>0</v>
      </c>
      <c r="GJ2" s="558">
        <f>'Upload AXI - CONF'!D193</f>
        <v>0</v>
      </c>
      <c r="GK2" s="558">
        <f>'Upload AXI - CONF'!D194</f>
        <v>0</v>
      </c>
      <c r="GL2" s="558">
        <f>'Upload AXI - CONF'!D195</f>
        <v>0</v>
      </c>
      <c r="GM2" s="558">
        <f>'Upload AXI - CONF'!D196</f>
        <v>0</v>
      </c>
      <c r="GN2" s="558">
        <f>'Upload AXI - CONF'!D197</f>
        <v>0</v>
      </c>
      <c r="GO2" s="558">
        <f>'Upload AXI - CONF'!D198</f>
        <v>0</v>
      </c>
      <c r="GP2" s="491">
        <f>'Upload AXI - CONF'!D199</f>
        <v>0.21</v>
      </c>
      <c r="GQ2" s="558">
        <f>'Upload AXI - CONF'!D200</f>
        <v>0</v>
      </c>
      <c r="GR2" s="558">
        <f>'Upload AXI - CONF'!D201</f>
        <v>0</v>
      </c>
      <c r="GS2" s="350">
        <f>'Upload AXI - CONF'!D202</f>
        <v>0</v>
      </c>
      <c r="GT2" s="350">
        <f>'Upload AXI - CONF'!D203</f>
        <v>0</v>
      </c>
      <c r="GU2" s="491">
        <f>'Upload AXI - CONF'!D204</f>
        <v>0</v>
      </c>
      <c r="GV2" s="558">
        <f>'Upload AXI - CONF'!D205</f>
        <v>0</v>
      </c>
      <c r="GW2" s="558">
        <f>'Upload AXI - CONF'!D206</f>
        <v>0</v>
      </c>
      <c r="GX2" s="558">
        <f>'Upload AXI - CONF'!D207</f>
        <v>0</v>
      </c>
      <c r="GY2" s="558">
        <f>'Upload AXI - CONF'!D208</f>
        <v>0</v>
      </c>
      <c r="GZ2" s="558">
        <f>'Upload AXI - CONF'!D209</f>
        <v>0</v>
      </c>
      <c r="HA2" s="558">
        <f>'Upload AXI - CONF'!D210</f>
        <v>0</v>
      </c>
      <c r="HB2" s="558">
        <f>'Upload AXI - CONF'!D211</f>
        <v>0</v>
      </c>
      <c r="HC2" s="558">
        <f>'Upload AXI - CONF'!D212</f>
        <v>0</v>
      </c>
      <c r="HD2" s="558">
        <f>'Upload AXI - CONF'!D213</f>
        <v>0</v>
      </c>
      <c r="HE2" s="558">
        <f>'Upload AXI - CONF'!D214</f>
        <v>0</v>
      </c>
      <c r="HF2" s="491">
        <f>'Upload AXI - CONF'!D215</f>
        <v>0.21</v>
      </c>
      <c r="HG2" s="558">
        <f>'Upload AXI - CONF'!D216</f>
        <v>0</v>
      </c>
      <c r="HH2" s="558">
        <f>'Upload AXI - CONF'!D217</f>
        <v>0</v>
      </c>
      <c r="HI2" s="350">
        <f>'Upload AXI - CONF'!D218</f>
        <v>0</v>
      </c>
      <c r="HJ2" s="350">
        <f>'Upload AXI - CONF'!D219</f>
        <v>0</v>
      </c>
      <c r="HK2" s="491">
        <f>'Upload AXI - CONF'!D220</f>
        <v>0</v>
      </c>
      <c r="HL2" s="558">
        <f>'Upload AXI - CONF'!D221</f>
        <v>0</v>
      </c>
      <c r="HM2" s="558">
        <f>'Upload AXI - CONF'!D222</f>
        <v>0</v>
      </c>
      <c r="HN2" s="558">
        <f>'Upload AXI - CONF'!D223</f>
        <v>0</v>
      </c>
      <c r="HO2" s="558">
        <f>'Upload AXI - CONF'!D224</f>
        <v>0</v>
      </c>
      <c r="HP2" s="558">
        <f>'Upload AXI - CONF'!D225</f>
        <v>0</v>
      </c>
      <c r="HQ2" s="558">
        <f>'Upload AXI - CONF'!D226</f>
        <v>0</v>
      </c>
      <c r="HR2" s="558">
        <f>'Upload AXI - CONF'!D227</f>
        <v>0</v>
      </c>
      <c r="HS2" s="558">
        <f>'Upload AXI - CONF'!D228</f>
        <v>0</v>
      </c>
      <c r="HT2" s="558">
        <f>'Upload AXI - CONF'!D229</f>
        <v>0</v>
      </c>
      <c r="HU2" s="558">
        <f>'Upload AXI - CONF'!D230</f>
        <v>0</v>
      </c>
      <c r="HV2" s="491">
        <f>'Upload AXI - CONF'!D231</f>
        <v>0.21</v>
      </c>
      <c r="HW2" s="558">
        <f>'Upload AXI - CONF'!D232</f>
        <v>0</v>
      </c>
      <c r="HX2" s="558">
        <f>'Upload AXI - CONF'!D233</f>
        <v>0</v>
      </c>
      <c r="HY2" s="350">
        <f>'Upload AXI - CONF'!D234</f>
        <v>0</v>
      </c>
      <c r="HZ2" s="350">
        <f>'Upload AXI - CONF'!D235</f>
        <v>0</v>
      </c>
      <c r="IA2" s="491">
        <f>'Upload AXI - CONF'!D236</f>
        <v>0</v>
      </c>
      <c r="IB2" s="558">
        <f>'Upload AXI - CONF'!D237</f>
        <v>0</v>
      </c>
      <c r="IC2" s="558">
        <f>'Upload AXI - CONF'!D238</f>
        <v>0</v>
      </c>
      <c r="ID2" s="558">
        <f>'Upload AXI - CONF'!D239</f>
        <v>0</v>
      </c>
      <c r="IE2" s="558">
        <f>'Upload AXI - CONF'!D240</f>
        <v>0</v>
      </c>
      <c r="IF2" s="558">
        <f>'Upload AXI - CONF'!D241</f>
        <v>0</v>
      </c>
      <c r="IG2" s="558">
        <f>'Upload AXI - CONF'!D242</f>
        <v>0</v>
      </c>
      <c r="IH2" s="558">
        <f>'Upload AXI - CONF'!D243</f>
        <v>0</v>
      </c>
      <c r="II2" s="558">
        <f>'Upload AXI - CONF'!D244</f>
        <v>0</v>
      </c>
      <c r="IJ2" s="558">
        <f>'Upload AXI - CONF'!D245</f>
        <v>0</v>
      </c>
      <c r="IK2" s="558">
        <f>'Upload AXI - CONF'!D246</f>
        <v>0</v>
      </c>
      <c r="IL2" s="491">
        <f>'Upload AXI - CONF'!D247</f>
        <v>0.21</v>
      </c>
      <c r="IM2" s="558">
        <f>'Upload AXI - CONF'!D248</f>
        <v>0</v>
      </c>
      <c r="IN2" s="558">
        <f>'Upload AXI - CONF'!D249</f>
        <v>0</v>
      </c>
      <c r="IO2" s="350">
        <f>'Upload AXI - CONF'!D250</f>
        <v>0</v>
      </c>
      <c r="IP2" s="350">
        <f>'Upload AXI - CONF'!D251</f>
        <v>0</v>
      </c>
      <c r="IQ2" s="491">
        <f>'Upload AXI - CONF'!D252</f>
        <v>0</v>
      </c>
      <c r="IR2" s="558">
        <f>'Upload AXI - CONF'!D253</f>
        <v>0</v>
      </c>
      <c r="IS2" s="558">
        <f>'Upload AXI - CONF'!D254</f>
        <v>0</v>
      </c>
      <c r="IT2" s="558">
        <f>'Upload AXI - CONF'!D255</f>
        <v>0</v>
      </c>
      <c r="IU2" s="558">
        <f>'Upload AXI - CONF'!D256</f>
        <v>0</v>
      </c>
      <c r="IV2" s="558">
        <f>'Upload AXI - CONF'!D257</f>
        <v>0</v>
      </c>
      <c r="IW2" s="558">
        <f>'Upload AXI - CONF'!D258</f>
        <v>0</v>
      </c>
      <c r="IX2" s="558">
        <f>'Upload AXI - CONF'!D259</f>
        <v>0</v>
      </c>
      <c r="IY2" s="558">
        <f>'Upload AXI - CONF'!D260</f>
        <v>0</v>
      </c>
      <c r="IZ2" s="558">
        <f>'Upload AXI - CONF'!D261</f>
        <v>0</v>
      </c>
      <c r="JA2" s="558">
        <f>'Upload AXI - CONF'!D262</f>
        <v>0</v>
      </c>
      <c r="JB2" s="491">
        <f>'Upload AXI - CONF'!D263</f>
        <v>0.21</v>
      </c>
      <c r="JC2" s="558">
        <f>'Upload AXI - CONF'!D264</f>
        <v>0</v>
      </c>
      <c r="JD2" s="558">
        <f>'Upload AXI - CONF'!D265</f>
        <v>0</v>
      </c>
      <c r="JE2" s="350">
        <f>'Upload AXI - CONF'!D266</f>
        <v>0</v>
      </c>
      <c r="JF2" s="350">
        <f>'Upload AXI - CONF'!D267</f>
        <v>0</v>
      </c>
      <c r="JG2" s="491" t="e">
        <f>'Upload AXI - CONF'!D268</f>
        <v>#DIV/0!</v>
      </c>
      <c r="JH2" s="558">
        <f>'Upload AXI - CONF'!D269</f>
        <v>0</v>
      </c>
      <c r="JI2" s="558">
        <f>'Upload AXI - CONF'!D270</f>
        <v>0</v>
      </c>
      <c r="JJ2" s="558">
        <f>'Upload AXI - CONF'!D271</f>
        <v>0</v>
      </c>
      <c r="JK2" s="558">
        <f>'Upload AXI - CONF'!D272</f>
        <v>0</v>
      </c>
      <c r="JL2" s="558">
        <f>'Upload AXI - CONF'!D273</f>
        <v>0</v>
      </c>
      <c r="JM2" s="558">
        <f>'Upload AXI - CONF'!D274</f>
        <v>0</v>
      </c>
      <c r="JN2" s="558">
        <f>'Upload AXI - CONF'!D275</f>
        <v>0</v>
      </c>
      <c r="JO2" s="558">
        <f>'Upload AXI - CONF'!D276</f>
        <v>0</v>
      </c>
      <c r="JP2" s="558">
        <f>'Upload AXI - CONF'!D277</f>
        <v>0</v>
      </c>
      <c r="JQ2" s="558">
        <f>'Upload AXI - CONF'!D278</f>
        <v>0</v>
      </c>
      <c r="JR2" s="491">
        <f>'Upload AXI - CONF'!D279</f>
        <v>0.21</v>
      </c>
      <c r="JS2" s="558">
        <f>'Upload AXI - CONF'!D280</f>
        <v>0</v>
      </c>
      <c r="JT2" s="558">
        <f>'Upload AXI - CONF'!D281</f>
        <v>0</v>
      </c>
      <c r="JU2" s="350">
        <f>'Upload AXI - CONF'!D282</f>
        <v>0</v>
      </c>
      <c r="JV2" s="350">
        <f>'Upload AXI - CONF'!D283</f>
        <v>0</v>
      </c>
      <c r="JW2" s="558">
        <f>'Upload AXI - CONF'!D284</f>
        <v>0</v>
      </c>
      <c r="JX2" s="558">
        <f>'Upload AXI - CONF'!D285</f>
        <v>0</v>
      </c>
      <c r="JY2" s="558">
        <f>'Upload AXI - CONF'!D286</f>
        <v>0</v>
      </c>
      <c r="JZ2" s="558">
        <f>'Upload AXI - CONF'!D287</f>
        <v>0</v>
      </c>
      <c r="KA2" s="558">
        <f>'Upload AXI - CONF'!D288</f>
        <v>0</v>
      </c>
      <c r="KB2" s="558">
        <f>'Upload AXI - CONF'!D289</f>
        <v>0</v>
      </c>
      <c r="KC2" s="558">
        <f>'Upload AXI - CONF'!D290</f>
        <v>0</v>
      </c>
      <c r="KD2" s="558">
        <f>'Upload AXI - CONF'!D291</f>
        <v>0</v>
      </c>
      <c r="KE2" s="558">
        <f>'Upload AXI - CONF'!D292</f>
        <v>0</v>
      </c>
      <c r="KF2" s="558">
        <f>'Upload AXI - CONF'!D293</f>
        <v>0</v>
      </c>
      <c r="KG2" s="558">
        <f>'Upload AXI - CONF'!D294</f>
        <v>0</v>
      </c>
      <c r="KH2" s="491">
        <f>'Upload AXI - CONF'!D295</f>
        <v>0.21</v>
      </c>
      <c r="KI2" s="558">
        <f>'Upload AXI - CONF'!D296</f>
        <v>0</v>
      </c>
      <c r="KJ2" s="558">
        <f>'Upload AXI - CONF'!D297</f>
        <v>0</v>
      </c>
      <c r="KK2" s="350">
        <f>'Upload AXI - CONF'!D298</f>
        <v>0</v>
      </c>
      <c r="KL2" s="350">
        <f>'Upload AXI - CONF'!D299</f>
        <v>0</v>
      </c>
      <c r="KM2" s="491">
        <f>'Upload AXI - CONF'!D300</f>
        <v>0</v>
      </c>
      <c r="KN2" s="558">
        <f>'Upload AXI - CONF'!D301</f>
        <v>0</v>
      </c>
      <c r="KO2" s="558">
        <f>'Upload AXI - CONF'!D302</f>
        <v>0</v>
      </c>
      <c r="KP2" s="558">
        <f>'Upload AXI - CONF'!D303</f>
        <v>0</v>
      </c>
      <c r="KQ2" s="558">
        <f>'Upload AXI - CONF'!D304</f>
        <v>0</v>
      </c>
      <c r="KR2" s="558">
        <f>'Upload AXI - CONF'!D305</f>
        <v>0</v>
      </c>
      <c r="KS2" s="558">
        <f>'Upload AXI - CONF'!D306</f>
        <v>0</v>
      </c>
      <c r="KT2" s="558">
        <f>'Upload AXI - CONF'!D307</f>
        <v>0</v>
      </c>
      <c r="KU2" s="558">
        <f>'Upload AXI - CONF'!D308</f>
        <v>0</v>
      </c>
      <c r="KV2" s="558">
        <f>'Upload AXI - CONF'!D309</f>
        <v>0</v>
      </c>
      <c r="KW2" s="558">
        <f>'Upload AXI - CONF'!D310</f>
        <v>0</v>
      </c>
      <c r="KX2" s="491">
        <f>'Upload AXI - CONF'!D311</f>
        <v>0.21</v>
      </c>
      <c r="KY2" s="558">
        <f>'Upload AXI - CONF'!D312</f>
        <v>0</v>
      </c>
      <c r="KZ2" s="558">
        <f>'Upload AXI - CONF'!D313</f>
        <v>0</v>
      </c>
      <c r="LA2" s="350">
        <f>'Upload AXI - CONF'!D314</f>
        <v>0</v>
      </c>
      <c r="LB2" s="350">
        <f>'Upload AXI - CONF'!D315</f>
        <v>0</v>
      </c>
      <c r="LC2" s="491" t="e">
        <f>'Upload AXI - CONF'!D316</f>
        <v>#DIV/0!</v>
      </c>
      <c r="LD2" s="558">
        <f>'Upload AXI - CONF'!D317</f>
        <v>0</v>
      </c>
      <c r="LE2" s="558">
        <f>'Upload AXI - CONF'!D318</f>
        <v>0</v>
      </c>
      <c r="LF2" s="558">
        <f>'Upload AXI - CONF'!D319</f>
        <v>0</v>
      </c>
      <c r="LG2" s="558">
        <f>'Upload AXI - CONF'!D320</f>
        <v>0</v>
      </c>
      <c r="LH2" s="558">
        <f>'Upload AXI - CONF'!D321</f>
        <v>0</v>
      </c>
      <c r="LI2" s="558">
        <f>'Upload AXI - CONF'!D322</f>
        <v>0</v>
      </c>
      <c r="LJ2" s="558">
        <f>'Upload AXI - CONF'!D323</f>
        <v>0</v>
      </c>
      <c r="LK2" s="558">
        <f>'Upload AXI - CONF'!D324</f>
        <v>0</v>
      </c>
      <c r="LL2" s="558">
        <f>'Upload AXI - CONF'!D325</f>
        <v>0</v>
      </c>
      <c r="LM2" s="558">
        <f>'Upload AXI - CONF'!D326</f>
        <v>0</v>
      </c>
      <c r="LN2" s="491">
        <f>'Upload AXI - CONF'!D327</f>
        <v>0.21</v>
      </c>
      <c r="LO2" s="558">
        <f>'Upload AXI - CONF'!D328</f>
        <v>0</v>
      </c>
      <c r="LP2" s="558">
        <f>'Upload AXI - CONF'!D329</f>
        <v>0</v>
      </c>
      <c r="LQ2" s="350">
        <f>'Upload AXI - CONF'!D330</f>
        <v>0</v>
      </c>
      <c r="LR2" s="350">
        <f>'Upload AXI - CONF'!D331</f>
        <v>0</v>
      </c>
      <c r="LS2" s="491">
        <f>'Upload AXI - CONF'!D332</f>
        <v>0</v>
      </c>
      <c r="LT2" s="558">
        <f>'Upload AXI - CONF'!D333</f>
        <v>0</v>
      </c>
      <c r="LU2" s="558">
        <f>'Upload AXI - CONF'!D334</f>
        <v>0</v>
      </c>
      <c r="LV2" s="558">
        <f>'Upload AXI - CONF'!D335</f>
        <v>0</v>
      </c>
      <c r="LW2" s="558">
        <f>'Upload AXI - CONF'!D336</f>
        <v>0</v>
      </c>
      <c r="LX2" s="558">
        <f>'Upload AXI - CONF'!D337</f>
        <v>0</v>
      </c>
      <c r="LY2" s="558">
        <f>'Upload AXI - CONF'!D338</f>
        <v>0</v>
      </c>
      <c r="LZ2" s="558">
        <f>'Upload AXI - CONF'!D339</f>
        <v>0</v>
      </c>
      <c r="MA2" s="558">
        <f>'Upload AXI - CONF'!D340</f>
        <v>0</v>
      </c>
      <c r="MB2" s="558">
        <f>'Upload AXI - CONF'!D341</f>
        <v>0</v>
      </c>
      <c r="MC2" s="558">
        <f>'Upload AXI - CONF'!D342</f>
        <v>0</v>
      </c>
      <c r="MD2" s="491">
        <f>'Upload AXI - CONF'!D343</f>
        <v>0.21</v>
      </c>
      <c r="ME2" s="558">
        <f>'Upload AXI - CONF'!D344</f>
        <v>0</v>
      </c>
      <c r="MF2" s="558">
        <f>'Upload AXI - CONF'!D345</f>
        <v>0</v>
      </c>
      <c r="MG2" s="350">
        <f>'Upload AXI - CONF'!D346</f>
        <v>0</v>
      </c>
      <c r="MH2" s="350">
        <f>'Upload AXI - CONF'!D347</f>
        <v>0</v>
      </c>
      <c r="MI2" s="491">
        <f>'Upload AXI - CONF'!D348</f>
        <v>0</v>
      </c>
      <c r="MJ2" s="558">
        <f>'Upload AXI - CONF'!D349</f>
        <v>0</v>
      </c>
      <c r="MK2" s="558">
        <f>'Upload AXI - CONF'!D350</f>
        <v>0</v>
      </c>
      <c r="ML2" s="558">
        <f>'Upload AXI - CONF'!D351</f>
        <v>0</v>
      </c>
      <c r="MM2" s="558">
        <f>'Upload AXI - CONF'!D352</f>
        <v>0</v>
      </c>
      <c r="MN2" s="558">
        <f>'Upload AXI - CONF'!D353</f>
        <v>0</v>
      </c>
      <c r="MO2" s="558">
        <f>'Upload AXI - CONF'!D354</f>
        <v>0</v>
      </c>
      <c r="MP2" s="558">
        <f>'Upload AXI - CONF'!D355</f>
        <v>0</v>
      </c>
      <c r="MQ2" s="558">
        <f>'Upload AXI - CONF'!D356</f>
        <v>0</v>
      </c>
      <c r="MR2" s="558">
        <f>'Upload AXI - CONF'!D357</f>
        <v>0</v>
      </c>
      <c r="MS2" s="558">
        <f>'Upload AXI - CONF'!D358</f>
        <v>0</v>
      </c>
      <c r="MT2" s="491">
        <f>'Upload AXI - CONF'!D359</f>
        <v>0.21</v>
      </c>
      <c r="MU2" s="558">
        <f>'Upload AXI - CONF'!D360</f>
        <v>0</v>
      </c>
      <c r="MV2" s="558">
        <f>'Upload AXI - CONF'!D361</f>
        <v>0</v>
      </c>
      <c r="MW2" s="350">
        <f>'Upload AXI - CONF'!D362</f>
        <v>0</v>
      </c>
      <c r="MX2" s="350">
        <f>'Upload AXI - CONF'!D363</f>
        <v>0</v>
      </c>
      <c r="MY2" s="491">
        <f>'Upload AXI - CONF'!D364</f>
        <v>0</v>
      </c>
      <c r="MZ2" s="558">
        <f>'Upload AXI - CONF'!D365</f>
        <v>0</v>
      </c>
      <c r="NA2" s="558">
        <f>'Upload AXI - CONF'!D366</f>
        <v>0</v>
      </c>
      <c r="NB2" s="558">
        <f>'Upload AXI - CONF'!D367</f>
        <v>0</v>
      </c>
      <c r="NC2" s="558">
        <f>'Upload AXI - CONF'!D368</f>
        <v>0</v>
      </c>
      <c r="ND2" s="558">
        <f>'Upload AXI - CONF'!D369</f>
        <v>0</v>
      </c>
      <c r="NE2" s="558">
        <f>'Upload AXI - CONF'!D370</f>
        <v>0</v>
      </c>
      <c r="NF2" s="558">
        <f>'Upload AXI - CONF'!D371</f>
        <v>0</v>
      </c>
      <c r="NG2" s="558">
        <f>'Upload AXI - CONF'!D372</f>
        <v>0</v>
      </c>
      <c r="NH2" s="558">
        <f>'Upload AXI - CONF'!D373</f>
        <v>0</v>
      </c>
      <c r="NI2" s="558">
        <f>'Upload AXI - CONF'!D374</f>
        <v>0</v>
      </c>
      <c r="NJ2" s="491">
        <f>'Upload AXI - CONF'!D375</f>
        <v>0.21</v>
      </c>
      <c r="NK2" s="558">
        <f>'Upload AXI - CONF'!D376</f>
        <v>0</v>
      </c>
      <c r="NL2" s="558">
        <f>'Upload AXI - CONF'!D377</f>
        <v>0</v>
      </c>
      <c r="NM2" s="350">
        <f>'Upload AXI - CONF'!D378</f>
        <v>0</v>
      </c>
      <c r="NN2" s="350">
        <f>'Upload AXI - CONF'!D379</f>
        <v>0</v>
      </c>
      <c r="NO2" s="491">
        <f>'Upload AXI - CONF'!D380</f>
        <v>0</v>
      </c>
      <c r="NP2" s="558">
        <f>'Upload AXI - CONF'!D381</f>
        <v>0</v>
      </c>
      <c r="NQ2" s="558">
        <f>'Upload AXI - CONF'!D382</f>
        <v>0</v>
      </c>
      <c r="NR2" s="558">
        <f>'Upload AXI - CONF'!D383</f>
        <v>0</v>
      </c>
      <c r="NS2" s="558">
        <f>'Upload AXI - CONF'!D384</f>
        <v>0</v>
      </c>
      <c r="NT2" s="558">
        <f>'Upload AXI - CONF'!D385</f>
        <v>0</v>
      </c>
      <c r="NU2" s="558">
        <f>'Upload AXI - CONF'!D386</f>
        <v>0</v>
      </c>
      <c r="NV2" s="558">
        <f>'Upload AXI - CONF'!D387</f>
        <v>0</v>
      </c>
      <c r="NW2" s="558">
        <f>'Upload AXI - CONF'!D388</f>
        <v>0</v>
      </c>
      <c r="NX2" s="558">
        <f>'Upload AXI - CONF'!D389</f>
        <v>0</v>
      </c>
      <c r="NY2" s="558">
        <f>'Upload AXI - CONF'!D390</f>
        <v>0</v>
      </c>
      <c r="NZ2" s="491">
        <f>'Upload AXI - CONF'!D391</f>
        <v>0.21</v>
      </c>
      <c r="OA2" s="558">
        <f>'Upload AXI - CONF'!D392</f>
        <v>0</v>
      </c>
      <c r="OB2" s="558">
        <f>'Upload AXI - CONF'!D393</f>
        <v>0</v>
      </c>
      <c r="OC2" s="350">
        <f>'Upload AXI - CONF'!D394</f>
        <v>0</v>
      </c>
      <c r="OD2" s="350">
        <f>'Upload AXI - CONF'!D395</f>
        <v>0</v>
      </c>
      <c r="OE2" s="491">
        <f>'Upload AXI - CONF'!D396</f>
        <v>0</v>
      </c>
      <c r="OF2" s="558">
        <f>'Upload AXI - CONF'!D397</f>
        <v>0</v>
      </c>
      <c r="OG2" s="558">
        <f>'Upload AXI - CONF'!D398</f>
        <v>0</v>
      </c>
      <c r="OH2" s="558">
        <f>'Upload AXI - CONF'!D399</f>
        <v>0</v>
      </c>
      <c r="OI2" s="558">
        <f>'Upload AXI - CONF'!D400</f>
        <v>0</v>
      </c>
      <c r="OJ2" s="558">
        <f>'Upload AXI - CONF'!D401</f>
        <v>0</v>
      </c>
      <c r="OK2" s="558">
        <f>'Upload AXI - CONF'!D402</f>
        <v>0</v>
      </c>
      <c r="OL2" s="558">
        <f>'Upload AXI - CONF'!D403</f>
        <v>0</v>
      </c>
      <c r="OM2" s="558">
        <f>'Upload AXI - CONF'!D404</f>
        <v>0</v>
      </c>
      <c r="ON2" s="558">
        <f>'Upload AXI - CONF'!D405</f>
        <v>0</v>
      </c>
      <c r="OO2" s="558">
        <f>'Upload AXI - CONF'!D406</f>
        <v>0</v>
      </c>
      <c r="OP2" s="491">
        <f>'Upload AXI - CONF'!D407</f>
        <v>0.21</v>
      </c>
      <c r="OQ2" s="558">
        <f>'Upload AXI - CONF'!D408</f>
        <v>0</v>
      </c>
      <c r="OR2" s="558">
        <f>'Upload AXI - CONF'!D409</f>
        <v>0</v>
      </c>
      <c r="OS2" s="350">
        <f>'Upload AXI - CONF'!D410</f>
        <v>0</v>
      </c>
      <c r="OT2" s="350">
        <f>'Upload AXI - CONF'!D411</f>
        <v>0</v>
      </c>
      <c r="OU2" s="491">
        <f>'Upload AXI - CONF'!D412</f>
        <v>0</v>
      </c>
      <c r="OV2" s="558">
        <f>'Upload AXI - CONF'!D413</f>
        <v>0</v>
      </c>
      <c r="OW2" s="558">
        <f>'Upload AXI - CONF'!D414</f>
        <v>0</v>
      </c>
      <c r="OX2" s="558">
        <f>'Upload AXI - CONF'!D415</f>
        <v>0</v>
      </c>
      <c r="OY2" s="558">
        <f>'Upload AXI - CONF'!D416</f>
        <v>0</v>
      </c>
      <c r="OZ2" s="558">
        <f>'Upload AXI - CONF'!D417</f>
        <v>0</v>
      </c>
      <c r="PA2" s="558">
        <f>'Upload AXI - CONF'!D418</f>
        <v>0</v>
      </c>
      <c r="PB2" s="558">
        <f>'Upload AXI - CONF'!D419</f>
        <v>0</v>
      </c>
      <c r="PC2" s="558">
        <f>'Upload AXI - CONF'!D420</f>
        <v>0</v>
      </c>
      <c r="PD2" s="558">
        <f>'Upload AXI - CONF'!D421</f>
        <v>0</v>
      </c>
      <c r="PE2" s="558">
        <f>'Upload AXI - CONF'!D422</f>
        <v>0</v>
      </c>
      <c r="PF2" s="491">
        <f>'Upload AXI - CONF'!D423</f>
        <v>0.21</v>
      </c>
      <c r="PG2" s="558">
        <f>'Upload AXI - CONF'!D424</f>
        <v>0</v>
      </c>
      <c r="PH2" s="558">
        <f>'Upload AXI - CONF'!D425</f>
        <v>0</v>
      </c>
      <c r="PI2" s="350">
        <f>'Upload AXI - CONF'!D426</f>
        <v>0</v>
      </c>
      <c r="PJ2" s="350">
        <f>'Upload AXI - CONF'!D427</f>
        <v>0</v>
      </c>
      <c r="PK2" s="491">
        <f>'Upload AXI - CONF'!D428</f>
        <v>0</v>
      </c>
      <c r="PL2" t="b">
        <f>'Upload AXI - CONF'!D429</f>
        <v>0</v>
      </c>
      <c r="PM2" s="558">
        <f>'Upload AXI - CONF'!D430</f>
        <v>0</v>
      </c>
      <c r="PN2" s="558">
        <f>'Upload AXI - CONF'!D431</f>
        <v>0</v>
      </c>
      <c r="PO2" s="558">
        <f>'Upload AXI - CONF'!D432</f>
        <v>0</v>
      </c>
      <c r="PP2" s="558">
        <f>'Upload AXI - CONF'!D433</f>
        <v>0</v>
      </c>
      <c r="PQ2" s="558">
        <f>'Upload AXI - CONF'!D434</f>
        <v>0</v>
      </c>
      <c r="PR2" s="558">
        <f>'Upload AXI - CONF'!D435</f>
        <v>0</v>
      </c>
      <c r="PS2" s="558">
        <f>'Upload AXI - CONF'!D436</f>
        <v>0</v>
      </c>
      <c r="PT2" s="558">
        <f>'Upload AXI - CONF'!D437</f>
        <v>0</v>
      </c>
      <c r="PU2" s="558">
        <f>'Upload AXI - CONF'!D438</f>
        <v>0</v>
      </c>
      <c r="PV2" s="558">
        <f>'Upload AXI - CONF'!D439</f>
        <v>0</v>
      </c>
      <c r="PW2" s="491">
        <f>'Upload AXI - CONF'!D440</f>
        <v>0.21</v>
      </c>
      <c r="PX2" s="558">
        <f>'Upload AXI - CONF'!D441</f>
        <v>0</v>
      </c>
      <c r="PY2" s="558">
        <f>'Upload AXI - CONF'!D442</f>
        <v>0</v>
      </c>
      <c r="PZ2" s="558">
        <f>'Upload AXI - CONF'!D443</f>
        <v>0</v>
      </c>
      <c r="QA2" s="558">
        <f>'Upload AXI - CONF'!D444</f>
        <v>0</v>
      </c>
      <c r="QB2" s="350">
        <f>'Upload AXI - CONF'!D445</f>
        <v>0</v>
      </c>
      <c r="QC2" s="350">
        <f>'Upload AXI - CONF'!D446</f>
        <v>0</v>
      </c>
      <c r="QD2" s="491">
        <f>'Upload AXI - CONF'!D447</f>
        <v>0</v>
      </c>
      <c r="QE2" s="558">
        <f>'Upload AXI - CONF'!D448</f>
        <v>0</v>
      </c>
      <c r="QF2" s="558">
        <f>'Upload AXI - CONF'!D449</f>
        <v>0</v>
      </c>
      <c r="QG2" s="558">
        <f>'Upload AXI - CONF'!D450</f>
        <v>0</v>
      </c>
      <c r="QH2" s="558">
        <f>'Upload AXI - CONF'!D451</f>
        <v>0</v>
      </c>
      <c r="QI2" s="558">
        <f>'Upload AXI - CONF'!D452</f>
        <v>0</v>
      </c>
      <c r="QJ2" s="558">
        <f>'Upload AXI - CONF'!D453</f>
        <v>0</v>
      </c>
      <c r="QK2" s="558">
        <f>'Upload AXI - CONF'!D454</f>
        <v>0</v>
      </c>
      <c r="QL2" s="558">
        <f>'Upload AXI - CONF'!D455</f>
        <v>0</v>
      </c>
      <c r="QM2" s="558">
        <f>'Upload AXI - CONF'!D456</f>
        <v>0</v>
      </c>
      <c r="QN2" s="558">
        <f>'Upload AXI - CONF'!D457</f>
        <v>0</v>
      </c>
      <c r="QO2" s="491">
        <f>'Upload AXI - CONF'!D458</f>
        <v>0.21</v>
      </c>
      <c r="QP2" s="558">
        <f>'Upload AXI - CONF'!D459</f>
        <v>0</v>
      </c>
      <c r="QQ2" s="558">
        <f>'Upload AXI - CONF'!D460</f>
        <v>0</v>
      </c>
      <c r="QR2" s="558">
        <f>'Upload AXI - CONF'!D461</f>
        <v>0</v>
      </c>
      <c r="QS2" s="558">
        <f>'Upload AXI - CONF'!D462</f>
        <v>0</v>
      </c>
      <c r="QT2" s="350">
        <f>'Upload AXI - CONF'!D463</f>
        <v>0</v>
      </c>
      <c r="QU2" s="350">
        <f>'Upload AXI - CONF'!D464</f>
        <v>0</v>
      </c>
      <c r="QV2" s="491">
        <f>'Upload AXI - CONF'!D465</f>
        <v>0</v>
      </c>
      <c r="QW2" s="558">
        <f>'Upload AXI - CONF'!D466</f>
        <v>0</v>
      </c>
      <c r="QX2" s="558">
        <f>'Upload AXI - CONF'!D467</f>
        <v>0</v>
      </c>
      <c r="QY2" s="558">
        <f>'Upload AXI - CONF'!D468</f>
        <v>0</v>
      </c>
      <c r="QZ2" s="558">
        <f>'Upload AXI - CONF'!D469</f>
        <v>0</v>
      </c>
      <c r="RA2" s="558">
        <f>'Upload AXI - CONF'!D470</f>
        <v>0</v>
      </c>
      <c r="RB2" s="558">
        <f>'Upload AXI - CONF'!D471</f>
        <v>0</v>
      </c>
      <c r="RC2" s="558">
        <f>'Upload AXI - CONF'!D472</f>
        <v>0</v>
      </c>
      <c r="RD2" s="558">
        <f>'Upload AXI - CONF'!D473</f>
        <v>0</v>
      </c>
      <c r="RE2" s="558">
        <f>'Upload AXI - CONF'!D474</f>
        <v>0</v>
      </c>
      <c r="RF2" s="558">
        <f>'Upload AXI - CONF'!D475</f>
        <v>0</v>
      </c>
      <c r="RG2" s="491">
        <f>'Upload AXI - CONF'!D476</f>
        <v>0.21</v>
      </c>
      <c r="RH2" s="558">
        <f>'Upload AXI - CONF'!D477</f>
        <v>0</v>
      </c>
      <c r="RI2" s="558">
        <f>'Upload AXI - CONF'!D478</f>
        <v>0</v>
      </c>
      <c r="RJ2" s="558">
        <f>'Upload AXI - CONF'!D479</f>
        <v>0</v>
      </c>
      <c r="RK2" s="558">
        <f>'Upload AXI - CONF'!D480</f>
        <v>0</v>
      </c>
      <c r="RL2" s="350">
        <f>'Upload AXI - CONF'!D481</f>
        <v>0</v>
      </c>
      <c r="RM2" s="350">
        <f>'Upload AXI - CONF'!D482</f>
        <v>0</v>
      </c>
      <c r="RN2" s="491">
        <f>'Upload AXI - CONF'!D483</f>
        <v>0</v>
      </c>
      <c r="RO2" s="558">
        <f>'Upload AXI - CONF'!D484</f>
        <v>0</v>
      </c>
      <c r="RP2" s="558">
        <f>'Upload AXI - CONF'!D485</f>
        <v>0</v>
      </c>
      <c r="RQ2" s="558">
        <f>'Upload AXI - CONF'!D486</f>
        <v>0</v>
      </c>
      <c r="RR2" s="558">
        <f>'Upload AXI - CONF'!D487</f>
        <v>0</v>
      </c>
      <c r="RS2" s="558">
        <f>'Upload AXI - CONF'!D488</f>
        <v>0</v>
      </c>
      <c r="RT2" s="558">
        <f>'Upload AXI - CONF'!D489</f>
        <v>0</v>
      </c>
      <c r="RU2" s="558">
        <f>'Upload AXI - CONF'!D490</f>
        <v>0</v>
      </c>
      <c r="RV2" s="558">
        <f>'Upload AXI - CONF'!D491</f>
        <v>0</v>
      </c>
      <c r="RW2" s="558">
        <f>'Upload AXI - CONF'!D492</f>
        <v>0</v>
      </c>
      <c r="RX2" s="558">
        <f>'Upload AXI - CONF'!D493</f>
        <v>0</v>
      </c>
      <c r="RY2" s="491">
        <f>'Upload AXI - CONF'!D494</f>
        <v>0.21</v>
      </c>
      <c r="RZ2" s="558">
        <f>'Upload AXI - CONF'!D495</f>
        <v>0</v>
      </c>
      <c r="SA2" s="558">
        <f>'Upload AXI - CONF'!D496</f>
        <v>0</v>
      </c>
      <c r="SB2" s="558">
        <f>'Upload AXI - CONF'!D497</f>
        <v>0</v>
      </c>
      <c r="SC2" s="558">
        <f>'Upload AXI - CONF'!D498</f>
        <v>0</v>
      </c>
      <c r="SD2" s="350">
        <f>'Upload AXI - CONF'!D499</f>
        <v>0</v>
      </c>
      <c r="SE2" s="350">
        <f>'Upload AXI - CONF'!D500</f>
        <v>0</v>
      </c>
      <c r="SF2" s="491">
        <f>'Upload AXI - CONF'!D501</f>
        <v>0</v>
      </c>
      <c r="SG2" s="558">
        <f>'Upload AXI - CONF'!D502</f>
        <v>0</v>
      </c>
      <c r="SH2" s="558">
        <f>'Upload AXI - CONF'!D503</f>
        <v>0</v>
      </c>
      <c r="SI2" s="558">
        <f>'Upload AXI - CONF'!D504</f>
        <v>0</v>
      </c>
      <c r="SJ2" s="558">
        <f>'Upload AXI - CONF'!D505</f>
        <v>0</v>
      </c>
      <c r="SK2" s="558">
        <f>'Upload AXI - CONF'!D506</f>
        <v>0</v>
      </c>
      <c r="SL2" s="558">
        <f>'Upload AXI - CONF'!D507</f>
        <v>0</v>
      </c>
      <c r="SM2" s="558">
        <f>'Upload AXI - CONF'!D508</f>
        <v>0</v>
      </c>
      <c r="SN2" s="558">
        <f>'Upload AXI - CONF'!D509</f>
        <v>0</v>
      </c>
      <c r="SO2" s="558">
        <f>'Upload AXI - CONF'!D510</f>
        <v>0</v>
      </c>
      <c r="SP2" s="558">
        <f>'Upload AXI - CONF'!D511</f>
        <v>0</v>
      </c>
      <c r="SQ2" s="491">
        <f>'Upload AXI - CONF'!D512</f>
        <v>0.21</v>
      </c>
      <c r="SR2" s="558">
        <f>'Upload AXI - CONF'!D513</f>
        <v>0</v>
      </c>
      <c r="SS2" s="558">
        <f>'Upload AXI - CONF'!D514</f>
        <v>0</v>
      </c>
      <c r="ST2" s="558">
        <f>'Upload AXI - CONF'!D515</f>
        <v>0</v>
      </c>
      <c r="SU2" s="558">
        <f>'Upload AXI - CONF'!D516</f>
        <v>0</v>
      </c>
      <c r="SV2" s="350">
        <f>'Upload AXI - CONF'!D517</f>
        <v>0</v>
      </c>
      <c r="SW2" s="350">
        <f>'Upload AXI - CONF'!D518</f>
        <v>0</v>
      </c>
      <c r="SX2" s="491">
        <f>'Upload AXI - CONF'!D519</f>
        <v>0</v>
      </c>
      <c r="SY2" s="558">
        <f>'Upload AXI - CONF'!D520</f>
        <v>0</v>
      </c>
      <c r="SZ2" s="558">
        <f>'Upload AXI - CONF'!D521</f>
        <v>0</v>
      </c>
      <c r="TA2" s="558">
        <f>'Upload AXI - CONF'!D522</f>
        <v>0</v>
      </c>
      <c r="TB2" s="558">
        <f>'Upload AXI - CONF'!D523</f>
        <v>0</v>
      </c>
      <c r="TC2" s="558">
        <f>'Upload AXI - CONF'!D524</f>
        <v>0</v>
      </c>
      <c r="TD2" s="558">
        <f>'Upload AXI - CONF'!D525</f>
        <v>0</v>
      </c>
      <c r="TE2" s="558">
        <f>'Upload AXI - CONF'!D526</f>
        <v>0</v>
      </c>
      <c r="TF2" s="558">
        <f>'Upload AXI - CONF'!D527</f>
        <v>0</v>
      </c>
      <c r="TG2" s="558">
        <f>'Upload AXI - CONF'!D528</f>
        <v>0</v>
      </c>
      <c r="TH2" s="558">
        <f>'Upload AXI - CONF'!D529</f>
        <v>0</v>
      </c>
      <c r="TI2" s="491">
        <f>'Upload AXI - CONF'!D530</f>
        <v>0.21</v>
      </c>
      <c r="TJ2" s="558">
        <f>'Upload AXI - CONF'!D531</f>
        <v>0</v>
      </c>
      <c r="TK2" s="558">
        <f>'Upload AXI - CONF'!D532</f>
        <v>0</v>
      </c>
      <c r="TL2" s="558">
        <f>'Upload AXI - CONF'!D533</f>
        <v>0</v>
      </c>
      <c r="TM2" s="558">
        <f>'Upload AXI - CONF'!D534</f>
        <v>0</v>
      </c>
      <c r="TN2" s="350">
        <f>'Upload AXI - CONF'!D535</f>
        <v>0</v>
      </c>
      <c r="TO2" s="350">
        <f>'Upload AXI - CONF'!D536</f>
        <v>0</v>
      </c>
      <c r="TP2" s="491">
        <f>'Upload AXI - CONF'!D537</f>
        <v>0</v>
      </c>
      <c r="TQ2" s="558">
        <f>'Upload AXI - CONF'!D538</f>
        <v>0</v>
      </c>
      <c r="TR2" s="558">
        <f>'Upload AXI - CONF'!D539</f>
        <v>0</v>
      </c>
      <c r="TS2" s="558">
        <f>'Upload AXI - CONF'!D540</f>
        <v>0</v>
      </c>
      <c r="TT2" s="558">
        <f>'Upload AXI - CONF'!D541</f>
        <v>0</v>
      </c>
      <c r="TU2" s="558">
        <f>'Upload AXI - CONF'!D542</f>
        <v>0</v>
      </c>
      <c r="TV2" s="558">
        <f>'Upload AXI - CONF'!D543</f>
        <v>0</v>
      </c>
      <c r="TW2" s="558">
        <f>'Upload AXI - CONF'!D544</f>
        <v>0</v>
      </c>
      <c r="TX2" s="558">
        <f>'Upload AXI - CONF'!D545</f>
        <v>0</v>
      </c>
      <c r="TY2" s="558">
        <f>'Upload AXI - CONF'!D546</f>
        <v>0</v>
      </c>
      <c r="TZ2" s="558">
        <f>'Upload AXI - CONF'!D547</f>
        <v>0</v>
      </c>
      <c r="UA2" s="491">
        <f>'Upload AXI - CONF'!D548</f>
        <v>0.21</v>
      </c>
      <c r="UB2" s="558">
        <f>'Upload AXI - CONF'!D549</f>
        <v>0</v>
      </c>
      <c r="UC2" s="558">
        <f>'Upload AXI - CONF'!D550</f>
        <v>0</v>
      </c>
      <c r="UD2" s="558">
        <f>'Upload AXI - CONF'!D551</f>
        <v>0</v>
      </c>
      <c r="UE2" s="558">
        <f>'Upload AXI - CONF'!D552</f>
        <v>0</v>
      </c>
      <c r="UF2" s="350">
        <f>'Upload AXI - CONF'!D553</f>
        <v>0</v>
      </c>
      <c r="UG2" s="350">
        <f>'Upload AXI - CONF'!D554</f>
        <v>0</v>
      </c>
      <c r="UH2" s="491">
        <f>'Upload AXI - CONF'!D555</f>
        <v>0</v>
      </c>
      <c r="UI2" s="558">
        <f>'Upload AXI - CONF'!D556</f>
        <v>0</v>
      </c>
      <c r="UJ2" s="558">
        <f>'Upload AXI - CONF'!D557</f>
        <v>0</v>
      </c>
      <c r="UK2" s="558">
        <f>'Upload AXI - CONF'!D558</f>
        <v>0</v>
      </c>
      <c r="UL2" s="558">
        <f>'Upload AXI - CONF'!D559</f>
        <v>0</v>
      </c>
      <c r="UM2" s="558">
        <f>'Upload AXI - CONF'!D560</f>
        <v>0</v>
      </c>
      <c r="UN2" s="558">
        <f>'Upload AXI - CONF'!D561</f>
        <v>0</v>
      </c>
      <c r="UO2" s="558">
        <f>'Upload AXI - CONF'!D562</f>
        <v>0</v>
      </c>
      <c r="UP2" s="558">
        <f>'Upload AXI - CONF'!D563</f>
        <v>0</v>
      </c>
      <c r="UQ2" s="558">
        <f>'Upload AXI - CONF'!D564</f>
        <v>0</v>
      </c>
      <c r="UR2" s="558">
        <f>'Upload AXI - CONF'!D565</f>
        <v>0</v>
      </c>
      <c r="US2" s="491">
        <f>'Upload AXI - CONF'!D566</f>
        <v>0.21</v>
      </c>
      <c r="UT2" s="558">
        <f>'Upload AXI - CONF'!D567</f>
        <v>0</v>
      </c>
      <c r="UU2" s="558">
        <f>'Upload AXI - CONF'!D568</f>
        <v>0</v>
      </c>
      <c r="UV2" s="558">
        <f>'Upload AXI - CONF'!D569</f>
        <v>0</v>
      </c>
      <c r="UW2" s="558">
        <f>'Upload AXI - CONF'!D570</f>
        <v>0</v>
      </c>
      <c r="UX2" s="350">
        <f>'Upload AXI - CONF'!D571</f>
        <v>0</v>
      </c>
      <c r="UY2" s="350">
        <f>'Upload AXI - CONF'!D572</f>
        <v>0</v>
      </c>
      <c r="UZ2" s="491">
        <f>'Upload AXI - CONF'!D573</f>
        <v>0</v>
      </c>
      <c r="VA2" s="558">
        <f>'Upload AXI - CONF'!D574</f>
        <v>0</v>
      </c>
      <c r="VB2" s="558">
        <f>'Upload AXI - CONF'!D575</f>
        <v>0</v>
      </c>
      <c r="VC2" s="558">
        <f>'Upload AXI - CONF'!D576</f>
        <v>0</v>
      </c>
      <c r="VD2" s="558">
        <f>'Upload AXI - CONF'!D577</f>
        <v>0</v>
      </c>
      <c r="VE2" s="558">
        <f>'Upload AXI - CONF'!D578</f>
        <v>0</v>
      </c>
      <c r="VF2" s="558">
        <f>'Upload AXI - CONF'!D579</f>
        <v>0</v>
      </c>
      <c r="VG2" s="558">
        <f>'Upload AXI - CONF'!D580</f>
        <v>0</v>
      </c>
      <c r="VH2" s="558">
        <f>'Upload AXI - CONF'!D581</f>
        <v>0</v>
      </c>
      <c r="VI2" s="558">
        <f>'Upload AXI - CONF'!D582</f>
        <v>0</v>
      </c>
      <c r="VJ2" s="558">
        <f>'Upload AXI - CONF'!D583</f>
        <v>0</v>
      </c>
      <c r="VK2" s="491">
        <f>'Upload AXI - CONF'!D584</f>
        <v>0.21</v>
      </c>
      <c r="VL2" s="558">
        <f>'Upload AXI - CONF'!D585</f>
        <v>0</v>
      </c>
      <c r="VM2" s="558">
        <f>'Upload AXI - CONF'!D586</f>
        <v>0</v>
      </c>
      <c r="VN2" s="558">
        <f>'Upload AXI - CONF'!D587</f>
        <v>0</v>
      </c>
      <c r="VO2" s="558">
        <f>'Upload AXI - CONF'!D588</f>
        <v>0</v>
      </c>
      <c r="VP2" s="350">
        <f>'Upload AXI - CONF'!D589</f>
        <v>0</v>
      </c>
      <c r="VQ2" s="350">
        <f>'Upload AXI - CONF'!D590</f>
        <v>0</v>
      </c>
      <c r="VR2" s="491">
        <f>'Upload AXI - CONF'!D591</f>
        <v>0</v>
      </c>
      <c r="VS2" s="558">
        <f>'Upload AXI - CONF'!D592</f>
        <v>0</v>
      </c>
      <c r="VT2" s="558">
        <f>'Upload AXI - CONF'!D593</f>
        <v>0</v>
      </c>
      <c r="VU2" s="558">
        <f>'Upload AXI - CONF'!D594</f>
        <v>0</v>
      </c>
      <c r="VV2" s="558">
        <f>'Upload AXI - CONF'!D595</f>
        <v>0</v>
      </c>
      <c r="VW2" s="558">
        <f>'Upload AXI - CONF'!D596</f>
        <v>0</v>
      </c>
      <c r="VX2" s="558">
        <f>'Upload AXI - CONF'!D597</f>
        <v>0</v>
      </c>
      <c r="VY2" s="558">
        <f>'Upload AXI - CONF'!D598</f>
        <v>0</v>
      </c>
      <c r="VZ2" s="558">
        <f>'Upload AXI - CONF'!D599</f>
        <v>0</v>
      </c>
      <c r="WA2" s="558">
        <f>'Upload AXI - CONF'!D600</f>
        <v>0</v>
      </c>
      <c r="WB2" s="558">
        <f>'Upload AXI - CONF'!D601</f>
        <v>0</v>
      </c>
      <c r="WC2" s="491">
        <f>'Upload AXI - CONF'!D602</f>
        <v>0.21</v>
      </c>
      <c r="WD2" s="558">
        <f>'Upload AXI - CONF'!D603</f>
        <v>0</v>
      </c>
      <c r="WE2" s="558">
        <f>'Upload AXI - CONF'!D604</f>
        <v>0</v>
      </c>
      <c r="WF2" s="558">
        <f>'Upload AXI - CONF'!D605</f>
        <v>0</v>
      </c>
      <c r="WG2" s="558">
        <f>'Upload AXI - CONF'!D606</f>
        <v>0</v>
      </c>
      <c r="WH2" s="350">
        <f>'Upload AXI - CONF'!D607</f>
        <v>0</v>
      </c>
      <c r="WI2" s="350">
        <f>'Upload AXI - CONF'!D608</f>
        <v>0</v>
      </c>
      <c r="WJ2" s="491">
        <f>'Upload AXI - CONF'!D609</f>
        <v>0</v>
      </c>
      <c r="WK2" s="558">
        <f>'Upload AXI - CONF'!D610</f>
        <v>0</v>
      </c>
      <c r="WL2" s="558">
        <f>'Upload AXI - CONF'!D611</f>
        <v>0</v>
      </c>
      <c r="WM2" s="558">
        <f>'Upload AXI - CONF'!D612</f>
        <v>0</v>
      </c>
      <c r="WN2" s="558">
        <f>'Upload AXI - CONF'!D613</f>
        <v>0</v>
      </c>
      <c r="WO2" s="558">
        <f>'Upload AXI - CONF'!D614</f>
        <v>0</v>
      </c>
      <c r="WP2" s="558">
        <f>'Upload AXI - CONF'!D615</f>
        <v>0</v>
      </c>
      <c r="WQ2" s="558">
        <f>'Upload AXI - CONF'!D616</f>
        <v>0</v>
      </c>
      <c r="WR2" s="558">
        <f>'Upload AXI - CONF'!D617</f>
        <v>0</v>
      </c>
      <c r="WS2" s="558">
        <f>'Upload AXI - CONF'!D618</f>
        <v>0</v>
      </c>
      <c r="WT2" s="558">
        <f>'Upload AXI - CONF'!D619</f>
        <v>0</v>
      </c>
      <c r="WU2" s="491">
        <f>'Upload AXI - CONF'!D620</f>
        <v>0.21</v>
      </c>
      <c r="WV2" s="558">
        <f>'Upload AXI - CONF'!D621</f>
        <v>0</v>
      </c>
      <c r="WW2" s="558">
        <f>'Upload AXI - CONF'!D622</f>
        <v>0</v>
      </c>
      <c r="WX2" s="558">
        <f>'Upload AXI - CONF'!D623</f>
        <v>0</v>
      </c>
      <c r="WY2" s="558">
        <f>'Upload AXI - CONF'!D624</f>
        <v>0</v>
      </c>
      <c r="WZ2" s="350">
        <f>'Upload AXI - CONF'!D625</f>
        <v>0</v>
      </c>
      <c r="XA2" s="350">
        <f>'Upload AXI - CONF'!D626</f>
        <v>0</v>
      </c>
      <c r="XB2" s="491">
        <f>'Upload AXI - CONF'!D627</f>
        <v>0</v>
      </c>
      <c r="XC2" s="558">
        <f>'Upload AXI - CONF'!D628</f>
        <v>0</v>
      </c>
      <c r="XD2" s="558">
        <f>'Upload AXI - CONF'!D629</f>
        <v>0</v>
      </c>
      <c r="XE2" s="558">
        <f>'Upload AXI - CONF'!D630</f>
        <v>0</v>
      </c>
      <c r="XF2" s="558">
        <f>'Upload AXI - CONF'!D631</f>
        <v>0</v>
      </c>
      <c r="XG2" s="558">
        <f>'Upload AXI - CONF'!D632</f>
        <v>0</v>
      </c>
      <c r="XH2" s="558">
        <f>'Upload AXI - CONF'!D633</f>
        <v>0</v>
      </c>
      <c r="XI2" s="558">
        <f>'Upload AXI - CONF'!D634</f>
        <v>0</v>
      </c>
      <c r="XJ2" s="558">
        <f>'Upload AXI - CONF'!D635</f>
        <v>0</v>
      </c>
      <c r="XK2" s="558">
        <f>'Upload AXI - CONF'!D636</f>
        <v>0</v>
      </c>
      <c r="XL2" s="558">
        <f>'Upload AXI - CONF'!D637</f>
        <v>0</v>
      </c>
      <c r="XM2" s="491">
        <f>'Upload AXI - CONF'!D638</f>
        <v>0.21</v>
      </c>
      <c r="XN2" s="558">
        <f>'Upload AXI - CONF'!D639</f>
        <v>0</v>
      </c>
      <c r="XO2" s="558">
        <f>'Upload AXI - CONF'!D640</f>
        <v>0</v>
      </c>
      <c r="XP2" s="558">
        <f>'Upload AXI - CONF'!D641</f>
        <v>0</v>
      </c>
      <c r="XQ2" s="558">
        <f>'Upload AXI - CONF'!D642</f>
        <v>0</v>
      </c>
      <c r="XR2" s="350">
        <f>'Upload AXI - CONF'!D643</f>
        <v>0</v>
      </c>
      <c r="XS2" s="350">
        <f>'Upload AXI - CONF'!D644</f>
        <v>0</v>
      </c>
      <c r="XT2" s="491">
        <f>'Upload AXI - CONF'!D645</f>
        <v>0</v>
      </c>
      <c r="XU2" s="350">
        <f>'Upload AXI - CONF'!D646</f>
        <v>0</v>
      </c>
      <c r="XV2" s="350">
        <f>'Upload AXI - CONF'!D647</f>
        <v>0</v>
      </c>
      <c r="XW2" s="350">
        <f>'Upload AXI - CONF'!D648</f>
        <v>0</v>
      </c>
      <c r="XX2" s="558">
        <f>'Upload AXI - CONF'!D650</f>
        <v>0</v>
      </c>
      <c r="XY2" s="558">
        <f>'Upload AXI - CONF'!D651</f>
        <v>0</v>
      </c>
      <c r="XZ2" s="558">
        <f>'Upload AXI - CONF'!D652</f>
        <v>0</v>
      </c>
      <c r="YA2" s="558">
        <f>'Upload AXI - CONF'!D653</f>
        <v>0</v>
      </c>
      <c r="YB2" s="558" t="e">
        <f ca="1">'Upload AXI - CONF'!D654</f>
        <v>#REF!</v>
      </c>
      <c r="YC2" s="350" t="str">
        <f>'Upload AXI - CONF'!D655</f>
        <v/>
      </c>
      <c r="YD2" s="558">
        <f>'Upload AXI - CONF'!D656</f>
        <v>0</v>
      </c>
      <c r="YE2" s="558">
        <f>'Upload AXI - CONF'!D657</f>
        <v>0</v>
      </c>
      <c r="YF2">
        <f>'Upload AXI - CONF'!D658</f>
        <v>2.3958200000000001</v>
      </c>
      <c r="YG2" t="str">
        <f>'Upload AXI - CONF'!D659</f>
        <v/>
      </c>
      <c r="YH2" t="str">
        <f>'Upload AXI - CONF'!D660</f>
        <v/>
      </c>
      <c r="YI2" s="822">
        <f>'Upload AXI - CONF'!D661</f>
        <v>0</v>
      </c>
      <c r="YJ2" s="822">
        <f>'Upload AXI - CONF'!D662</f>
        <v>0</v>
      </c>
      <c r="YK2" s="558" t="str">
        <f>'Upload AXI - CONF'!D663</f>
        <v/>
      </c>
      <c r="YL2" s="822">
        <f>'Upload AXI - CONF'!D664</f>
        <v>0</v>
      </c>
      <c r="YM2" s="822">
        <f>'Upload AXI - CONF'!D665</f>
        <v>0</v>
      </c>
      <c r="YN2" t="str">
        <f>'Upload AXI - CONF'!D666</f>
        <v/>
      </c>
      <c r="YO2" s="822">
        <f>'Upload AXI - CONF'!D667</f>
        <v>0</v>
      </c>
      <c r="YP2" s="822">
        <f>'Upload AXI - CONF'!D668</f>
        <v>0</v>
      </c>
      <c r="YQ2" t="str">
        <f>'Upload AXI - CONF'!D669</f>
        <v/>
      </c>
      <c r="YR2" s="822">
        <f>'Upload AXI - CONF'!D670</f>
        <v>0</v>
      </c>
      <c r="YS2" s="822">
        <f>'Upload AXI - CONF'!D671</f>
        <v>0</v>
      </c>
      <c r="YT2" t="str">
        <f>'Upload AXI - CONF'!D672</f>
        <v/>
      </c>
      <c r="YU2" t="str">
        <f>'Upload AXI - CONF'!D673</f>
        <v/>
      </c>
      <c r="YV2" s="822">
        <f>'Upload AXI - CONF'!D674</f>
        <v>0</v>
      </c>
      <c r="YW2" s="822">
        <f>'Upload AXI - CONF'!D675</f>
        <v>0</v>
      </c>
      <c r="YX2" t="str">
        <f>'Upload AXI - CONF'!D676</f>
        <v/>
      </c>
      <c r="YY2" s="822">
        <f>'Upload AXI - CONF'!D677</f>
        <v>0</v>
      </c>
      <c r="YZ2" s="822">
        <f>'Upload AXI - CONF'!D678</f>
        <v>0</v>
      </c>
      <c r="ZA2" t="str">
        <f>'Upload AXI - CONF'!D679</f>
        <v/>
      </c>
      <c r="ZB2" s="822">
        <f>'Upload AXI - CONF'!D680</f>
        <v>0</v>
      </c>
      <c r="ZC2" s="822">
        <f>'Upload AXI - CONF'!D681</f>
        <v>0</v>
      </c>
      <c r="ZD2" t="str">
        <f>'Upload AXI - CONF'!D682</f>
        <v/>
      </c>
      <c r="ZE2" s="822">
        <f>'Upload AXI - CONF'!D683</f>
        <v>0</v>
      </c>
      <c r="ZF2" s="822">
        <f>'Upload AXI - CONF'!D684</f>
        <v>0</v>
      </c>
      <c r="ZG2" t="str">
        <f>'Upload AXI - CONF'!D685</f>
        <v/>
      </c>
      <c r="ZH2" t="str">
        <f>'Upload AXI - CONF'!D686</f>
        <v/>
      </c>
      <c r="ZI2" s="822">
        <f>'Upload AXI - CONF'!D687</f>
        <v>0</v>
      </c>
      <c r="ZJ2" s="822">
        <f>'Upload AXI - CONF'!D688</f>
        <v>0</v>
      </c>
      <c r="ZK2" t="str">
        <f>'Upload AXI - CONF'!D689</f>
        <v/>
      </c>
      <c r="ZL2" s="822">
        <f>'Upload AXI - CONF'!D690</f>
        <v>0</v>
      </c>
      <c r="ZM2" s="822">
        <f>'Upload AXI - CONF'!D691</f>
        <v>0</v>
      </c>
      <c r="ZN2" t="str">
        <f>'Upload AXI - CONF'!D692</f>
        <v/>
      </c>
      <c r="ZO2" s="822">
        <f>'Upload AXI - CONF'!D693</f>
        <v>0</v>
      </c>
      <c r="ZP2" s="822">
        <f>'Upload AXI - CONF'!D694</f>
        <v>0</v>
      </c>
      <c r="ZQ2" t="str">
        <f>'Upload AXI - CONF'!D695</f>
        <v/>
      </c>
      <c r="ZR2" s="822">
        <f>'Upload AXI - CONF'!D696</f>
        <v>0</v>
      </c>
      <c r="ZS2" s="822">
        <f>'Upload AXI - CONF'!D697</f>
        <v>0</v>
      </c>
      <c r="ZT2">
        <f>'Upload AXI - CONF'!D698</f>
        <v>0</v>
      </c>
      <c r="ZU2" s="350">
        <f>'Upload AXI - CONF'!D699</f>
        <v>0</v>
      </c>
      <c r="ZV2" s="350">
        <f>'Upload AXI - CONF'!D700</f>
        <v>0</v>
      </c>
      <c r="ZW2" s="558">
        <f>'Upload AXI - CONF'!D701</f>
        <v>0</v>
      </c>
      <c r="ZX2" s="558" t="e">
        <f ca="1">'Upload AXI - CONF'!D704</f>
        <v>#REF!</v>
      </c>
      <c r="ZY2" s="350" t="str">
        <f>'Upload AXI - CONF'!D705</f>
        <v/>
      </c>
      <c r="ZZ2" s="558">
        <f>'Upload AXI - CONF'!D706</f>
        <v>0</v>
      </c>
      <c r="AAA2" s="558">
        <f>'Upload AXI - CONF'!D707</f>
        <v>0</v>
      </c>
      <c r="AAB2">
        <f>'Upload AXI - CONF'!D708</f>
        <v>2.3958200000000001</v>
      </c>
      <c r="AAC2" t="str">
        <f>'Upload AXI - CONF'!D709</f>
        <v/>
      </c>
      <c r="AAD2" t="str">
        <f>'Upload AXI - CONF'!D710</f>
        <v/>
      </c>
      <c r="AAE2" s="822">
        <f>'Upload AXI - CONF'!D711</f>
        <v>0</v>
      </c>
      <c r="AAF2" s="822">
        <f>'Upload AXI - CONF'!D712</f>
        <v>0</v>
      </c>
      <c r="AAG2" t="str">
        <f>'Upload AXI - CONF'!D713</f>
        <v/>
      </c>
      <c r="AAH2" s="822">
        <f>'Upload AXI - CONF'!D714</f>
        <v>0</v>
      </c>
      <c r="AAI2" s="822">
        <f>'Upload AXI - CONF'!D715</f>
        <v>0</v>
      </c>
      <c r="AAJ2" t="str">
        <f>'Upload AXI - CONF'!D716</f>
        <v/>
      </c>
      <c r="AAK2" s="822">
        <f>'Upload AXI - CONF'!D717</f>
        <v>0</v>
      </c>
      <c r="AAL2" s="822">
        <f>'Upload AXI - CONF'!D718</f>
        <v>0</v>
      </c>
      <c r="AAM2" t="str">
        <f>'Upload AXI - CONF'!D719</f>
        <v/>
      </c>
      <c r="AAN2" s="822">
        <f>'Upload AXI - CONF'!D720</f>
        <v>0</v>
      </c>
      <c r="AAO2" s="822">
        <f>'Upload AXI - CONF'!D721</f>
        <v>0</v>
      </c>
      <c r="AAP2" t="str">
        <f>'Upload AXI - CONF'!D722</f>
        <v/>
      </c>
      <c r="AAQ2" t="str">
        <f>'Upload AXI - CONF'!D723</f>
        <v/>
      </c>
      <c r="AAR2" s="822">
        <f>'Upload AXI - CONF'!D724</f>
        <v>0</v>
      </c>
      <c r="AAS2" s="822">
        <f>'Upload AXI - CONF'!D725</f>
        <v>0</v>
      </c>
      <c r="AAT2" t="str">
        <f>'Upload AXI - CONF'!D726</f>
        <v/>
      </c>
      <c r="AAU2" s="822">
        <f>'Upload AXI - CONF'!D727</f>
        <v>0</v>
      </c>
      <c r="AAV2" s="822">
        <f>'Upload AXI - CONF'!D728</f>
        <v>0</v>
      </c>
      <c r="AAW2" t="str">
        <f>'Upload AXI - CONF'!D729</f>
        <v/>
      </c>
      <c r="AAX2" s="822">
        <f>'Upload AXI - CONF'!D730</f>
        <v>0</v>
      </c>
      <c r="AAY2" s="822">
        <f>'Upload AXI - CONF'!D731</f>
        <v>0</v>
      </c>
      <c r="AAZ2" t="str">
        <f>'Upload AXI - CONF'!D732</f>
        <v/>
      </c>
      <c r="ABA2" s="822">
        <f>'Upload AXI - CONF'!D733</f>
        <v>0</v>
      </c>
      <c r="ABB2" s="822">
        <f>'Upload AXI - CONF'!D734</f>
        <v>0</v>
      </c>
      <c r="ABC2" t="str">
        <f>'Upload AXI - CONF'!D735</f>
        <v/>
      </c>
      <c r="ABD2" t="str">
        <f>'Upload AXI - CONF'!D736</f>
        <v/>
      </c>
      <c r="ABE2" s="822">
        <f>'Upload AXI - CONF'!D737</f>
        <v>0</v>
      </c>
      <c r="ABF2" s="822">
        <f>'Upload AXI - CONF'!D738</f>
        <v>0</v>
      </c>
      <c r="ABG2" t="str">
        <f>'Upload AXI - CONF'!D739</f>
        <v/>
      </c>
      <c r="ABH2" s="822">
        <f>'Upload AXI - CONF'!D740</f>
        <v>0</v>
      </c>
      <c r="ABI2" s="822">
        <f>'Upload AXI - CONF'!D741</f>
        <v>0</v>
      </c>
      <c r="ABJ2" t="str">
        <f>'Upload AXI - CONF'!D742</f>
        <v/>
      </c>
      <c r="ABK2" s="822">
        <f>'Upload AXI - CONF'!D743</f>
        <v>0</v>
      </c>
      <c r="ABL2" s="822">
        <f>'Upload AXI - CONF'!D744</f>
        <v>0</v>
      </c>
      <c r="ABM2" t="str">
        <f>'Upload AXI - CONF'!D745</f>
        <v/>
      </c>
      <c r="ABN2" s="822">
        <f>'Upload AXI - CONF'!D746</f>
        <v>0</v>
      </c>
      <c r="ABO2" s="822">
        <f>'Upload AXI - CONF'!D747</f>
        <v>0</v>
      </c>
      <c r="ABP2" s="822">
        <f>'Upload AXI - CONF'!D748</f>
        <v>0</v>
      </c>
      <c r="ABQ2" s="822">
        <f>'Upload AXI - CONF'!D749</f>
        <v>0</v>
      </c>
      <c r="ABR2" s="822">
        <f>'Upload AXI - CONF'!D750</f>
        <v>0</v>
      </c>
      <c r="ABS2" s="558">
        <f ca="1">'Upload AXI - CONF'!D751</f>
        <v>0</v>
      </c>
      <c r="ABT2" s="558">
        <f>'Upload AXI - CONF'!D752</f>
        <v>0</v>
      </c>
      <c r="ABU2" s="491">
        <f>'Upload AXI - CONF'!D753</f>
        <v>0</v>
      </c>
      <c r="ABV2" s="558" t="e">
        <f ca="1">'Upload AXI - CONF'!D754</f>
        <v>#REF!</v>
      </c>
      <c r="ABW2" s="558">
        <f>'Upload AXI - CONF'!D755</f>
        <v>0</v>
      </c>
      <c r="ABX2" s="558">
        <f>'Upload AXI - CONF'!D756</f>
        <v>0</v>
      </c>
      <c r="ABY2" s="558">
        <f>'Upload AXI - CONF'!D757</f>
        <v>0</v>
      </c>
      <c r="ABZ2" s="558">
        <f>'Upload AXI - CONF'!D758</f>
        <v>0</v>
      </c>
      <c r="ACA2" s="558">
        <f>'Upload AXI - CONF'!D759</f>
        <v>0</v>
      </c>
      <c r="ACB2" s="558">
        <f>'Upload AXI - CONF'!D760</f>
        <v>0</v>
      </c>
      <c r="ACC2" s="558">
        <f>'Upload AXI - CONF'!D761</f>
        <v>0</v>
      </c>
      <c r="ACD2" s="558">
        <f>'Upload AXI - CONF'!D762</f>
        <v>0</v>
      </c>
      <c r="ACE2" s="558">
        <f>'Upload AXI - CONF'!D763</f>
        <v>0</v>
      </c>
      <c r="ACF2" s="558">
        <f>'Upload AXI - CONF'!D764</f>
        <v>0</v>
      </c>
      <c r="ACG2" s="558">
        <f>'Upload AXI - CONF'!D765</f>
        <v>0</v>
      </c>
      <c r="ACH2" s="558" t="e">
        <f>'Upload AXI - CONF'!D766</f>
        <v>#DIV/0!</v>
      </c>
      <c r="ACI2" s="558">
        <f>'Upload AXI - CONF'!D767</f>
        <v>0</v>
      </c>
      <c r="ACJ2" s="558">
        <f>'Upload AXI - CONF'!D768</f>
        <v>0</v>
      </c>
      <c r="ACK2" s="558">
        <f>'Upload AXI - CONF'!D769</f>
        <v>0</v>
      </c>
      <c r="ACL2" s="558">
        <f>'Upload AXI - CONF'!D770</f>
        <v>0</v>
      </c>
      <c r="ACM2" s="558">
        <f>'Upload AXI - CONF'!D771</f>
        <v>0</v>
      </c>
      <c r="ACN2" s="558">
        <f>'Upload AXI - CONF'!D772</f>
        <v>0</v>
      </c>
      <c r="ACO2" s="558">
        <f>'Upload AXI - CONF'!D773</f>
        <v>0</v>
      </c>
      <c r="ACP2" s="558">
        <f>'Upload AXI - CONF'!D774</f>
        <v>0</v>
      </c>
      <c r="ACQ2" s="558">
        <f>'Upload AXI - CONF'!D775</f>
        <v>0</v>
      </c>
      <c r="ACR2" s="558">
        <f>'Upload AXI - CONF'!D776</f>
        <v>0</v>
      </c>
      <c r="ACS2" s="558">
        <f>'Upload AXI - CONF'!D777</f>
        <v>0</v>
      </c>
      <c r="ACT2" s="558">
        <f>'Upload AXI - CONF'!D778</f>
        <v>0</v>
      </c>
      <c r="ACU2" s="558">
        <f>'Upload AXI - CONF'!D779</f>
        <v>0</v>
      </c>
      <c r="ACV2" s="558">
        <f>'Upload AXI - CONF'!D780</f>
        <v>0</v>
      </c>
      <c r="ACW2" s="558">
        <f>'Upload AXI - CONF'!D781</f>
        <v>0</v>
      </c>
      <c r="ACX2" s="558">
        <f>'Upload AXI - CONF'!D782</f>
        <v>0</v>
      </c>
      <c r="ACY2" s="558">
        <f>'Upload AXI - CONF'!D783</f>
        <v>0</v>
      </c>
      <c r="ACZ2" s="558">
        <f>'Upload AXI - CONF'!D784</f>
        <v>0</v>
      </c>
      <c r="ADA2" s="558">
        <f>'Upload AXI - CONF'!D785</f>
        <v>0</v>
      </c>
      <c r="ADB2" s="558">
        <f>'Upload AXI - CONF'!D786</f>
        <v>0</v>
      </c>
      <c r="ADC2" s="558">
        <f>'Upload AXI - CONF'!D787</f>
        <v>0</v>
      </c>
      <c r="ADD2" s="558">
        <f>'Upload AXI - CONF'!D788</f>
        <v>0</v>
      </c>
      <c r="ADE2" s="558">
        <f>'Upload AXI - CONF'!D789</f>
        <v>0</v>
      </c>
      <c r="ADF2" s="558">
        <f>'Upload AXI - CONF'!D790</f>
        <v>0</v>
      </c>
      <c r="ADG2" s="558">
        <f>'Upload AXI - CONF'!D791</f>
        <v>0</v>
      </c>
      <c r="ADH2" s="558">
        <f>'Upload AXI - CONF'!D792</f>
        <v>0</v>
      </c>
      <c r="ADI2" s="558">
        <f>'Upload AXI - CONF'!D793</f>
        <v>0</v>
      </c>
      <c r="ADJ2" s="558">
        <f>'Upload AXI - CONF'!D794</f>
        <v>0</v>
      </c>
      <c r="ADK2" s="558">
        <f>'Upload AXI - CONF'!D795</f>
        <v>0</v>
      </c>
      <c r="ADL2" s="558">
        <f>'Upload AXI - CONF'!D796</f>
        <v>0</v>
      </c>
      <c r="ADM2" s="558">
        <f>'Upload AXI - CONF'!D797</f>
        <v>0</v>
      </c>
      <c r="ADN2" s="558">
        <f>'Upload AXI - CONF'!D798</f>
        <v>0</v>
      </c>
      <c r="ADO2" s="558">
        <f>'Upload AXI - CONF'!D799</f>
        <v>0</v>
      </c>
      <c r="ADP2" s="558">
        <f>'Upload AXI - CONF'!D800</f>
        <v>0</v>
      </c>
      <c r="ADQ2" s="558">
        <f>'Upload AXI - CONF'!D801</f>
        <v>0</v>
      </c>
      <c r="ADR2" s="558">
        <f>'Upload AXI - CONF'!D802</f>
        <v>0</v>
      </c>
      <c r="ADS2" s="558">
        <f>'Upload AXI - CONF'!D803</f>
        <v>0</v>
      </c>
      <c r="ADT2" s="558">
        <f>'Upload AXI - CONF'!D804</f>
        <v>0</v>
      </c>
      <c r="ADU2" s="558">
        <f>'Upload AXI - CONF'!D805</f>
        <v>0</v>
      </c>
      <c r="ADV2" s="558">
        <f>'Upload AXI - CONF'!D806</f>
        <v>0</v>
      </c>
      <c r="ADW2" s="558">
        <f>'Upload AXI - CONF'!D807</f>
        <v>0</v>
      </c>
      <c r="ADX2" s="558">
        <f>'Upload AXI - CONF'!D808</f>
        <v>0</v>
      </c>
      <c r="ADY2" s="558">
        <f>'Upload AXI - CONF'!D809</f>
        <v>0</v>
      </c>
      <c r="ADZ2" s="558">
        <f>'Upload AXI - CONF'!D810</f>
        <v>0</v>
      </c>
      <c r="AEA2" s="558">
        <f>'Upload AXI - CONF'!D811</f>
        <v>0</v>
      </c>
      <c r="AEB2" s="558">
        <f>'Upload AXI - CONF'!D812</f>
        <v>0</v>
      </c>
      <c r="AEC2" s="558">
        <f>'Upload AXI - CONF'!D813</f>
        <v>0</v>
      </c>
      <c r="AED2" s="558">
        <f>'Upload AXI - CONF'!D814</f>
        <v>0</v>
      </c>
      <c r="AEE2" s="558">
        <f>'Upload AXI - CONF'!D815</f>
        <v>0</v>
      </c>
      <c r="AEF2" s="558">
        <f>'Upload AXI - CONF'!D816</f>
        <v>0</v>
      </c>
      <c r="AEG2" s="558">
        <f>'Upload AXI - CONF'!D817</f>
        <v>0</v>
      </c>
      <c r="AEH2" s="558">
        <f>'Upload AXI - CONF'!D818</f>
        <v>0</v>
      </c>
      <c r="AEI2" s="558">
        <f>'Upload AXI - CONF'!D819</f>
        <v>0</v>
      </c>
      <c r="AEJ2" s="558">
        <f>'Upload AXI - CONF'!D820</f>
        <v>0</v>
      </c>
      <c r="AEK2" s="558">
        <f>'Upload AXI - CONF'!D821</f>
        <v>0</v>
      </c>
      <c r="AEL2" s="558">
        <f>'Upload AXI - CONF'!D822</f>
        <v>0</v>
      </c>
      <c r="AEM2" s="558">
        <f>'Upload AXI - CONF'!D823</f>
        <v>0</v>
      </c>
      <c r="AEN2" s="558">
        <f>'Upload AXI - CONF'!D824</f>
        <v>0</v>
      </c>
      <c r="AEO2" s="558">
        <f>'Upload AXI - CONF'!D825</f>
        <v>0</v>
      </c>
      <c r="AEP2" s="558">
        <f>'Upload AXI - CONF'!D826</f>
        <v>0</v>
      </c>
      <c r="AEQ2" s="491">
        <f>'Upload AXI - CONF'!D827</f>
        <v>0.21</v>
      </c>
      <c r="AER2" s="491">
        <f>'Upload AXI - CONF'!D828</f>
        <v>0.21</v>
      </c>
      <c r="AES2" s="491">
        <f>'Upload AXI - CONF'!D829</f>
        <v>0.21</v>
      </c>
      <c r="AET2" s="491">
        <f>'Upload AXI - CONF'!D830</f>
        <v>0.21</v>
      </c>
      <c r="AEU2" s="491">
        <f>'Upload AXI - CONF'!D831</f>
        <v>0.21</v>
      </c>
      <c r="AEV2" s="491">
        <f>'Upload AXI - CONF'!D832</f>
        <v>0.21</v>
      </c>
      <c r="AEW2" s="491">
        <f>'Upload AXI - CONF'!D833</f>
        <v>0.21</v>
      </c>
      <c r="AEX2" s="491">
        <f>'Upload AXI - CONF'!D834</f>
        <v>0.21</v>
      </c>
      <c r="AEY2" s="491">
        <f>'Upload AXI - CONF'!D835</f>
        <v>0.21</v>
      </c>
      <c r="AEZ2" s="491">
        <f>'Upload AXI - CONF'!D836</f>
        <v>0.21</v>
      </c>
      <c r="AFA2" s="491">
        <f>'Upload AXI - CONF'!D837</f>
        <v>0.21</v>
      </c>
      <c r="AFB2" s="491">
        <f>'Upload AXI - CONF'!D838</f>
        <v>0.21</v>
      </c>
      <c r="AFC2" s="558">
        <f>'Upload AXI - CONF'!D195</f>
        <v>0</v>
      </c>
      <c r="AFD2" s="558">
        <f>'Upload AXI - CONF'!D196</f>
        <v>0</v>
      </c>
      <c r="AFE2" s="558">
        <f>'Upload AXI - CONF'!D198</f>
        <v>0</v>
      </c>
      <c r="AFF2" s="491">
        <f>'Upload AXI - CONF'!D199</f>
        <v>0.21</v>
      </c>
      <c r="AFG2" s="558">
        <f>'Upload AXI - CONF'!D200</f>
        <v>0</v>
      </c>
      <c r="AFH2" s="558">
        <f>'Upload AXI - CONF'!D201</f>
        <v>0</v>
      </c>
      <c r="AFI2" s="771">
        <f>'Upload AXI - CONF'!D202</f>
        <v>0</v>
      </c>
      <c r="AFJ2" s="771">
        <f>'Upload AXI - CONF'!D203</f>
        <v>0</v>
      </c>
      <c r="AFK2" s="491">
        <f>'Upload AXI - CONF'!D204</f>
        <v>0</v>
      </c>
      <c r="AFL2" s="558">
        <f>'Upload AXI - CONF'!D205</f>
        <v>0</v>
      </c>
      <c r="AFM2" s="558">
        <f>'Upload AXI - CONF'!D206</f>
        <v>0</v>
      </c>
      <c r="AFN2" s="558">
        <f>'Upload AXI - CONF'!D207</f>
        <v>0</v>
      </c>
      <c r="AFO2" s="558">
        <f>'Upload AXI - CONF'!D208</f>
        <v>0</v>
      </c>
      <c r="AFP2" s="558">
        <f>'Upload AXI - CONF'!D209</f>
        <v>0</v>
      </c>
      <c r="AFQ2" s="558">
        <f>'Upload AXI - CONF'!D210</f>
        <v>0</v>
      </c>
      <c r="AFR2" s="558">
        <f>'Upload AXI - CONF'!D211</f>
        <v>0</v>
      </c>
      <c r="AFS2" s="558">
        <f>'Upload AXI - CONF'!D212</f>
        <v>0</v>
      </c>
      <c r="AFT2" s="558">
        <f>'Upload AXI - CONF'!D214</f>
        <v>0</v>
      </c>
      <c r="AFU2" s="491">
        <f>'Upload AXI - CONF'!D215</f>
        <v>0.21</v>
      </c>
      <c r="AFV2" s="558">
        <f>'Upload AXI - CONF'!D216</f>
        <v>0</v>
      </c>
      <c r="AFW2" s="558">
        <f>'Upload AXI - CONF'!D217</f>
        <v>0</v>
      </c>
      <c r="AFX2" s="771">
        <f>'Upload AXI - CONF'!D218</f>
        <v>0</v>
      </c>
      <c r="AFY2" s="771">
        <f>'Upload AXI - CONF'!D219</f>
        <v>0</v>
      </c>
      <c r="AFZ2" s="491">
        <f>'Upload AXI - CONF'!D220</f>
        <v>0</v>
      </c>
      <c r="AGA2" s="558">
        <f>'Upload AXI - CONF'!D221</f>
        <v>0</v>
      </c>
      <c r="AGB2" s="558">
        <f>'Upload AXI - CONF'!D222</f>
        <v>0</v>
      </c>
      <c r="AGC2" s="558">
        <f>'Upload AXI - CONF'!D223</f>
        <v>0</v>
      </c>
      <c r="AGD2" s="558">
        <f>'Upload AXI - CONF'!D224</f>
        <v>0</v>
      </c>
      <c r="AGE2" s="558">
        <f>'Upload AXI - CONF'!D225</f>
        <v>0</v>
      </c>
      <c r="AGF2" s="558">
        <f>'Upload AXI - CONF'!D226</f>
        <v>0</v>
      </c>
      <c r="AGG2" s="558">
        <f>'Upload AXI - CONF'!D227</f>
        <v>0</v>
      </c>
      <c r="AGH2" s="558">
        <f>'Upload AXI - CONF'!D228</f>
        <v>0</v>
      </c>
      <c r="AGI2" s="558">
        <f>'Upload AXI - CONF'!D230</f>
        <v>0</v>
      </c>
      <c r="AGJ2" s="491">
        <f>'Upload AXI - CONF'!D231</f>
        <v>0.21</v>
      </c>
      <c r="AGK2" s="558">
        <f>'Upload AXI - CONF'!D232</f>
        <v>0</v>
      </c>
      <c r="AGL2" s="558">
        <f>'Upload AXI - CONF'!D233</f>
        <v>0</v>
      </c>
      <c r="AGM2" s="771">
        <f>'Upload AXI - CONF'!D234</f>
        <v>0</v>
      </c>
      <c r="AGN2" s="771">
        <f>'Upload AXI - CONF'!D235</f>
        <v>0</v>
      </c>
      <c r="AGO2" s="491">
        <f>'Upload AXI - CONF'!D236</f>
        <v>0</v>
      </c>
      <c r="AGP2" s="558">
        <f>'Upload AXI - CONF'!D237</f>
        <v>0</v>
      </c>
      <c r="AGQ2" s="558">
        <f>'Upload AXI - CONF'!D238</f>
        <v>0</v>
      </c>
      <c r="AGR2" s="558">
        <f>'Upload AXI - CONF'!D239</f>
        <v>0</v>
      </c>
      <c r="AGS2" s="558">
        <f>'Upload AXI - CONF'!D240</f>
        <v>0</v>
      </c>
      <c r="AGT2" s="558">
        <f>'Upload AXI - CONF'!D241</f>
        <v>0</v>
      </c>
      <c r="AGU2" s="558">
        <f>'Upload AXI - CONF'!D242</f>
        <v>0</v>
      </c>
      <c r="AGV2" s="558">
        <f>'Upload AXI - CONF'!D243</f>
        <v>0</v>
      </c>
      <c r="AGW2" s="558">
        <f>'Upload AXI - CONF'!D244</f>
        <v>0</v>
      </c>
      <c r="AGX2" s="558">
        <f>'Upload AXI - CONF'!D246</f>
        <v>0</v>
      </c>
      <c r="AGY2" s="491">
        <f>'Upload AXI - CONF'!D247</f>
        <v>0.21</v>
      </c>
      <c r="AGZ2" s="558">
        <f>'Upload AXI - CONF'!D248</f>
        <v>0</v>
      </c>
      <c r="AHA2" s="558">
        <f>'Upload AXI - CONF'!D249</f>
        <v>0</v>
      </c>
      <c r="AHB2" s="771">
        <f>'Upload AXI - CONF'!D250</f>
        <v>0</v>
      </c>
      <c r="AHC2" s="771">
        <f>'Upload AXI - CONF'!D251</f>
        <v>0</v>
      </c>
      <c r="AHD2" s="491">
        <f>'Upload AXI - CONF'!D252</f>
        <v>0</v>
      </c>
      <c r="AHE2" s="558">
        <f>'Upload AXI - CONF'!D253</f>
        <v>0</v>
      </c>
      <c r="AHF2" s="558">
        <f>'Upload AXI - CONF'!D254</f>
        <v>0</v>
      </c>
      <c r="AHG2" s="558">
        <f>'Upload AXI - CONF'!D255</f>
        <v>0</v>
      </c>
      <c r="AHH2" s="558">
        <f>'Upload AXI - CONF'!D256</f>
        <v>0</v>
      </c>
      <c r="AHI2" s="558">
        <f>'Upload AXI - CONF'!D257</f>
        <v>0</v>
      </c>
      <c r="AHJ2" s="558">
        <f>'Upload AXI - CONF'!D258</f>
        <v>0</v>
      </c>
      <c r="AHK2" s="558">
        <f>'Upload AXI - CONF'!D259</f>
        <v>0</v>
      </c>
      <c r="AHL2" s="558">
        <f>'Upload AXI - CONF'!D260</f>
        <v>0</v>
      </c>
      <c r="AHM2" s="558">
        <f>'Upload AXI - CONF'!D262</f>
        <v>0</v>
      </c>
      <c r="AHN2" s="491">
        <f>'Upload AXI - CONF'!D263</f>
        <v>0.21</v>
      </c>
      <c r="AHO2" s="558">
        <f>'Upload AXI - CONF'!D264</f>
        <v>0</v>
      </c>
      <c r="AHP2" s="558">
        <f>'Upload AXI - CONF'!D265</f>
        <v>0</v>
      </c>
      <c r="AHQ2" s="771">
        <f>'Upload AXI - CONF'!D266</f>
        <v>0</v>
      </c>
      <c r="AHR2" s="771">
        <f>'Upload AXI - CONF'!D267</f>
        <v>0</v>
      </c>
      <c r="AHS2" s="491" t="e">
        <f>'Upload AXI - CONF'!D268</f>
        <v>#DIV/0!</v>
      </c>
      <c r="AHT2" s="558">
        <f>'Upload AXI - CONF'!D269</f>
        <v>0</v>
      </c>
      <c r="AHU2" s="558">
        <f>'Upload AXI - CONF'!D270</f>
        <v>0</v>
      </c>
      <c r="AHV2" s="558">
        <f>'Upload AXI - CONF'!D271</f>
        <v>0</v>
      </c>
      <c r="AHW2" s="558">
        <f>'Upload AXI - CONF'!D272</f>
        <v>0</v>
      </c>
      <c r="AHX2" s="558">
        <f>'Upload AXI - CONF'!D273</f>
        <v>0</v>
      </c>
      <c r="AHY2" s="558">
        <f>'Upload AXI - CONF'!D274</f>
        <v>0</v>
      </c>
      <c r="AHZ2" s="558">
        <f>'Upload AXI - CONF'!D275</f>
        <v>0</v>
      </c>
      <c r="AIA2" s="558">
        <f>'Upload AXI - CONF'!D276</f>
        <v>0</v>
      </c>
      <c r="AIB2" s="558">
        <f>'Upload AXI - CONF'!D278</f>
        <v>0</v>
      </c>
      <c r="AIC2" s="491">
        <f>'Upload AXI - CONF'!D279</f>
        <v>0.21</v>
      </c>
      <c r="AID2" s="558">
        <f>'Upload AXI - CONF'!D280</f>
        <v>0</v>
      </c>
      <c r="AIE2" s="558">
        <f>'Upload AXI - CONF'!D281</f>
        <v>0</v>
      </c>
      <c r="AIF2" s="771">
        <f>'Upload AXI - CONF'!D282</f>
        <v>0</v>
      </c>
      <c r="AIG2" s="771">
        <f>'Upload AXI - CONF'!D283</f>
        <v>0</v>
      </c>
      <c r="AIH2" s="558">
        <f>'Upload AXI - CONF'!D284</f>
        <v>0</v>
      </c>
      <c r="AII2" s="558">
        <f>'Upload AXI - CONF'!D285</f>
        <v>0</v>
      </c>
      <c r="AIJ2" s="558">
        <f>'Upload AXI - CONF'!D286</f>
        <v>0</v>
      </c>
      <c r="AIK2" s="558">
        <f>'Upload AXI - CONF'!D287</f>
        <v>0</v>
      </c>
      <c r="AIL2" s="558">
        <f>'Upload AXI - CONF'!D288</f>
        <v>0</v>
      </c>
      <c r="AIM2" s="558">
        <f>'Upload AXI - CONF'!D289</f>
        <v>0</v>
      </c>
      <c r="AIN2" s="558">
        <f>'Upload AXI - CONF'!D290</f>
        <v>0</v>
      </c>
      <c r="AIO2" s="558">
        <f>'Upload AXI - CONF'!D291</f>
        <v>0</v>
      </c>
      <c r="AIP2" s="558">
        <f>'Upload AXI - CONF'!D292</f>
        <v>0</v>
      </c>
      <c r="AIQ2" s="558">
        <f>'Upload AXI - CONF'!D294</f>
        <v>0</v>
      </c>
      <c r="AIR2" s="491">
        <f>'Upload AXI - CONF'!D295</f>
        <v>0.21</v>
      </c>
      <c r="AIS2" s="558">
        <f>'Upload AXI - CONF'!D296</f>
        <v>0</v>
      </c>
      <c r="AIT2" s="558">
        <f>'Upload AXI - CONF'!D297</f>
        <v>0</v>
      </c>
      <c r="AIU2" s="771">
        <f>'Upload AXI - CONF'!D298</f>
        <v>0</v>
      </c>
      <c r="AIV2" s="771">
        <f>'Upload AXI - CONF'!D299</f>
        <v>0</v>
      </c>
      <c r="AIW2" s="491">
        <f>'Upload AXI - CONF'!D300</f>
        <v>0</v>
      </c>
      <c r="AIX2" s="558">
        <f>'Upload AXI - CONF'!D301</f>
        <v>0</v>
      </c>
      <c r="AIY2" s="558">
        <f>'Upload AXI - CONF'!D302</f>
        <v>0</v>
      </c>
      <c r="AIZ2" s="558">
        <f>'Upload AXI - CONF'!D303</f>
        <v>0</v>
      </c>
      <c r="AJA2" s="558">
        <f>'Upload AXI - CONF'!D304</f>
        <v>0</v>
      </c>
      <c r="AJB2" s="558">
        <f>'Upload AXI - CONF'!D305</f>
        <v>0</v>
      </c>
      <c r="AJC2" s="558">
        <f>'Upload AXI - CONF'!D306</f>
        <v>0</v>
      </c>
      <c r="AJD2" s="558">
        <f>'Upload AXI - CONF'!D307</f>
        <v>0</v>
      </c>
      <c r="AJE2" s="558">
        <f>'Upload AXI - CONF'!D308</f>
        <v>0</v>
      </c>
      <c r="AJF2" s="558">
        <f>'Upload AXI - CONF'!D310</f>
        <v>0</v>
      </c>
      <c r="AJG2" s="491">
        <f>'Upload AXI - CONF'!D311</f>
        <v>0.21</v>
      </c>
      <c r="AJH2" s="558">
        <f>'Upload AXI - CONF'!D312</f>
        <v>0</v>
      </c>
      <c r="AJI2" s="558">
        <f>'Upload AXI - CONF'!D313</f>
        <v>0</v>
      </c>
      <c r="AJJ2" s="771">
        <f>'Upload AXI - CONF'!D314</f>
        <v>0</v>
      </c>
      <c r="AJK2" s="771">
        <f>'Upload AXI - CONF'!D315</f>
        <v>0</v>
      </c>
      <c r="AJL2" s="491" t="e">
        <f>'Upload AXI - CONF'!D316</f>
        <v>#DIV/0!</v>
      </c>
      <c r="AJM2" s="558">
        <f>'Upload AXI - CONF'!D317</f>
        <v>0</v>
      </c>
      <c r="AJN2" s="558">
        <f>'Upload AXI - CONF'!D318</f>
        <v>0</v>
      </c>
      <c r="AJO2" s="558">
        <f>'Upload AXI - CONF'!D319</f>
        <v>0</v>
      </c>
      <c r="AJP2" s="558">
        <f>'Upload AXI - CONF'!D320</f>
        <v>0</v>
      </c>
      <c r="AJQ2" s="558">
        <f>'Upload AXI - CONF'!D321</f>
        <v>0</v>
      </c>
      <c r="AJR2" s="558">
        <f>'Upload AXI - CONF'!D322</f>
        <v>0</v>
      </c>
      <c r="AJS2" s="558">
        <f>'Upload AXI - CONF'!D323</f>
        <v>0</v>
      </c>
      <c r="AJT2" s="558">
        <f>'Upload AXI - CONF'!D324</f>
        <v>0</v>
      </c>
      <c r="AJU2" s="558">
        <f>'Upload AXI - CONF'!D326</f>
        <v>0</v>
      </c>
      <c r="AJV2" s="491">
        <f>'Upload AXI - CONF'!D327</f>
        <v>0.21</v>
      </c>
      <c r="AJW2" s="558">
        <f>'Upload AXI - CONF'!D328</f>
        <v>0</v>
      </c>
      <c r="AJX2" s="558">
        <f>'Upload AXI - CONF'!D329</f>
        <v>0</v>
      </c>
      <c r="AJY2" s="771">
        <f>'Upload AXI - CONF'!D330</f>
        <v>0</v>
      </c>
      <c r="AJZ2" s="771">
        <f>'Upload AXI - CONF'!D331</f>
        <v>0</v>
      </c>
      <c r="AKA2" s="491">
        <f>'Upload AXI - CONF'!D332</f>
        <v>0</v>
      </c>
      <c r="AKB2" s="558">
        <f>'Upload AXI - CONF'!D333</f>
        <v>0</v>
      </c>
      <c r="AKC2" s="558">
        <f>'Upload AXI - CONF'!D334</f>
        <v>0</v>
      </c>
      <c r="AKD2" s="558">
        <f>'Upload AXI - CONF'!D335</f>
        <v>0</v>
      </c>
      <c r="AKE2" s="558">
        <f>'Upload AXI - CONF'!D336</f>
        <v>0</v>
      </c>
      <c r="AKF2" s="558">
        <f>'Upload AXI - CONF'!D337</f>
        <v>0</v>
      </c>
      <c r="AKG2" s="558">
        <f>'Upload AXI - CONF'!D338</f>
        <v>0</v>
      </c>
      <c r="AKH2" s="558">
        <f>'Upload AXI - CONF'!D339</f>
        <v>0</v>
      </c>
      <c r="AKI2" s="558">
        <f>'Upload AXI - CONF'!D340</f>
        <v>0</v>
      </c>
      <c r="AKJ2" s="558">
        <f>'Upload AXI - CONF'!D342</f>
        <v>0</v>
      </c>
      <c r="AKK2" s="491">
        <f>'Upload AXI - CONF'!D343</f>
        <v>0.21</v>
      </c>
      <c r="AKL2" s="558">
        <f>'Upload AXI - CONF'!D344</f>
        <v>0</v>
      </c>
      <c r="AKM2" s="558">
        <f>'Upload AXI - CONF'!D345</f>
        <v>0</v>
      </c>
      <c r="AKN2" s="771">
        <f>'Upload AXI - CONF'!D346</f>
        <v>0</v>
      </c>
      <c r="AKO2" s="771">
        <f>'Upload AXI - CONF'!D347</f>
        <v>0</v>
      </c>
      <c r="AKP2" s="491">
        <f>'Upload AXI - CONF'!D348</f>
        <v>0</v>
      </c>
      <c r="AKQ2" s="558">
        <f>'Upload AXI - CONF'!D349</f>
        <v>0</v>
      </c>
      <c r="AKR2" s="558">
        <f>'Upload AXI - CONF'!D350</f>
        <v>0</v>
      </c>
      <c r="AKS2" s="558">
        <f>'Upload AXI - CONF'!D351</f>
        <v>0</v>
      </c>
      <c r="AKT2" s="558">
        <f>'Upload AXI - CONF'!D352</f>
        <v>0</v>
      </c>
      <c r="AKU2" s="558">
        <f>'Upload AXI - CONF'!D353</f>
        <v>0</v>
      </c>
      <c r="AKV2" s="558">
        <f>'Upload AXI - CONF'!D354</f>
        <v>0</v>
      </c>
      <c r="AKW2" s="558">
        <f>'Upload AXI - CONF'!D355</f>
        <v>0</v>
      </c>
      <c r="AKX2" s="558">
        <f>'Upload AXI - CONF'!D356</f>
        <v>0</v>
      </c>
      <c r="AKY2" s="558">
        <f>'Upload AXI - CONF'!D358</f>
        <v>0</v>
      </c>
      <c r="AKZ2" s="491">
        <f>'Upload AXI - CONF'!D359</f>
        <v>0.21</v>
      </c>
      <c r="ALA2" s="558">
        <f>'Upload AXI - CONF'!D360</f>
        <v>0</v>
      </c>
      <c r="ALB2" s="558">
        <f>'Upload AXI - CONF'!D361</f>
        <v>0</v>
      </c>
      <c r="ALC2" s="771">
        <f>'Upload AXI - CONF'!D362</f>
        <v>0</v>
      </c>
      <c r="ALD2" s="771">
        <f>'Upload AXI - CONF'!D363</f>
        <v>0</v>
      </c>
      <c r="ALE2" s="491">
        <f>'Upload AXI - CONF'!D364</f>
        <v>0</v>
      </c>
      <c r="ALF2" s="558">
        <f>'Upload AXI - CONF'!D365</f>
        <v>0</v>
      </c>
      <c r="ALG2" s="558">
        <f>'Upload AXI - CONF'!D366</f>
        <v>0</v>
      </c>
      <c r="ALH2" s="558">
        <f>'Upload AXI - CONF'!D367</f>
        <v>0</v>
      </c>
      <c r="ALI2" s="558">
        <f>'Upload AXI - CONF'!D368</f>
        <v>0</v>
      </c>
      <c r="ALJ2" s="558">
        <f>'Upload AXI - CONF'!D369</f>
        <v>0</v>
      </c>
      <c r="ALK2" s="558">
        <f>'Upload AXI - CONF'!D370</f>
        <v>0</v>
      </c>
      <c r="ALL2" s="558">
        <f>'Upload AXI - CONF'!D371</f>
        <v>0</v>
      </c>
      <c r="ALM2" s="558">
        <f>'Upload AXI - CONF'!D372</f>
        <v>0</v>
      </c>
      <c r="ALN2" s="558">
        <f>'Upload AXI - CONF'!D374</f>
        <v>0</v>
      </c>
      <c r="ALO2" s="491">
        <f>'Upload AXI - CONF'!D375</f>
        <v>0.21</v>
      </c>
      <c r="ALP2" s="558">
        <f>'Upload AXI - CONF'!D376</f>
        <v>0</v>
      </c>
      <c r="ALQ2" s="558">
        <f>'Upload AXI - CONF'!D377</f>
        <v>0</v>
      </c>
      <c r="ALR2" s="771">
        <f>'Upload AXI - CONF'!D378</f>
        <v>0</v>
      </c>
      <c r="ALS2" s="771">
        <f>'Upload AXI - CONF'!D379</f>
        <v>0</v>
      </c>
      <c r="ALT2" s="491">
        <f>'Upload AXI - CONF'!D380</f>
        <v>0</v>
      </c>
      <c r="ALU2" s="558">
        <f>'Upload AXI - CONF'!D381</f>
        <v>0</v>
      </c>
      <c r="ALV2" s="558">
        <f>'Upload AXI - CONF'!D382</f>
        <v>0</v>
      </c>
      <c r="ALW2" s="558">
        <f>'Upload AXI - CONF'!D383</f>
        <v>0</v>
      </c>
      <c r="ALX2" s="558">
        <f>'Upload AXI - CONF'!D384</f>
        <v>0</v>
      </c>
      <c r="ALY2" s="558">
        <f>'Upload AXI - CONF'!D385</f>
        <v>0</v>
      </c>
      <c r="ALZ2" s="558">
        <f>'Upload AXI - CONF'!D386</f>
        <v>0</v>
      </c>
      <c r="AMA2" s="558">
        <f>'Upload AXI - CONF'!D387</f>
        <v>0</v>
      </c>
      <c r="AMB2" s="558">
        <f>'Upload AXI - CONF'!D388</f>
        <v>0</v>
      </c>
      <c r="AMC2" s="558">
        <f>'Upload AXI - CONF'!D390</f>
        <v>0</v>
      </c>
      <c r="AMD2" s="491">
        <f>'Upload AXI - CONF'!D391</f>
        <v>0.21</v>
      </c>
      <c r="AME2" s="558">
        <f>'Upload AXI - CONF'!D392</f>
        <v>0</v>
      </c>
      <c r="AMF2" s="558">
        <f>'Upload AXI - CONF'!D393</f>
        <v>0</v>
      </c>
      <c r="AMG2" s="771">
        <f>'Upload AXI - CONF'!D394</f>
        <v>0</v>
      </c>
      <c r="AMH2" s="771">
        <f>'Upload AXI - CONF'!D395</f>
        <v>0</v>
      </c>
      <c r="AMI2" s="491">
        <f>'Upload AXI - CONF'!D396</f>
        <v>0</v>
      </c>
      <c r="AMJ2" s="558">
        <f>'Upload AXI - CONF'!D397</f>
        <v>0</v>
      </c>
      <c r="AMK2" s="558">
        <f>'Upload AXI - CONF'!D398</f>
        <v>0</v>
      </c>
      <c r="AML2" s="558">
        <f>'Upload AXI - CONF'!D399</f>
        <v>0</v>
      </c>
      <c r="AMM2" s="558">
        <f>'Upload AXI - CONF'!D400</f>
        <v>0</v>
      </c>
      <c r="AMN2" s="558">
        <f>'Upload AXI - CONF'!D401</f>
        <v>0</v>
      </c>
      <c r="AMO2" s="558">
        <f>'Upload AXI - CONF'!D402</f>
        <v>0</v>
      </c>
      <c r="AMP2" s="558">
        <f>'Upload AXI - CONF'!D403</f>
        <v>0</v>
      </c>
      <c r="AMQ2" s="558">
        <f>'Upload AXI - CONF'!D404</f>
        <v>0</v>
      </c>
      <c r="AMR2" s="558">
        <f>'Upload AXI - CONF'!D406</f>
        <v>0</v>
      </c>
      <c r="AMS2" s="491">
        <f>'Upload AXI - CONF'!D407</f>
        <v>0.21</v>
      </c>
      <c r="AMT2" s="558">
        <f>'Upload AXI - CONF'!D408</f>
        <v>0</v>
      </c>
      <c r="AMU2" s="558">
        <f>'Upload AXI - CONF'!D409</f>
        <v>0</v>
      </c>
      <c r="AMV2" s="771">
        <f>'Upload AXI - CONF'!D410</f>
        <v>0</v>
      </c>
      <c r="AMW2" s="771">
        <f>'Upload AXI - CONF'!D411</f>
        <v>0</v>
      </c>
      <c r="AMX2" s="491">
        <f>'Upload AXI - CONF'!D412</f>
        <v>0</v>
      </c>
      <c r="AMY2" s="558">
        <f>'Upload AXI - CONF'!D413</f>
        <v>0</v>
      </c>
      <c r="AMZ2" s="558">
        <f>'Upload AXI - CONF'!D414</f>
        <v>0</v>
      </c>
      <c r="ANA2" s="558">
        <f>'Upload AXI - CONF'!D415</f>
        <v>0</v>
      </c>
      <c r="ANB2" s="558">
        <f>'Upload AXI - CONF'!D416</f>
        <v>0</v>
      </c>
      <c r="ANC2" s="558">
        <f>'Upload AXI - CONF'!D417</f>
        <v>0</v>
      </c>
      <c r="AND2" s="558">
        <f>'Upload AXI - CONF'!D418</f>
        <v>0</v>
      </c>
      <c r="ANE2" s="558">
        <f>'Upload AXI - CONF'!D419</f>
        <v>0</v>
      </c>
      <c r="ANF2" s="558">
        <f>'Upload AXI - CONF'!D420</f>
        <v>0</v>
      </c>
      <c r="ANG2" s="558">
        <f>'Upload AXI - CONF'!D422</f>
        <v>0</v>
      </c>
      <c r="ANH2" s="491">
        <f>'Upload AXI - CONF'!D423</f>
        <v>0.21</v>
      </c>
      <c r="ANI2" s="558">
        <f>'Upload AXI - CONF'!D424</f>
        <v>0</v>
      </c>
      <c r="ANJ2" s="558">
        <f>'Upload AXI - CONF'!D425</f>
        <v>0</v>
      </c>
      <c r="ANK2" s="771">
        <f>'Upload AXI - CONF'!D426</f>
        <v>0</v>
      </c>
      <c r="ANL2" s="771">
        <f>'Upload AXI - CONF'!D427</f>
        <v>0</v>
      </c>
      <c r="ANM2" s="491">
        <f>'Upload AXI - CONF'!D428</f>
        <v>0</v>
      </c>
      <c r="ANN2" t="b">
        <f>'Upload AXI - CONF'!D429</f>
        <v>0</v>
      </c>
      <c r="ANO2" s="558">
        <f>'Upload AXI - CONF'!D430</f>
        <v>0</v>
      </c>
      <c r="ANP2" s="558">
        <f>'Upload AXI - CONF'!D431</f>
        <v>0</v>
      </c>
      <c r="ANQ2" s="558">
        <f>'Upload AXI - CONF'!D432</f>
        <v>0</v>
      </c>
      <c r="ANR2" s="558">
        <f>'Upload AXI - CONF'!D433</f>
        <v>0</v>
      </c>
      <c r="ANS2" s="558">
        <f>'Upload AXI - CONF'!D434</f>
        <v>0</v>
      </c>
      <c r="ANT2" s="558">
        <f>'Upload AXI - CONF'!D435</f>
        <v>0</v>
      </c>
      <c r="ANU2" s="558">
        <f>'Upload AXI - CONF'!D436</f>
        <v>0</v>
      </c>
      <c r="ANV2" s="558">
        <f>'Upload AXI - CONF'!D437</f>
        <v>0</v>
      </c>
      <c r="ANW2" s="558">
        <f>'Upload AXI - CONF'!D439</f>
        <v>0</v>
      </c>
      <c r="ANX2" s="491">
        <f>'Upload AXI - CONF'!D440</f>
        <v>0.21</v>
      </c>
      <c r="ANY2" s="558">
        <f>'Upload AXI - CONF'!D441</f>
        <v>0</v>
      </c>
      <c r="ANZ2" s="558">
        <f>'Upload AXI - CONF'!D442</f>
        <v>0</v>
      </c>
      <c r="AOA2" s="558">
        <f>'Upload AXI - CONF'!D443</f>
        <v>0</v>
      </c>
      <c r="AOB2" s="558">
        <f>'Upload AXI - CONF'!D444</f>
        <v>0</v>
      </c>
      <c r="AOC2" s="771">
        <f>'Upload AXI - CONF'!D445</f>
        <v>0</v>
      </c>
      <c r="AOD2" s="771">
        <f>'Upload AXI - CONF'!D446</f>
        <v>0</v>
      </c>
      <c r="AOE2" s="491">
        <f>'Upload AXI - CONF'!D447</f>
        <v>0</v>
      </c>
      <c r="AOF2" s="558">
        <f>'Upload AXI - CONF'!D448</f>
        <v>0</v>
      </c>
      <c r="AOG2" s="558">
        <f>'Upload AXI - CONF'!D449</f>
        <v>0</v>
      </c>
      <c r="AOH2" s="558">
        <f>'Upload AXI - CONF'!D450</f>
        <v>0</v>
      </c>
      <c r="AOI2" s="558">
        <f>'Upload AXI - CONF'!D451</f>
        <v>0</v>
      </c>
      <c r="AOJ2" s="558">
        <f>'Upload AXI - CONF'!D452</f>
        <v>0</v>
      </c>
      <c r="AOK2" s="558">
        <f>'Upload AXI - CONF'!D453</f>
        <v>0</v>
      </c>
      <c r="AOL2" s="558">
        <f>'Upload AXI - CONF'!D454</f>
        <v>0</v>
      </c>
      <c r="AOM2" s="558">
        <f>'Upload AXI - CONF'!D455</f>
        <v>0</v>
      </c>
      <c r="AON2" s="558">
        <f>'Upload AXI - CONF'!D457</f>
        <v>0</v>
      </c>
      <c r="AOO2" s="491">
        <f>'Upload AXI - CONF'!D458</f>
        <v>0.21</v>
      </c>
      <c r="AOP2" s="558">
        <f>'Upload AXI - CONF'!D459</f>
        <v>0</v>
      </c>
      <c r="AOQ2" s="558">
        <f>'Upload AXI - CONF'!D460</f>
        <v>0</v>
      </c>
      <c r="AOR2" s="558">
        <f>'Upload AXI - CONF'!D461</f>
        <v>0</v>
      </c>
      <c r="AOS2" s="558">
        <f>'Upload AXI - CONF'!D462</f>
        <v>0</v>
      </c>
      <c r="AOT2" s="771">
        <f>'Upload AXI - CONF'!D463</f>
        <v>0</v>
      </c>
      <c r="AOU2" s="771">
        <f>'Upload AXI - CONF'!D464</f>
        <v>0</v>
      </c>
      <c r="AOV2" s="491">
        <f>'Upload AXI - CONF'!D465</f>
        <v>0</v>
      </c>
      <c r="AOW2" s="558">
        <f>'Upload AXI - CONF'!D466</f>
        <v>0</v>
      </c>
      <c r="AOX2" s="558">
        <f>'Upload AXI - CONF'!D467</f>
        <v>0</v>
      </c>
      <c r="AOY2" s="558">
        <f>'Upload AXI - CONF'!D468</f>
        <v>0</v>
      </c>
      <c r="AOZ2" s="558">
        <f>'Upload AXI - CONF'!D469</f>
        <v>0</v>
      </c>
      <c r="APA2" s="558">
        <f>'Upload AXI - CONF'!D470</f>
        <v>0</v>
      </c>
      <c r="APB2" s="558">
        <f>'Upload AXI - CONF'!D471</f>
        <v>0</v>
      </c>
      <c r="APC2" s="558">
        <f>'Upload AXI - CONF'!D472</f>
        <v>0</v>
      </c>
      <c r="APD2" s="558">
        <f>'Upload AXI - CONF'!D473</f>
        <v>0</v>
      </c>
      <c r="APE2" s="558">
        <f>'Upload AXI - CONF'!D475</f>
        <v>0</v>
      </c>
      <c r="APF2" s="491">
        <f>'Upload AXI - CONF'!D476</f>
        <v>0.21</v>
      </c>
      <c r="APG2" s="558">
        <f>'Upload AXI - CONF'!D477</f>
        <v>0</v>
      </c>
      <c r="APH2" s="558">
        <f>'Upload AXI - CONF'!D478</f>
        <v>0</v>
      </c>
      <c r="API2" s="558">
        <f>'Upload AXI - CONF'!D479</f>
        <v>0</v>
      </c>
      <c r="APJ2" s="558">
        <f>'Upload AXI - CONF'!D480</f>
        <v>0</v>
      </c>
      <c r="APK2" s="771">
        <f>'Upload AXI - CONF'!D481</f>
        <v>0</v>
      </c>
      <c r="APL2" s="771">
        <f>'Upload AXI - CONF'!D482</f>
        <v>0</v>
      </c>
      <c r="APM2" s="491">
        <f>'Upload AXI - CONF'!D483</f>
        <v>0</v>
      </c>
      <c r="APN2" s="558">
        <f>'Upload AXI - CONF'!D484</f>
        <v>0</v>
      </c>
      <c r="APO2" s="558">
        <f>'Upload AXI - CONF'!D485</f>
        <v>0</v>
      </c>
      <c r="APP2" s="558">
        <f>'Upload AXI - CONF'!D486</f>
        <v>0</v>
      </c>
      <c r="APQ2" s="558">
        <f>'Upload AXI - CONF'!D487</f>
        <v>0</v>
      </c>
      <c r="APR2" s="558">
        <f>'Upload AXI - CONF'!D488</f>
        <v>0</v>
      </c>
      <c r="APS2" s="558">
        <f>'Upload AXI - CONF'!D489</f>
        <v>0</v>
      </c>
      <c r="APT2" s="558">
        <f>'Upload AXI - CONF'!D490</f>
        <v>0</v>
      </c>
      <c r="APU2" s="558">
        <f>'Upload AXI - CONF'!D491</f>
        <v>0</v>
      </c>
      <c r="APV2" s="558">
        <f>'Upload AXI - CONF'!D493</f>
        <v>0</v>
      </c>
      <c r="APW2" s="491">
        <f>'Upload AXI - CONF'!D494</f>
        <v>0.21</v>
      </c>
      <c r="APX2" s="558">
        <f>'Upload AXI - CONF'!D495</f>
        <v>0</v>
      </c>
      <c r="APY2" s="558">
        <f>'Upload AXI - CONF'!D496</f>
        <v>0</v>
      </c>
      <c r="APZ2" s="558">
        <f>'Upload AXI - CONF'!D497</f>
        <v>0</v>
      </c>
      <c r="AQA2" s="558">
        <f>'Upload AXI - CONF'!D498</f>
        <v>0</v>
      </c>
      <c r="AQB2" s="771">
        <f>'Upload AXI - CONF'!D499</f>
        <v>0</v>
      </c>
      <c r="AQC2" s="771">
        <f>'Upload AXI - CONF'!D500</f>
        <v>0</v>
      </c>
      <c r="AQD2" s="491">
        <f>'Upload AXI - CONF'!D501</f>
        <v>0</v>
      </c>
      <c r="AQE2" s="558">
        <f>'Upload AXI - CONF'!D502</f>
        <v>0</v>
      </c>
      <c r="AQF2" s="558">
        <f>'Upload AXI - CONF'!D503</f>
        <v>0</v>
      </c>
      <c r="AQG2" s="558">
        <f>'Upload AXI - CONF'!D504</f>
        <v>0</v>
      </c>
      <c r="AQH2" s="558">
        <f>'Upload AXI - CONF'!D505</f>
        <v>0</v>
      </c>
      <c r="AQI2" s="558">
        <f>'Upload AXI - CONF'!D506</f>
        <v>0</v>
      </c>
      <c r="AQJ2" s="558">
        <f>'Upload AXI - CONF'!D507</f>
        <v>0</v>
      </c>
      <c r="AQK2" s="558">
        <f>'Upload AXI - CONF'!D508</f>
        <v>0</v>
      </c>
      <c r="AQL2" s="558">
        <f>'Upload AXI - CONF'!D509</f>
        <v>0</v>
      </c>
      <c r="AQM2" s="558">
        <f>'Upload AXI - CONF'!D511</f>
        <v>0</v>
      </c>
      <c r="AQN2" s="491">
        <f>'Upload AXI - CONF'!D512</f>
        <v>0.21</v>
      </c>
      <c r="AQO2" s="558">
        <f>'Upload AXI - CONF'!D513</f>
        <v>0</v>
      </c>
      <c r="AQP2" s="558">
        <f>'Upload AXI - CONF'!D514</f>
        <v>0</v>
      </c>
      <c r="AQQ2" s="558">
        <f>'Upload AXI - CONF'!D515</f>
        <v>0</v>
      </c>
      <c r="AQR2" s="558">
        <f>'Upload AXI - CONF'!D516</f>
        <v>0</v>
      </c>
      <c r="AQS2" s="771">
        <f>'Upload AXI - CONF'!D517</f>
        <v>0</v>
      </c>
      <c r="AQT2" s="771">
        <f>'Upload AXI - CONF'!D518</f>
        <v>0</v>
      </c>
      <c r="AQU2" s="491">
        <f>'Upload AXI - CONF'!D519</f>
        <v>0</v>
      </c>
      <c r="AQV2" s="558">
        <f>'Upload AXI - CONF'!D520</f>
        <v>0</v>
      </c>
      <c r="AQW2" s="558">
        <f>'Upload AXI - CONF'!D521</f>
        <v>0</v>
      </c>
      <c r="AQX2" s="558">
        <f>'Upload AXI - CONF'!D522</f>
        <v>0</v>
      </c>
      <c r="AQY2" s="558">
        <f>'Upload AXI - CONF'!D523</f>
        <v>0</v>
      </c>
      <c r="AQZ2" s="558">
        <f>'Upload AXI - CONF'!D524</f>
        <v>0</v>
      </c>
      <c r="ARA2" s="558">
        <f>'Upload AXI - CONF'!D525</f>
        <v>0</v>
      </c>
      <c r="ARB2" s="558">
        <f>'Upload AXI - CONF'!D526</f>
        <v>0</v>
      </c>
      <c r="ARC2" s="558">
        <f>'Upload AXI - CONF'!D527</f>
        <v>0</v>
      </c>
      <c r="ARD2" s="558">
        <f>'Upload AXI - CONF'!D529</f>
        <v>0</v>
      </c>
      <c r="ARE2" s="491">
        <f>'Upload AXI - CONF'!D530</f>
        <v>0.21</v>
      </c>
      <c r="ARF2" s="558">
        <f>'Upload AXI - CONF'!D531</f>
        <v>0</v>
      </c>
      <c r="ARG2" s="558">
        <f>'Upload AXI - CONF'!D532</f>
        <v>0</v>
      </c>
      <c r="ARH2" s="558">
        <f>'Upload AXI - CONF'!D533</f>
        <v>0</v>
      </c>
      <c r="ARI2" s="558">
        <f>'Upload AXI - CONF'!D534</f>
        <v>0</v>
      </c>
      <c r="ARJ2" s="771">
        <f>'Upload AXI - CONF'!D535</f>
        <v>0</v>
      </c>
      <c r="ARK2" s="771">
        <f>'Upload AXI - CONF'!D536</f>
        <v>0</v>
      </c>
      <c r="ARL2" s="491">
        <f>'Upload AXI - CONF'!D537</f>
        <v>0</v>
      </c>
      <c r="ARM2" s="558">
        <f>'Upload AXI - CONF'!D538</f>
        <v>0</v>
      </c>
      <c r="ARN2" s="558">
        <f>'Upload AXI - CONF'!D539</f>
        <v>0</v>
      </c>
      <c r="ARO2" s="558">
        <f>'Upload AXI - CONF'!D540</f>
        <v>0</v>
      </c>
      <c r="ARP2" s="558">
        <f>'Upload AXI - CONF'!D541</f>
        <v>0</v>
      </c>
      <c r="ARQ2" s="558">
        <f>'Upload AXI - CONF'!D542</f>
        <v>0</v>
      </c>
      <c r="ARR2" s="558">
        <f>'Upload AXI - CONF'!D543</f>
        <v>0</v>
      </c>
      <c r="ARS2" s="558">
        <f>'Upload AXI - CONF'!D544</f>
        <v>0</v>
      </c>
      <c r="ART2" s="558">
        <f>'Upload AXI - CONF'!D545</f>
        <v>0</v>
      </c>
      <c r="ARU2" s="558">
        <f>'Upload AXI - CONF'!D547</f>
        <v>0</v>
      </c>
      <c r="ARV2" s="491">
        <f>'Upload AXI - CONF'!D548</f>
        <v>0.21</v>
      </c>
      <c r="ARW2" s="558">
        <f>'Upload AXI - CONF'!D549</f>
        <v>0</v>
      </c>
      <c r="ARX2" s="558">
        <f>'Upload AXI - CONF'!D550</f>
        <v>0</v>
      </c>
      <c r="ARY2" s="558">
        <f>'Upload AXI - CONF'!D551</f>
        <v>0</v>
      </c>
      <c r="ARZ2" s="558">
        <f>'Upload AXI - CONF'!D552</f>
        <v>0</v>
      </c>
      <c r="ASA2" s="771">
        <f>'Upload AXI - CONF'!D553</f>
        <v>0</v>
      </c>
      <c r="ASB2" s="771">
        <f>'Upload AXI - CONF'!D554</f>
        <v>0</v>
      </c>
      <c r="ASC2" s="491">
        <f>'Upload AXI - CONF'!D555</f>
        <v>0</v>
      </c>
      <c r="ASD2" s="558">
        <f>'Upload AXI - CONF'!D556</f>
        <v>0</v>
      </c>
      <c r="ASE2" s="558">
        <f>'Upload AXI - CONF'!D557</f>
        <v>0</v>
      </c>
      <c r="ASF2" s="558">
        <f>'Upload AXI - CONF'!D558</f>
        <v>0</v>
      </c>
      <c r="ASG2" s="558">
        <f>'Upload AXI - CONF'!D559</f>
        <v>0</v>
      </c>
      <c r="ASH2" s="558">
        <f>'Upload AXI - CONF'!D560</f>
        <v>0</v>
      </c>
      <c r="ASI2" s="558">
        <f>'Upload AXI - CONF'!D561</f>
        <v>0</v>
      </c>
      <c r="ASJ2" s="558">
        <f>'Upload AXI - CONF'!D562</f>
        <v>0</v>
      </c>
      <c r="ASK2" s="558">
        <f>'Upload AXI - CONF'!D563</f>
        <v>0</v>
      </c>
      <c r="ASL2" s="558">
        <f>'Upload AXI - CONF'!D565</f>
        <v>0</v>
      </c>
      <c r="ASM2" s="491">
        <f>'Upload AXI - CONF'!D566</f>
        <v>0.21</v>
      </c>
      <c r="ASN2" s="558">
        <f>'Upload AXI - CONF'!D567</f>
        <v>0</v>
      </c>
      <c r="ASO2" s="558">
        <f>'Upload AXI - CONF'!D568</f>
        <v>0</v>
      </c>
      <c r="ASP2" s="558">
        <f>'Upload AXI - CONF'!D569</f>
        <v>0</v>
      </c>
      <c r="ASQ2" s="558">
        <f>'Upload AXI - CONF'!D570</f>
        <v>0</v>
      </c>
      <c r="ASR2" s="771">
        <f>'Upload AXI - CONF'!D571</f>
        <v>0</v>
      </c>
      <c r="ASS2" s="771">
        <f>'Upload AXI - CONF'!D572</f>
        <v>0</v>
      </c>
      <c r="AST2" s="491">
        <f>'Upload AXI - CONF'!D573</f>
        <v>0</v>
      </c>
      <c r="ASU2" s="558">
        <f>'Upload AXI - CONF'!D574</f>
        <v>0</v>
      </c>
      <c r="ASV2" s="558">
        <f>'Upload AXI - CONF'!D575</f>
        <v>0</v>
      </c>
      <c r="ASW2" s="558">
        <f>'Upload AXI - CONF'!D576</f>
        <v>0</v>
      </c>
      <c r="ASX2" s="558">
        <f>'Upload AXI - CONF'!D577</f>
        <v>0</v>
      </c>
      <c r="ASY2" s="558">
        <f>'Upload AXI - CONF'!D578</f>
        <v>0</v>
      </c>
      <c r="ASZ2" s="558">
        <f>'Upload AXI - CONF'!D579</f>
        <v>0</v>
      </c>
      <c r="ATA2" s="558">
        <f>'Upload AXI - CONF'!D580</f>
        <v>0</v>
      </c>
      <c r="ATB2" s="558">
        <f>'Upload AXI - CONF'!D581</f>
        <v>0</v>
      </c>
      <c r="ATC2" s="558">
        <f>'Upload AXI - CONF'!D583</f>
        <v>0</v>
      </c>
      <c r="ATD2" s="491">
        <f>'Upload AXI - CONF'!D584</f>
        <v>0.21</v>
      </c>
      <c r="ATE2" s="558">
        <f>'Upload AXI - CONF'!D585</f>
        <v>0</v>
      </c>
      <c r="ATF2" s="558">
        <f>'Upload AXI - CONF'!D586</f>
        <v>0</v>
      </c>
      <c r="ATG2" s="558">
        <f>'Upload AXI - CONF'!D587</f>
        <v>0</v>
      </c>
      <c r="ATH2" s="558">
        <f>'Upload AXI - CONF'!D588</f>
        <v>0</v>
      </c>
      <c r="ATI2" s="771">
        <f>'Upload AXI - CONF'!D589</f>
        <v>0</v>
      </c>
      <c r="ATJ2" s="771">
        <f>'Upload AXI - CONF'!D590</f>
        <v>0</v>
      </c>
      <c r="ATK2" s="491">
        <f>'Upload AXI - CONF'!D591</f>
        <v>0</v>
      </c>
      <c r="ATL2" s="558">
        <f>'Upload AXI - CONF'!D592</f>
        <v>0</v>
      </c>
      <c r="ATM2" s="558">
        <f>'Upload AXI - CONF'!D593</f>
        <v>0</v>
      </c>
      <c r="ATN2" s="558">
        <f>'Upload AXI - CONF'!D594</f>
        <v>0</v>
      </c>
      <c r="ATO2" s="558">
        <f>'Upload AXI - CONF'!D595</f>
        <v>0</v>
      </c>
      <c r="ATP2" s="558">
        <f>'Upload AXI - CONF'!D596</f>
        <v>0</v>
      </c>
      <c r="ATQ2" s="558">
        <f>'Upload AXI - CONF'!D597</f>
        <v>0</v>
      </c>
      <c r="ATR2" s="558">
        <f>'Upload AXI - CONF'!D598</f>
        <v>0</v>
      </c>
      <c r="ATS2" s="558">
        <f>'Upload AXI - CONF'!D599</f>
        <v>0</v>
      </c>
      <c r="ATT2" s="558">
        <f>'Upload AXI - CONF'!D601</f>
        <v>0</v>
      </c>
      <c r="ATU2" s="491">
        <f>'Upload AXI - CONF'!D602</f>
        <v>0.21</v>
      </c>
      <c r="ATV2" s="558">
        <f>'Upload AXI - CONF'!D603</f>
        <v>0</v>
      </c>
      <c r="ATW2" s="558">
        <f>'Upload AXI - CONF'!D604</f>
        <v>0</v>
      </c>
      <c r="ATX2" s="558">
        <f>'Upload AXI - CONF'!D605</f>
        <v>0</v>
      </c>
      <c r="ATY2" s="558">
        <f>'Upload AXI - CONF'!D606</f>
        <v>0</v>
      </c>
      <c r="ATZ2" s="771">
        <f>'Upload AXI - CONF'!D607</f>
        <v>0</v>
      </c>
      <c r="AUA2" s="771">
        <f>'Upload AXI - CONF'!D608</f>
        <v>0</v>
      </c>
      <c r="AUB2" s="491">
        <f>'Upload AXI - CONF'!D609</f>
        <v>0</v>
      </c>
      <c r="AUC2" s="558">
        <f>'Upload AXI - CONF'!D610</f>
        <v>0</v>
      </c>
      <c r="AUD2" s="558">
        <f>'Upload AXI - CONF'!D611</f>
        <v>0</v>
      </c>
      <c r="AUE2" s="558">
        <f>'Upload AXI - CONF'!D612</f>
        <v>0</v>
      </c>
      <c r="AUF2" s="558">
        <f>'Upload AXI - CONF'!D613</f>
        <v>0</v>
      </c>
      <c r="AUG2" s="558">
        <f>'Upload AXI - CONF'!D614</f>
        <v>0</v>
      </c>
      <c r="AUH2" s="558">
        <f>'Upload AXI - CONF'!D615</f>
        <v>0</v>
      </c>
      <c r="AUI2" s="558">
        <f>'Upload AXI - CONF'!D616</f>
        <v>0</v>
      </c>
      <c r="AUJ2" s="558">
        <f>'Upload AXI - CONF'!D617</f>
        <v>0</v>
      </c>
      <c r="AUK2" s="558">
        <f>'Upload AXI - CONF'!D619</f>
        <v>0</v>
      </c>
      <c r="AUL2" s="491">
        <f>'Upload AXI - CONF'!D620</f>
        <v>0.21</v>
      </c>
      <c r="AUM2" s="558">
        <f>'Upload AXI - CONF'!D621</f>
        <v>0</v>
      </c>
      <c r="AUN2" s="558">
        <f>'Upload AXI - CONF'!D622</f>
        <v>0</v>
      </c>
      <c r="AUO2" s="558">
        <f>'Upload AXI - CONF'!D623</f>
        <v>0</v>
      </c>
      <c r="AUP2" s="558">
        <f>'Upload AXI - CONF'!D624</f>
        <v>0</v>
      </c>
      <c r="AUQ2" s="771">
        <f>'Upload AXI - CONF'!D625</f>
        <v>0</v>
      </c>
      <c r="AUR2" s="771">
        <f>'Upload AXI - CONF'!D626</f>
        <v>0</v>
      </c>
      <c r="AUS2" s="491">
        <f>'Upload AXI - CONF'!D627</f>
        <v>0</v>
      </c>
      <c r="AUT2" s="558">
        <f>'Upload AXI - CONF'!D628</f>
        <v>0</v>
      </c>
      <c r="AUU2" s="558">
        <f>'Upload AXI - CONF'!D629</f>
        <v>0</v>
      </c>
      <c r="AUV2" s="558">
        <f>'Upload AXI - CONF'!D630</f>
        <v>0</v>
      </c>
      <c r="AUW2" s="558">
        <f>'Upload AXI - CONF'!D631</f>
        <v>0</v>
      </c>
      <c r="AUX2" s="558">
        <f>'Upload AXI - CONF'!D632</f>
        <v>0</v>
      </c>
      <c r="AUY2" s="558">
        <f>'Upload AXI - CONF'!D633</f>
        <v>0</v>
      </c>
      <c r="AUZ2" s="558">
        <f>'Upload AXI - CONF'!D634</f>
        <v>0</v>
      </c>
      <c r="AVA2" s="558">
        <f>'Upload AXI - CONF'!D635</f>
        <v>0</v>
      </c>
      <c r="AVB2" s="558">
        <f>'Upload AXI - CONF'!D637</f>
        <v>0</v>
      </c>
      <c r="AVC2" s="491">
        <f>'Upload AXI - CONF'!D638</f>
        <v>0.21</v>
      </c>
      <c r="AVD2" s="558">
        <f>'Upload AXI - CONF'!D639</f>
        <v>0</v>
      </c>
      <c r="AVE2" s="558">
        <f>'Upload AXI - CONF'!D640</f>
        <v>0</v>
      </c>
      <c r="AVF2" s="558">
        <f>'Upload AXI - CONF'!D641</f>
        <v>0</v>
      </c>
      <c r="AVG2" s="558">
        <f>'Upload AXI - CONF'!D642</f>
        <v>0</v>
      </c>
      <c r="AVH2" s="771">
        <f>'Upload AXI - CONF'!D643</f>
        <v>0</v>
      </c>
      <c r="AVI2" s="771">
        <f>'Upload AXI - CONF'!D644</f>
        <v>0</v>
      </c>
      <c r="AVJ2" s="491">
        <f>'Upload AXI - CONF'!D645</f>
        <v>0</v>
      </c>
      <c r="AVK2" s="771">
        <f>'Upload AXI - CONF'!D646</f>
        <v>0</v>
      </c>
      <c r="AVL2" s="771">
        <f>'Upload AXI - CONF'!D647</f>
        <v>0</v>
      </c>
      <c r="AVM2" s="771">
        <f>'Upload AXI - CONF'!D648</f>
        <v>0</v>
      </c>
      <c r="AVN2" s="558">
        <f>'Upload AXI - CONF'!D650</f>
        <v>0</v>
      </c>
      <c r="AVO2" s="558">
        <f>'Upload AXI - CONF'!D651</f>
        <v>0</v>
      </c>
      <c r="AVP2" s="558">
        <f>'Upload AXI - CONF'!D652</f>
        <v>0</v>
      </c>
      <c r="AVQ2" s="558">
        <f>'Upload AXI - CONF'!D653</f>
        <v>0</v>
      </c>
      <c r="AVR2" s="558" t="e">
        <f ca="1">'Upload AXI - CONF'!D654</f>
        <v>#REF!</v>
      </c>
      <c r="AVS2" s="350" t="str">
        <f>'Upload AXI - CONF'!D655</f>
        <v/>
      </c>
      <c r="AVT2" s="558">
        <f>'Upload AXI - CONF'!D656</f>
        <v>0</v>
      </c>
      <c r="AVU2" s="558">
        <f>'Upload AXI - CONF'!D657</f>
        <v>0</v>
      </c>
      <c r="AVV2">
        <f>'Upload AXI - CONF'!D658</f>
        <v>2.3958200000000001</v>
      </c>
      <c r="AVW2" t="str">
        <f>'Upload AXI - CONF'!D659</f>
        <v/>
      </c>
      <c r="AVX2" t="str">
        <f>'Upload AXI - CONF'!D660</f>
        <v/>
      </c>
      <c r="AVY2" s="822">
        <f>'Upload AXI - CONF'!D661</f>
        <v>0</v>
      </c>
      <c r="AVZ2" s="822">
        <f>'Upload AXI - CONF'!D662</f>
        <v>0</v>
      </c>
      <c r="AWA2" s="558" t="str">
        <f>'Upload AXI - CONF'!D663</f>
        <v/>
      </c>
      <c r="AWB2" s="822">
        <f>'Upload AXI - CONF'!D664</f>
        <v>0</v>
      </c>
      <c r="AWC2" s="822">
        <f>'Upload AXI - CONF'!D665</f>
        <v>0</v>
      </c>
      <c r="AWD2" t="str">
        <f>'Upload AXI - CONF'!D666</f>
        <v/>
      </c>
      <c r="AWE2" s="822">
        <f>'Upload AXI - CONF'!D667</f>
        <v>0</v>
      </c>
      <c r="AWF2" s="822">
        <f>'Upload AXI - CONF'!D668</f>
        <v>0</v>
      </c>
      <c r="AWG2" t="str">
        <f>'Upload AXI - CONF'!D669</f>
        <v/>
      </c>
      <c r="AWH2" s="822">
        <f>'Upload AXI - CONF'!D670</f>
        <v>0</v>
      </c>
      <c r="AWI2" s="822">
        <f>'Upload AXI - CONF'!D671</f>
        <v>0</v>
      </c>
      <c r="AWJ2" t="str">
        <f>'Upload AXI - CONF'!D672</f>
        <v/>
      </c>
      <c r="AWK2" t="str">
        <f>'Upload AXI - CONF'!D673</f>
        <v/>
      </c>
      <c r="AWL2" s="822">
        <f>'Upload AXI - CONF'!D674</f>
        <v>0</v>
      </c>
      <c r="AWM2" s="822">
        <f>'Upload AXI - CONF'!D675</f>
        <v>0</v>
      </c>
      <c r="AWN2" t="str">
        <f>'Upload AXI - CONF'!D676</f>
        <v/>
      </c>
      <c r="AWO2" s="822">
        <f>'Upload AXI - CONF'!D677</f>
        <v>0</v>
      </c>
      <c r="AWP2" s="822">
        <f>'Upload AXI - CONF'!D678</f>
        <v>0</v>
      </c>
      <c r="AWQ2" t="str">
        <f>'Upload AXI - CONF'!D679</f>
        <v/>
      </c>
      <c r="AWR2" s="822">
        <f>'Upload AXI - CONF'!D680</f>
        <v>0</v>
      </c>
      <c r="AWS2" s="822">
        <f>'Upload AXI - CONF'!D681</f>
        <v>0</v>
      </c>
      <c r="AWT2" t="str">
        <f>'Upload AXI - CONF'!D682</f>
        <v/>
      </c>
      <c r="AWU2" s="822">
        <f>'Upload AXI - CONF'!D683</f>
        <v>0</v>
      </c>
      <c r="AWV2" s="822">
        <f>'Upload AXI - CONF'!D684</f>
        <v>0</v>
      </c>
      <c r="AWW2" t="str">
        <f>'Upload AXI - CONF'!D685</f>
        <v/>
      </c>
      <c r="AWX2" t="str">
        <f>'Upload AXI - CONF'!D686</f>
        <v/>
      </c>
      <c r="AWY2" s="822">
        <f>'Upload AXI - CONF'!D687</f>
        <v>0</v>
      </c>
      <c r="AWZ2" s="822">
        <f>'Upload AXI - CONF'!D688</f>
        <v>0</v>
      </c>
      <c r="AXA2" t="str">
        <f>'Upload AXI - CONF'!D689</f>
        <v/>
      </c>
      <c r="AXB2" s="822">
        <f>'Upload AXI - CONF'!D690</f>
        <v>0</v>
      </c>
      <c r="AXC2" s="822">
        <f>'Upload AXI - CONF'!D691</f>
        <v>0</v>
      </c>
      <c r="AXD2" t="str">
        <f>'Upload AXI - CONF'!D692</f>
        <v/>
      </c>
      <c r="AXE2" s="822">
        <f>'Upload AXI - CONF'!D693</f>
        <v>0</v>
      </c>
      <c r="AXF2" s="822">
        <f>'Upload AXI - CONF'!D694</f>
        <v>0</v>
      </c>
      <c r="AXG2" t="str">
        <f>'Upload AXI - CONF'!D695</f>
        <v/>
      </c>
      <c r="AXH2" s="822">
        <f>'Upload AXI - CONF'!D696</f>
        <v>0</v>
      </c>
      <c r="AXI2" s="822">
        <f>'Upload AXI - CONF'!D697</f>
        <v>0</v>
      </c>
      <c r="AXJ2" s="771">
        <f>'Upload AXI - CONF'!D698</f>
        <v>0</v>
      </c>
      <c r="AXK2" s="771">
        <f>'Upload AXI - CONF'!D699</f>
        <v>0</v>
      </c>
      <c r="AXL2" s="771">
        <f>'Upload AXI - CONF'!D700</f>
        <v>0</v>
      </c>
      <c r="AXM2" s="558">
        <f>'Upload AXI - CONF'!D701</f>
        <v>0</v>
      </c>
      <c r="AXN2" s="558" t="e">
        <f ca="1">'Upload AXI - CONF'!D704</f>
        <v>#REF!</v>
      </c>
      <c r="AXO2" s="350" t="str">
        <f>'Upload AXI - CONF'!D705</f>
        <v/>
      </c>
      <c r="AXP2" s="558">
        <f>'Upload AXI - CONF'!D706</f>
        <v>0</v>
      </c>
      <c r="AXQ2" s="558">
        <f>'Upload AXI - CONF'!D707</f>
        <v>0</v>
      </c>
      <c r="AXR2">
        <f>'Upload AXI - CONF'!D708</f>
        <v>2.3958200000000001</v>
      </c>
      <c r="AXS2" t="str">
        <f>'Upload AXI - CONF'!D709</f>
        <v/>
      </c>
      <c r="AXT2" t="str">
        <f>'Upload AXI - CONF'!D710</f>
        <v/>
      </c>
      <c r="AXU2" s="822">
        <f>'Upload AXI - CONF'!D711</f>
        <v>0</v>
      </c>
      <c r="AXV2" s="822">
        <f>'Upload AXI - CONF'!D712</f>
        <v>0</v>
      </c>
      <c r="AXW2" t="str">
        <f>'Upload AXI - CONF'!D713</f>
        <v/>
      </c>
      <c r="AXX2" s="822">
        <f>'Upload AXI - CONF'!D714</f>
        <v>0</v>
      </c>
      <c r="AXY2" s="822">
        <f>'Upload AXI - CONF'!D715</f>
        <v>0</v>
      </c>
      <c r="AXZ2" t="str">
        <f>'Upload AXI - CONF'!D716</f>
        <v/>
      </c>
      <c r="AYA2" s="822">
        <f>'Upload AXI - CONF'!D717</f>
        <v>0</v>
      </c>
      <c r="AYB2" s="822">
        <f>'Upload AXI - CONF'!D718</f>
        <v>0</v>
      </c>
      <c r="AYC2" t="str">
        <f>'Upload AXI - CONF'!D719</f>
        <v/>
      </c>
      <c r="AYD2" s="822">
        <f>'Upload AXI - CONF'!D720</f>
        <v>0</v>
      </c>
      <c r="AYE2" s="822">
        <f>'Upload AXI - CONF'!D721</f>
        <v>0</v>
      </c>
      <c r="AYF2" t="str">
        <f>'Upload AXI - CONF'!D722</f>
        <v/>
      </c>
      <c r="AYG2" t="str">
        <f>'Upload AXI - CONF'!D723</f>
        <v/>
      </c>
      <c r="AYH2" s="822">
        <f>'Upload AXI - CONF'!D724</f>
        <v>0</v>
      </c>
      <c r="AYI2" s="822">
        <f>'Upload AXI - CONF'!D725</f>
        <v>0</v>
      </c>
      <c r="AYJ2" t="str">
        <f>'Upload AXI - CONF'!D726</f>
        <v/>
      </c>
      <c r="AYK2" s="822">
        <f>'Upload AXI - CONF'!D727</f>
        <v>0</v>
      </c>
      <c r="AYL2" s="822">
        <f>'Upload AXI - CONF'!D728</f>
        <v>0</v>
      </c>
      <c r="AYM2" t="str">
        <f>'Upload AXI - CONF'!D729</f>
        <v/>
      </c>
      <c r="AYN2" s="822">
        <f>'Upload AXI - CONF'!D730</f>
        <v>0</v>
      </c>
      <c r="AYO2" s="822">
        <f>'Upload AXI - CONF'!D731</f>
        <v>0</v>
      </c>
      <c r="AYP2" t="str">
        <f>'Upload AXI - CONF'!D732</f>
        <v/>
      </c>
      <c r="AYQ2" s="822">
        <f>'Upload AXI - CONF'!D733</f>
        <v>0</v>
      </c>
      <c r="AYR2" s="822">
        <f>'Upload AXI - CONF'!D734</f>
        <v>0</v>
      </c>
      <c r="AYS2" t="str">
        <f>'Upload AXI - CONF'!D735</f>
        <v/>
      </c>
      <c r="AYT2" t="str">
        <f>'Upload AXI - CONF'!D736</f>
        <v/>
      </c>
      <c r="AYU2" s="822">
        <f>'Upload AXI - CONF'!D737</f>
        <v>0</v>
      </c>
      <c r="AYV2" s="822">
        <f>'Upload AXI - CONF'!D738</f>
        <v>0</v>
      </c>
      <c r="AYW2" t="str">
        <f>'Upload AXI - CONF'!D739</f>
        <v/>
      </c>
      <c r="AYX2" s="822">
        <f>'Upload AXI - CONF'!D740</f>
        <v>0</v>
      </c>
      <c r="AYY2" s="822">
        <f>'Upload AXI - CONF'!D741</f>
        <v>0</v>
      </c>
      <c r="AYZ2" t="str">
        <f>'Upload AXI - CONF'!D742</f>
        <v/>
      </c>
      <c r="AZA2" s="822">
        <f>'Upload AXI - CONF'!D743</f>
        <v>0</v>
      </c>
      <c r="AZB2" s="822">
        <f>'Upload AXI - CONF'!D744</f>
        <v>0</v>
      </c>
      <c r="AZC2" t="str">
        <f>'Upload AXI - CONF'!D745</f>
        <v/>
      </c>
      <c r="AZD2" s="822">
        <f>'Upload AXI - CONF'!D746</f>
        <v>0</v>
      </c>
      <c r="AZE2" s="822">
        <f>'Upload AXI - CONF'!D747</f>
        <v>0</v>
      </c>
      <c r="AZF2" s="558">
        <f ca="1">'Upload AXI - CONF'!D751</f>
        <v>0</v>
      </c>
      <c r="AZG2" s="558">
        <f>'Upload AXI - CONF'!D752</f>
        <v>0</v>
      </c>
      <c r="AZH2" s="491">
        <f>'Upload AXI - CONF'!D753</f>
        <v>0</v>
      </c>
      <c r="AZI2" s="558" t="e">
        <f ca="1">'Upload AXI - CONF'!D754</f>
        <v>#REF!</v>
      </c>
      <c r="AZJ2" s="558">
        <f>'Upload AXI - CONF'!D755</f>
        <v>0</v>
      </c>
      <c r="AZK2" s="558">
        <f>'Upload AXI - CONF'!D756</f>
        <v>0</v>
      </c>
      <c r="AZL2" s="558">
        <f>'Upload AXI - CONF'!D757</f>
        <v>0</v>
      </c>
      <c r="AZM2" s="558">
        <f>'Upload AXI - CONF'!D758</f>
        <v>0</v>
      </c>
      <c r="AZN2" s="558">
        <f>'Upload AXI - CONF'!D759</f>
        <v>0</v>
      </c>
      <c r="AZO2" s="558">
        <f>'Upload AXI - CONF'!D760</f>
        <v>0</v>
      </c>
      <c r="AZP2" s="558">
        <f>'Upload AXI - CONF'!D761</f>
        <v>0</v>
      </c>
      <c r="AZQ2" s="558">
        <f>'Upload AXI - CONF'!D762</f>
        <v>0</v>
      </c>
      <c r="AZR2" s="558">
        <f>'Upload AXI - CONF'!D763</f>
        <v>0</v>
      </c>
      <c r="AZS2" s="558">
        <f>'Upload AXI - CONF'!D764</f>
        <v>0</v>
      </c>
      <c r="AZT2" s="558">
        <f>'Upload AXI - CONF'!D765</f>
        <v>0</v>
      </c>
      <c r="AZU2" s="558" t="e">
        <f>'Upload AXI - CONF'!D766</f>
        <v>#DIV/0!</v>
      </c>
      <c r="AZV2" s="822">
        <f>'Upload AXI - CONF'!D748</f>
        <v>0</v>
      </c>
      <c r="AZW2" s="822">
        <f>'Upload AXI - CONF'!D749</f>
        <v>0</v>
      </c>
      <c r="AZX2" s="822">
        <f>'Upload AXI - CONF'!D750</f>
        <v>0</v>
      </c>
      <c r="AZY2" s="558">
        <f>'Upload AXI - CONF'!D767</f>
        <v>0</v>
      </c>
      <c r="AZZ2" s="558">
        <f>'Upload AXI - CONF'!D768</f>
        <v>0</v>
      </c>
      <c r="BAA2" s="558">
        <f>'Upload AXI - CONF'!D769</f>
        <v>0</v>
      </c>
      <c r="BAB2" s="558">
        <f>'Upload AXI - CONF'!D770</f>
        <v>0</v>
      </c>
      <c r="BAC2" s="558">
        <f>'Upload AXI - CONF'!D771</f>
        <v>0</v>
      </c>
      <c r="BAD2" s="558">
        <f>'Upload AXI - CONF'!D772</f>
        <v>0</v>
      </c>
      <c r="BAE2" s="558">
        <f>'Upload AXI - CONF'!D773</f>
        <v>0</v>
      </c>
      <c r="BAF2" s="558">
        <f>'Upload AXI - CONF'!D774</f>
        <v>0</v>
      </c>
      <c r="BAG2" s="558">
        <f>'Upload AXI - CONF'!D775</f>
        <v>0</v>
      </c>
      <c r="BAH2" s="558">
        <f>'Upload AXI - CONF'!D776</f>
        <v>0</v>
      </c>
      <c r="BAI2" s="558">
        <f>'Upload AXI - CONF'!D777</f>
        <v>0</v>
      </c>
      <c r="BAJ2" s="558">
        <f>'Upload AXI - CONF'!D778</f>
        <v>0</v>
      </c>
      <c r="BAK2" s="558">
        <f>'Upload AXI - CONF'!D779</f>
        <v>0</v>
      </c>
      <c r="BAL2" s="558">
        <f>'Upload AXI - CONF'!D780</f>
        <v>0</v>
      </c>
      <c r="BAM2" s="558">
        <f>'Upload AXI - CONF'!D781</f>
        <v>0</v>
      </c>
      <c r="BAN2" s="558">
        <f>'Upload AXI - CONF'!D782</f>
        <v>0</v>
      </c>
      <c r="BAO2" s="558">
        <f>'Upload AXI - CONF'!D783</f>
        <v>0</v>
      </c>
      <c r="BAP2" s="558">
        <f>'Upload AXI - CONF'!D784</f>
        <v>0</v>
      </c>
      <c r="BAQ2" s="558">
        <f>'Upload AXI - CONF'!D785</f>
        <v>0</v>
      </c>
      <c r="BAR2" s="558">
        <f>'Upload AXI - CONF'!D786</f>
        <v>0</v>
      </c>
      <c r="BAS2" s="558">
        <f>'Upload AXI - CONF'!D787</f>
        <v>0</v>
      </c>
      <c r="BAT2" s="558">
        <f>'Upload AXI - CONF'!D788</f>
        <v>0</v>
      </c>
      <c r="BAU2" s="558">
        <f>'Upload AXI - CONF'!D789</f>
        <v>0</v>
      </c>
      <c r="BAV2" s="558">
        <f>'Upload AXI - CONF'!D790</f>
        <v>0</v>
      </c>
      <c r="BAW2" s="558">
        <f>'Upload AXI - CONF'!D791</f>
        <v>0</v>
      </c>
      <c r="BAX2" s="558">
        <f>'Upload AXI - CONF'!D792</f>
        <v>0</v>
      </c>
      <c r="BAY2" s="558">
        <f>'Upload AXI - CONF'!D793</f>
        <v>0</v>
      </c>
      <c r="BAZ2" s="558">
        <f>'Upload AXI - CONF'!D794</f>
        <v>0</v>
      </c>
      <c r="BBA2" s="558">
        <f>'Upload AXI - CONF'!D795</f>
        <v>0</v>
      </c>
      <c r="BBB2" s="558">
        <f>'Upload AXI - CONF'!D796</f>
        <v>0</v>
      </c>
      <c r="BBC2" s="558">
        <f>'Upload AXI - CONF'!D797</f>
        <v>0</v>
      </c>
      <c r="BBD2" s="558">
        <f>'Upload AXI - CONF'!D798</f>
        <v>0</v>
      </c>
      <c r="BBE2" s="558">
        <f>'Upload AXI - CONF'!D799</f>
        <v>0</v>
      </c>
      <c r="BBF2" s="558">
        <f>'Upload AXI - CONF'!D800</f>
        <v>0</v>
      </c>
      <c r="BBG2" s="558">
        <f>'Upload AXI - CONF'!D801</f>
        <v>0</v>
      </c>
      <c r="BBH2" s="558">
        <f>'Upload AXI - CONF'!D802</f>
        <v>0</v>
      </c>
      <c r="BBI2" s="558">
        <f>'Upload AXI - CONF'!D803</f>
        <v>0</v>
      </c>
      <c r="BBJ2" s="558">
        <f>'Upload AXI - CONF'!D804</f>
        <v>0</v>
      </c>
      <c r="BBK2" s="558">
        <f>'Upload AXI - CONF'!D805</f>
        <v>0</v>
      </c>
      <c r="BBL2" s="558">
        <f>'Upload AXI - CONF'!D806</f>
        <v>0</v>
      </c>
      <c r="BBM2" s="558">
        <f>'Upload AXI - CONF'!D807</f>
        <v>0</v>
      </c>
      <c r="BBN2" s="558">
        <f>'Upload AXI - CONF'!D808</f>
        <v>0</v>
      </c>
      <c r="BBO2" s="558">
        <f>'Upload AXI - CONF'!D809</f>
        <v>0</v>
      </c>
      <c r="BBP2" s="558">
        <f>'Upload AXI - CONF'!D810</f>
        <v>0</v>
      </c>
      <c r="BBQ2" s="558">
        <f>'Upload AXI - CONF'!D811</f>
        <v>0</v>
      </c>
      <c r="BBR2" s="558">
        <f>'Upload AXI - CONF'!D812</f>
        <v>0</v>
      </c>
      <c r="BBS2" s="558">
        <f>'Upload AXI - CONF'!D813</f>
        <v>0</v>
      </c>
      <c r="BBT2" s="558">
        <f>'Upload AXI - CONF'!D814</f>
        <v>0</v>
      </c>
      <c r="BBU2" s="558">
        <f>'Upload AXI - CONF'!D815</f>
        <v>0</v>
      </c>
      <c r="BBV2" s="558">
        <f>'Upload AXI - CONF'!D816</f>
        <v>0</v>
      </c>
      <c r="BBW2" s="558">
        <f>'Upload AXI - CONF'!D817</f>
        <v>0</v>
      </c>
      <c r="BBX2" s="558">
        <f>'Upload AXI - CONF'!D818</f>
        <v>0</v>
      </c>
      <c r="BBY2" s="558">
        <f>'Upload AXI - CONF'!D819</f>
        <v>0</v>
      </c>
      <c r="BBZ2" s="558">
        <f>'Upload AXI - CONF'!D820</f>
        <v>0</v>
      </c>
      <c r="BCA2" s="558">
        <f>'Upload AXI - CONF'!D821</f>
        <v>0</v>
      </c>
      <c r="BCB2" s="558">
        <f>'Upload AXI - CONF'!D822</f>
        <v>0</v>
      </c>
      <c r="BCC2" s="558">
        <f>'Upload AXI - CONF'!D823</f>
        <v>0</v>
      </c>
      <c r="BCD2" s="558">
        <f>'Upload AXI - CONF'!D824</f>
        <v>0</v>
      </c>
      <c r="BCE2" s="558">
        <f>'Upload AXI - CONF'!D825</f>
        <v>0</v>
      </c>
      <c r="BCF2" s="558">
        <f>'Upload AXI - CONF'!D826</f>
        <v>0</v>
      </c>
      <c r="BCG2" s="491">
        <f>'Upload AXI - CONF'!D827</f>
        <v>0.21</v>
      </c>
      <c r="BCH2" s="491">
        <f>'Upload AXI - CONF'!D828</f>
        <v>0.21</v>
      </c>
      <c r="BCI2" s="491">
        <f>'Upload AXI - CONF'!D829</f>
        <v>0.21</v>
      </c>
      <c r="BCJ2" s="491">
        <f>'Upload AXI - CONF'!D830</f>
        <v>0.21</v>
      </c>
      <c r="BCK2" s="491">
        <f>'Upload AXI - CONF'!D831</f>
        <v>0.21</v>
      </c>
      <c r="BCL2" s="491">
        <f>'Upload AXI - CONF'!D832</f>
        <v>0.21</v>
      </c>
      <c r="BCM2" s="491">
        <f>'Upload AXI - CONF'!D833</f>
        <v>0.21</v>
      </c>
      <c r="BCN2" s="491">
        <f>'Upload AXI - CONF'!D834</f>
        <v>0.21</v>
      </c>
      <c r="BCO2" s="491">
        <f>'Upload AXI - CONF'!$D835</f>
        <v>0.21</v>
      </c>
      <c r="BCP2" s="491">
        <f>'Upload AXI - CONF'!D836</f>
        <v>0.21</v>
      </c>
      <c r="BCQ2" s="491">
        <f>'Upload AXI - CONF'!D837</f>
        <v>0.21</v>
      </c>
      <c r="BCR2" s="491">
        <f>'Upload AXI - CONF'!D838</f>
        <v>0.21</v>
      </c>
      <c r="BCS2" s="558">
        <f>'Upload AXI - CONF'!$D839</f>
        <v>0</v>
      </c>
      <c r="BCT2" s="558" t="str">
        <f>'Upload AXI - CONF'!$D840</f>
        <v/>
      </c>
      <c r="BCU2" s="558" t="e">
        <f>'Upload AXI - CONF'!$D841</f>
        <v>#DIV/0!</v>
      </c>
      <c r="BCV2" s="558" t="e">
        <f>'Upload AXI - CONF'!$D842</f>
        <v>#DIV/0!</v>
      </c>
      <c r="BCW2" s="558">
        <f>'Upload AXI - CONF'!$D843</f>
        <v>0</v>
      </c>
      <c r="BCX2" s="558" t="e">
        <f>'Upload AXI - CONF'!$D844</f>
        <v>#DIV/0!</v>
      </c>
      <c r="BCY2" s="558">
        <f>'Upload AXI - CONF'!$D845</f>
        <v>0</v>
      </c>
      <c r="BCZ2" s="558">
        <f>'Upload AXI - CONF'!$D846</f>
        <v>0</v>
      </c>
      <c r="BDA2" s="558">
        <f>'Upload AXI - CONF'!$D847</f>
        <v>0</v>
      </c>
      <c r="BDB2" s="558">
        <f>'Upload AXI - CONF'!$D848</f>
        <v>0</v>
      </c>
      <c r="BDC2" s="558">
        <f>'Upload AXI - CONF'!$D849</f>
        <v>0</v>
      </c>
      <c r="BDD2" s="558">
        <f>'Upload AXI - CONF'!$D850</f>
        <v>0</v>
      </c>
      <c r="BDE2" s="558"/>
      <c r="BDF2" s="558"/>
      <c r="BDG2" s="558"/>
      <c r="BDH2" s="558"/>
      <c r="BDI2" s="558"/>
      <c r="BDJ2" s="558"/>
      <c r="BDK2" s="558"/>
      <c r="BDL2" s="558"/>
      <c r="BDM2" s="558"/>
      <c r="BDN2" s="558"/>
      <c r="BDO2" s="558"/>
      <c r="BDP2" s="558"/>
      <c r="BDQ2" s="558"/>
      <c r="BDR2" s="558"/>
      <c r="BDS2" s="558"/>
      <c r="BDT2" s="558"/>
      <c r="BDU2" s="558"/>
      <c r="BDV2" s="558"/>
      <c r="BDW2" s="558"/>
      <c r="BDX2" s="558"/>
      <c r="BDY2" s="558"/>
      <c r="BDZ2" s="558"/>
      <c r="BEA2" s="558"/>
      <c r="BEB2" s="558"/>
      <c r="BEC2" s="558"/>
      <c r="BED2" s="558"/>
      <c r="BEE2" s="558"/>
      <c r="BEF2" s="558"/>
      <c r="BEG2" s="558"/>
      <c r="BEH2" s="558"/>
      <c r="BEI2" s="558"/>
      <c r="BEJ2" s="558"/>
      <c r="BEK2" s="558"/>
      <c r="BEL2" s="558"/>
      <c r="BEM2" s="558"/>
      <c r="BEN2" s="558"/>
      <c r="BEO2" s="558"/>
      <c r="BEP2" s="558"/>
      <c r="BEQ2" s="558"/>
      <c r="BER2" s="558"/>
      <c r="BES2" s="558"/>
      <c r="BET2" s="558"/>
      <c r="BEU2" s="558"/>
      <c r="BEV2" s="558"/>
      <c r="BEW2" s="558"/>
      <c r="BEX2" s="558"/>
      <c r="BEY2" s="558"/>
      <c r="BEZ2" s="558"/>
      <c r="BFA2" s="558"/>
      <c r="BFB2" s="558"/>
      <c r="BFC2" s="558"/>
      <c r="BFD2" s="558"/>
      <c r="BFE2" s="558"/>
      <c r="BFF2" s="558"/>
      <c r="BFG2" s="558"/>
      <c r="BFH2" s="558"/>
      <c r="BFI2" s="558"/>
      <c r="BFJ2" s="558"/>
      <c r="BFK2" s="558"/>
      <c r="BFL2" s="558"/>
      <c r="BFM2" s="558"/>
      <c r="BFN2" s="558"/>
      <c r="BFO2" s="558"/>
      <c r="BFP2" s="558"/>
      <c r="BFQ2" s="558"/>
      <c r="BFR2" s="558"/>
      <c r="BFS2" s="558"/>
      <c r="BFT2" s="558"/>
      <c r="BFU2" s="558"/>
      <c r="BFV2" s="558"/>
      <c r="BFW2" s="558"/>
      <c r="BFX2" s="558"/>
      <c r="BFY2" s="558"/>
      <c r="BFZ2" s="558"/>
      <c r="BGA2" s="558"/>
      <c r="BGB2" s="558"/>
      <c r="BGC2" s="558"/>
      <c r="BGD2" s="558"/>
      <c r="BGE2" s="558"/>
      <c r="BGF2" s="558"/>
      <c r="BGG2" s="558"/>
      <c r="BGH2" s="558"/>
    </row>
    <row r="3" spans="1:1542" x14ac:dyDescent="0.3">
      <c r="BCS3" s="558"/>
      <c r="BCT3" s="558"/>
    </row>
    <row r="4" spans="1:1542" x14ac:dyDescent="0.3">
      <c r="BCS4" s="558"/>
      <c r="BCT4" s="558"/>
    </row>
    <row r="5" spans="1:1542" x14ac:dyDescent="0.3">
      <c r="AZL5" s="558"/>
      <c r="BCS5" s="558"/>
      <c r="BCT5" s="558"/>
    </row>
    <row r="6" spans="1:1542" x14ac:dyDescent="0.3">
      <c r="AZL6" s="558"/>
      <c r="BCS6" s="558"/>
      <c r="BCT6" s="558"/>
    </row>
    <row r="7" spans="1:1542" x14ac:dyDescent="0.3">
      <c r="AZL7" s="558"/>
      <c r="BCS7" s="558"/>
      <c r="BCT7" s="558"/>
    </row>
    <row r="8" spans="1:1542" x14ac:dyDescent="0.3">
      <c r="AZL8" s="558"/>
      <c r="BCS8" s="558"/>
      <c r="BCT8" s="558"/>
    </row>
    <row r="9" spans="1:1542" x14ac:dyDescent="0.3">
      <c r="AZL9" s="558"/>
      <c r="BCS9" s="558"/>
      <c r="BCT9" s="558"/>
    </row>
    <row r="10" spans="1:1542" x14ac:dyDescent="0.3">
      <c r="AZL10" s="558"/>
      <c r="BCS10" s="558"/>
      <c r="BCT10" s="558"/>
    </row>
    <row r="11" spans="1:1542" x14ac:dyDescent="0.3">
      <c r="AZL11" s="558"/>
      <c r="BCS11" s="558"/>
      <c r="BCT11" s="558"/>
    </row>
    <row r="12" spans="1:1542" x14ac:dyDescent="0.3">
      <c r="AZL12" s="558"/>
      <c r="BCS12" s="558"/>
      <c r="BCT12" s="558"/>
    </row>
    <row r="13" spans="1:1542" x14ac:dyDescent="0.3">
      <c r="AZL13" s="558"/>
      <c r="BCS13" s="558"/>
      <c r="BCT13" s="558"/>
    </row>
    <row r="14" spans="1:1542" x14ac:dyDescent="0.3">
      <c r="AZL14" s="558"/>
      <c r="BCT14" s="558"/>
    </row>
    <row r="15" spans="1:1542" x14ac:dyDescent="0.3">
      <c r="AZL15" s="558"/>
      <c r="BCT15" s="558"/>
    </row>
    <row r="16" spans="1:1542" x14ac:dyDescent="0.3">
      <c r="AZL16" s="558"/>
      <c r="BCT16" s="558"/>
    </row>
    <row r="17" spans="1364:1450" x14ac:dyDescent="0.3">
      <c r="AZL17" s="558"/>
      <c r="BCT17" s="558"/>
    </row>
    <row r="18" spans="1364:1450" x14ac:dyDescent="0.3">
      <c r="AZL18" s="558"/>
      <c r="BCT18" s="558"/>
    </row>
    <row r="19" spans="1364:1450" x14ac:dyDescent="0.3">
      <c r="AZL19" s="558"/>
    </row>
    <row r="20" spans="1364:1450" x14ac:dyDescent="0.3">
      <c r="AZL20" s="558"/>
    </row>
    <row r="21" spans="1364:1450" x14ac:dyDescent="0.3">
      <c r="AZL21" s="558"/>
    </row>
    <row r="22" spans="1364:1450" x14ac:dyDescent="0.3">
      <c r="AZL22" s="558"/>
    </row>
    <row r="23" spans="1364:1450" x14ac:dyDescent="0.3">
      <c r="AZL23" s="558"/>
    </row>
    <row r="24" spans="1364:1450" x14ac:dyDescent="0.3">
      <c r="AZL24" s="558"/>
    </row>
    <row r="25" spans="1364:1450" x14ac:dyDescent="0.3">
      <c r="AZL25" s="558"/>
    </row>
    <row r="26" spans="1364:1450" x14ac:dyDescent="0.3">
      <c r="AZL26" s="558"/>
    </row>
    <row r="27" spans="1364:1450" x14ac:dyDescent="0.3">
      <c r="AZL27" s="558"/>
    </row>
    <row r="28" spans="1364:1450" x14ac:dyDescent="0.3">
      <c r="AZL28" s="558"/>
    </row>
    <row r="29" spans="1364:1450" x14ac:dyDescent="0.3">
      <c r="AZL29" s="558"/>
    </row>
    <row r="30" spans="1364:1450" x14ac:dyDescent="0.3">
      <c r="AZL30" s="558"/>
    </row>
    <row r="31" spans="1364:1450" x14ac:dyDescent="0.3">
      <c r="AZL31" s="558"/>
    </row>
    <row r="32" spans="1364:1450" x14ac:dyDescent="0.3">
      <c r="AZL32" s="558"/>
    </row>
    <row r="33" spans="1364:1364" x14ac:dyDescent="0.3">
      <c r="AZL33" s="558"/>
    </row>
    <row r="34" spans="1364:1364" x14ac:dyDescent="0.3">
      <c r="AZL34" s="558"/>
    </row>
    <row r="35" spans="1364:1364" x14ac:dyDescent="0.3">
      <c r="AZL35" s="558"/>
    </row>
    <row r="36" spans="1364:1364" x14ac:dyDescent="0.3">
      <c r="AZL36" s="558"/>
    </row>
    <row r="37" spans="1364:1364" x14ac:dyDescent="0.3">
      <c r="AZL37" s="558"/>
    </row>
    <row r="38" spans="1364:1364" x14ac:dyDescent="0.3">
      <c r="AZL38" s="558"/>
    </row>
    <row r="39" spans="1364:1364" x14ac:dyDescent="0.3">
      <c r="AZL39" s="558"/>
    </row>
    <row r="40" spans="1364:1364" x14ac:dyDescent="0.3">
      <c r="AZL40" s="558"/>
    </row>
    <row r="41" spans="1364:1364" x14ac:dyDescent="0.3">
      <c r="AZL41" s="558"/>
    </row>
    <row r="42" spans="1364:1364" x14ac:dyDescent="0.3">
      <c r="AZL42" s="558"/>
    </row>
    <row r="43" spans="1364:1364" x14ac:dyDescent="0.3">
      <c r="AZL43" s="558"/>
    </row>
    <row r="44" spans="1364:1364" x14ac:dyDescent="0.3">
      <c r="AZL44" s="558"/>
    </row>
    <row r="45" spans="1364:1364" x14ac:dyDescent="0.3">
      <c r="AZL45" s="558"/>
    </row>
    <row r="46" spans="1364:1364" x14ac:dyDescent="0.3">
      <c r="AZL46" s="558"/>
    </row>
    <row r="47" spans="1364:1364" x14ac:dyDescent="0.3">
      <c r="AZL47" s="558"/>
    </row>
    <row r="48" spans="1364:1364" x14ac:dyDescent="0.3">
      <c r="AZL48" s="558"/>
    </row>
    <row r="49" spans="1364:1364" x14ac:dyDescent="0.3">
      <c r="AZL49" s="558"/>
    </row>
    <row r="50" spans="1364:1364" x14ac:dyDescent="0.3">
      <c r="AZL50" s="558"/>
    </row>
    <row r="51" spans="1364:1364" x14ac:dyDescent="0.3">
      <c r="AZL51" s="558"/>
    </row>
    <row r="52" spans="1364:1364" x14ac:dyDescent="0.3">
      <c r="AZL52" s="558"/>
    </row>
    <row r="53" spans="1364:1364" x14ac:dyDescent="0.3">
      <c r="AZL53" s="558"/>
    </row>
    <row r="54" spans="1364:1364" x14ac:dyDescent="0.3">
      <c r="AZL54" s="558"/>
    </row>
    <row r="55" spans="1364:1364" x14ac:dyDescent="0.3">
      <c r="AZL55" s="558"/>
    </row>
    <row r="56" spans="1364:1364" x14ac:dyDescent="0.3">
      <c r="AZL56" s="558"/>
    </row>
    <row r="57" spans="1364:1364" x14ac:dyDescent="0.3">
      <c r="AZL57" s="558"/>
    </row>
    <row r="58" spans="1364:1364" x14ac:dyDescent="0.3">
      <c r="AZL58" s="558"/>
    </row>
    <row r="59" spans="1364:1364" x14ac:dyDescent="0.3">
      <c r="AZL59" s="558"/>
    </row>
    <row r="60" spans="1364:1364" x14ac:dyDescent="0.3">
      <c r="AZL60" s="558"/>
    </row>
    <row r="61" spans="1364:1364" x14ac:dyDescent="0.3">
      <c r="AZL61" s="558"/>
    </row>
    <row r="62" spans="1364:1364" x14ac:dyDescent="0.3">
      <c r="AZL62" s="558"/>
    </row>
    <row r="63" spans="1364:1364" x14ac:dyDescent="0.3">
      <c r="AZL63" s="558"/>
    </row>
    <row r="64" spans="1364:1364" x14ac:dyDescent="0.3">
      <c r="AZL64" s="558"/>
    </row>
    <row r="65" spans="1364:1364" x14ac:dyDescent="0.3">
      <c r="AZL65" s="558"/>
    </row>
    <row r="66" spans="1364:1364" x14ac:dyDescent="0.3">
      <c r="AZL66" s="558"/>
    </row>
    <row r="67" spans="1364:1364" x14ac:dyDescent="0.3">
      <c r="AZL67" s="558"/>
    </row>
    <row r="68" spans="1364:1364" x14ac:dyDescent="0.3">
      <c r="AZL68" s="558"/>
    </row>
    <row r="69" spans="1364:1364" x14ac:dyDescent="0.3">
      <c r="AZL69" s="558"/>
    </row>
    <row r="70" spans="1364:1364" x14ac:dyDescent="0.3">
      <c r="AZL70" s="558"/>
    </row>
    <row r="71" spans="1364:1364" x14ac:dyDescent="0.3">
      <c r="AZL71" s="558"/>
    </row>
    <row r="72" spans="1364:1364" x14ac:dyDescent="0.3">
      <c r="AZL72" s="558"/>
    </row>
    <row r="73" spans="1364:1364" x14ac:dyDescent="0.3">
      <c r="AZL73" s="558"/>
    </row>
    <row r="74" spans="1364:1364" x14ac:dyDescent="0.3">
      <c r="AZL74" s="558"/>
    </row>
    <row r="75" spans="1364:1364" x14ac:dyDescent="0.3">
      <c r="AZL75" s="558"/>
    </row>
    <row r="76" spans="1364:1364" x14ac:dyDescent="0.3">
      <c r="AZL76" s="558"/>
    </row>
    <row r="77" spans="1364:1364" x14ac:dyDescent="0.3">
      <c r="AZL77" s="558"/>
    </row>
    <row r="78" spans="1364:1364" x14ac:dyDescent="0.3">
      <c r="AZL78" s="558"/>
    </row>
    <row r="79" spans="1364:1364" x14ac:dyDescent="0.3">
      <c r="AZL79" s="558"/>
    </row>
    <row r="80" spans="1364:1364" x14ac:dyDescent="0.3">
      <c r="AZL80" s="558"/>
    </row>
    <row r="81" spans="1364:1364" x14ac:dyDescent="0.3">
      <c r="AZL81" s="558"/>
    </row>
    <row r="82" spans="1364:1364" x14ac:dyDescent="0.3">
      <c r="AZL82" s="558"/>
    </row>
    <row r="83" spans="1364:1364" x14ac:dyDescent="0.3">
      <c r="AZL83" s="558"/>
    </row>
    <row r="84" spans="1364:1364" x14ac:dyDescent="0.3">
      <c r="AZL84" s="558"/>
    </row>
    <row r="85" spans="1364:1364" x14ac:dyDescent="0.3">
      <c r="AZL85" s="558"/>
    </row>
    <row r="86" spans="1364:1364" x14ac:dyDescent="0.3">
      <c r="AZL86" s="558"/>
    </row>
    <row r="87" spans="1364:1364" x14ac:dyDescent="0.3">
      <c r="AZL87" s="558"/>
    </row>
    <row r="88" spans="1364:1364" x14ac:dyDescent="0.3">
      <c r="AZL88" s="558"/>
    </row>
    <row r="89" spans="1364:1364" x14ac:dyDescent="0.3">
      <c r="AZL89" s="558"/>
    </row>
    <row r="90" spans="1364:1364" x14ac:dyDescent="0.3">
      <c r="AZL90" s="558"/>
    </row>
    <row r="91" spans="1364:1364" x14ac:dyDescent="0.3">
      <c r="AZL91" s="558"/>
    </row>
    <row r="92" spans="1364:1364" x14ac:dyDescent="0.3">
      <c r="AZL92" s="558"/>
    </row>
    <row r="93" spans="1364:1364" x14ac:dyDescent="0.3">
      <c r="AZL93" s="558"/>
    </row>
    <row r="94" spans="1364:1364" x14ac:dyDescent="0.3">
      <c r="AZL94" s="558"/>
    </row>
    <row r="95" spans="1364:1364" x14ac:dyDescent="0.3">
      <c r="AZL95" s="558"/>
    </row>
    <row r="96" spans="1364:1364" x14ac:dyDescent="0.3">
      <c r="AZL96" s="558"/>
    </row>
    <row r="97" spans="1364:1364" x14ac:dyDescent="0.3">
      <c r="AZL97" s="558"/>
    </row>
    <row r="98" spans="1364:1364" x14ac:dyDescent="0.3">
      <c r="AZL98" s="558"/>
    </row>
    <row r="99" spans="1364:1364" x14ac:dyDescent="0.3">
      <c r="AZL99" s="558"/>
    </row>
    <row r="100" spans="1364:1364" x14ac:dyDescent="0.3">
      <c r="AZL100" s="558"/>
    </row>
    <row r="101" spans="1364:1364" x14ac:dyDescent="0.3">
      <c r="AZL101" s="558"/>
    </row>
    <row r="102" spans="1364:1364" x14ac:dyDescent="0.3">
      <c r="AZL102" s="558"/>
    </row>
    <row r="103" spans="1364:1364" x14ac:dyDescent="0.3">
      <c r="AZL103" s="558"/>
    </row>
    <row r="104" spans="1364:1364" x14ac:dyDescent="0.3">
      <c r="AZL104" s="558"/>
    </row>
    <row r="105" spans="1364:1364" x14ac:dyDescent="0.3">
      <c r="AZL105" s="558"/>
    </row>
    <row r="106" spans="1364:1364" x14ac:dyDescent="0.3">
      <c r="AZL106" s="558"/>
    </row>
    <row r="107" spans="1364:1364" x14ac:dyDescent="0.3">
      <c r="AZL107" s="558"/>
    </row>
    <row r="108" spans="1364:1364" x14ac:dyDescent="0.3">
      <c r="AZL108" s="558"/>
    </row>
    <row r="109" spans="1364:1364" x14ac:dyDescent="0.3">
      <c r="AZL109" s="558"/>
    </row>
    <row r="110" spans="1364:1364" x14ac:dyDescent="0.3">
      <c r="AZL110" s="558"/>
    </row>
    <row r="111" spans="1364:1364" x14ac:dyDescent="0.3">
      <c r="AZL111" s="558"/>
    </row>
    <row r="112" spans="1364:1364" x14ac:dyDescent="0.3">
      <c r="AZL112" s="558"/>
    </row>
    <row r="113" spans="1364:1364" x14ac:dyDescent="0.3">
      <c r="AZL113" s="558"/>
    </row>
    <row r="114" spans="1364:1364" x14ac:dyDescent="0.3">
      <c r="AZL114" s="558"/>
    </row>
    <row r="115" spans="1364:1364" x14ac:dyDescent="0.3">
      <c r="AZL115" s="558"/>
    </row>
    <row r="116" spans="1364:1364" x14ac:dyDescent="0.3">
      <c r="AZL116" s="558"/>
    </row>
    <row r="117" spans="1364:1364" x14ac:dyDescent="0.3">
      <c r="AZL117" s="558"/>
    </row>
    <row r="118" spans="1364:1364" x14ac:dyDescent="0.3">
      <c r="AZL118" s="558"/>
    </row>
    <row r="119" spans="1364:1364" x14ac:dyDescent="0.3">
      <c r="AZL119" s="558"/>
    </row>
    <row r="120" spans="1364:1364" x14ac:dyDescent="0.3">
      <c r="AZL120" s="558"/>
    </row>
    <row r="121" spans="1364:1364" x14ac:dyDescent="0.3">
      <c r="AZL121" s="558"/>
    </row>
    <row r="122" spans="1364:1364" x14ac:dyDescent="0.3">
      <c r="AZL122" s="558"/>
    </row>
    <row r="123" spans="1364:1364" x14ac:dyDescent="0.3">
      <c r="AZL123" s="558"/>
    </row>
    <row r="124" spans="1364:1364" x14ac:dyDescent="0.3">
      <c r="AZL124" s="558"/>
    </row>
    <row r="125" spans="1364:1364" x14ac:dyDescent="0.3">
      <c r="AZL125" s="558"/>
    </row>
    <row r="126" spans="1364:1364" x14ac:dyDescent="0.3">
      <c r="AZL126" s="558"/>
    </row>
    <row r="127" spans="1364:1364" x14ac:dyDescent="0.3">
      <c r="AZL127" s="558"/>
    </row>
    <row r="128" spans="1364:1364" x14ac:dyDescent="0.3">
      <c r="AZL128" s="558"/>
    </row>
    <row r="129" spans="1364:1364" x14ac:dyDescent="0.3">
      <c r="AZL129" s="558"/>
    </row>
    <row r="130" spans="1364:1364" x14ac:dyDescent="0.3">
      <c r="AZL130" s="558"/>
    </row>
    <row r="131" spans="1364:1364" x14ac:dyDescent="0.3">
      <c r="AZL131" s="558"/>
    </row>
    <row r="132" spans="1364:1364" x14ac:dyDescent="0.3">
      <c r="AZL132" s="558"/>
    </row>
    <row r="133" spans="1364:1364" x14ac:dyDescent="0.3">
      <c r="AZL133" s="558"/>
    </row>
    <row r="134" spans="1364:1364" x14ac:dyDescent="0.3">
      <c r="AZL134" s="558"/>
    </row>
    <row r="135" spans="1364:1364" x14ac:dyDescent="0.3">
      <c r="AZL135" s="558"/>
    </row>
    <row r="136" spans="1364:1364" x14ac:dyDescent="0.3">
      <c r="AZL136" s="558"/>
    </row>
    <row r="137" spans="1364:1364" x14ac:dyDescent="0.3">
      <c r="AZL137" s="558"/>
    </row>
    <row r="138" spans="1364:1364" x14ac:dyDescent="0.3">
      <c r="AZL138" s="558"/>
    </row>
    <row r="139" spans="1364:1364" x14ac:dyDescent="0.3">
      <c r="AZL139" s="558"/>
    </row>
    <row r="140" spans="1364:1364" x14ac:dyDescent="0.3">
      <c r="AZL140" s="558"/>
    </row>
    <row r="141" spans="1364:1364" x14ac:dyDescent="0.3">
      <c r="AZL141" s="558"/>
    </row>
    <row r="142" spans="1364:1364" x14ac:dyDescent="0.3">
      <c r="AZL142" s="558"/>
    </row>
    <row r="143" spans="1364:1364" x14ac:dyDescent="0.3">
      <c r="AZL143" s="558"/>
    </row>
    <row r="144" spans="1364:1364" x14ac:dyDescent="0.3">
      <c r="AZL144" s="558"/>
    </row>
    <row r="145" spans="1364:1364" x14ac:dyDescent="0.3">
      <c r="AZL145" s="558"/>
    </row>
    <row r="146" spans="1364:1364" x14ac:dyDescent="0.3">
      <c r="AZL146" s="558"/>
    </row>
    <row r="147" spans="1364:1364" x14ac:dyDescent="0.3">
      <c r="AZL147" s="558"/>
    </row>
    <row r="148" spans="1364:1364" x14ac:dyDescent="0.3">
      <c r="AZL148" s="558"/>
    </row>
    <row r="149" spans="1364:1364" x14ac:dyDescent="0.3">
      <c r="AZL149" s="558"/>
    </row>
    <row r="150" spans="1364:1364" x14ac:dyDescent="0.3">
      <c r="AZL150" s="558"/>
    </row>
    <row r="151" spans="1364:1364" x14ac:dyDescent="0.3">
      <c r="AZL151" s="558"/>
    </row>
    <row r="152" spans="1364:1364" x14ac:dyDescent="0.3">
      <c r="AZL152" s="558"/>
    </row>
    <row r="153" spans="1364:1364" x14ac:dyDescent="0.3">
      <c r="AZL153" s="558"/>
    </row>
    <row r="154" spans="1364:1364" x14ac:dyDescent="0.3">
      <c r="AZL154" s="558"/>
    </row>
    <row r="155" spans="1364:1364" x14ac:dyDescent="0.3">
      <c r="AZL155" s="558"/>
    </row>
    <row r="156" spans="1364:1364" x14ac:dyDescent="0.3">
      <c r="AZL156" s="558"/>
    </row>
    <row r="157" spans="1364:1364" x14ac:dyDescent="0.3">
      <c r="AZL157" s="558"/>
    </row>
    <row r="158" spans="1364:1364" x14ac:dyDescent="0.3">
      <c r="AZL158" s="558"/>
    </row>
    <row r="159" spans="1364:1364" x14ac:dyDescent="0.3">
      <c r="AZL159" s="558"/>
    </row>
    <row r="160" spans="1364:1364" x14ac:dyDescent="0.3">
      <c r="AZL160" s="558"/>
    </row>
    <row r="161" spans="1364:1364" x14ac:dyDescent="0.3">
      <c r="AZL161" s="558"/>
    </row>
    <row r="162" spans="1364:1364" x14ac:dyDescent="0.3">
      <c r="AZL162" s="558"/>
    </row>
    <row r="163" spans="1364:1364" x14ac:dyDescent="0.3">
      <c r="AZL163" s="558"/>
    </row>
    <row r="164" spans="1364:1364" x14ac:dyDescent="0.3">
      <c r="AZL164" s="558"/>
    </row>
    <row r="165" spans="1364:1364" x14ac:dyDescent="0.3">
      <c r="AZL165" s="558"/>
    </row>
    <row r="166" spans="1364:1364" x14ac:dyDescent="0.3">
      <c r="AZL166" s="558"/>
    </row>
    <row r="167" spans="1364:1364" x14ac:dyDescent="0.3">
      <c r="AZL167" s="558"/>
    </row>
    <row r="168" spans="1364:1364" x14ac:dyDescent="0.3">
      <c r="AZL168" s="558"/>
    </row>
    <row r="169" spans="1364:1364" x14ac:dyDescent="0.3">
      <c r="AZL169" s="558"/>
    </row>
    <row r="170" spans="1364:1364" x14ac:dyDescent="0.3">
      <c r="AZL170" s="558"/>
    </row>
    <row r="171" spans="1364:1364" x14ac:dyDescent="0.3">
      <c r="AZL171" s="558"/>
    </row>
    <row r="172" spans="1364:1364" x14ac:dyDescent="0.3">
      <c r="AZL172" s="558"/>
    </row>
    <row r="173" spans="1364:1364" x14ac:dyDescent="0.3">
      <c r="AZL173" s="558"/>
    </row>
    <row r="174" spans="1364:1364" x14ac:dyDescent="0.3">
      <c r="AZL174" s="558"/>
    </row>
    <row r="175" spans="1364:1364" x14ac:dyDescent="0.3">
      <c r="AZL175" s="558"/>
    </row>
    <row r="176" spans="1364:1364" x14ac:dyDescent="0.3">
      <c r="AZL176" s="558"/>
    </row>
    <row r="177" spans="1364:1364" x14ac:dyDescent="0.3">
      <c r="AZL177" s="558"/>
    </row>
    <row r="178" spans="1364:1364" x14ac:dyDescent="0.3">
      <c r="AZL178" s="558"/>
    </row>
    <row r="179" spans="1364:1364" x14ac:dyDescent="0.3">
      <c r="AZL179" s="558"/>
    </row>
    <row r="180" spans="1364:1364" x14ac:dyDescent="0.3">
      <c r="AZL180" s="558"/>
    </row>
    <row r="181" spans="1364:1364" x14ac:dyDescent="0.3">
      <c r="AZL181" s="558"/>
    </row>
    <row r="182" spans="1364:1364" x14ac:dyDescent="0.3">
      <c r="AZL182" s="558"/>
    </row>
    <row r="183" spans="1364:1364" x14ac:dyDescent="0.3">
      <c r="AZL183" s="55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3B4EC3C26B034AA04AFEC89B98A9E5" ma:contentTypeVersion="12" ma:contentTypeDescription="Een nieuw document maken." ma:contentTypeScope="" ma:versionID="44188576b0151c17320c22de080fdba6">
  <xsd:schema xmlns:xsd="http://www.w3.org/2001/XMLSchema" xmlns:xs="http://www.w3.org/2001/XMLSchema" xmlns:p="http://schemas.microsoft.com/office/2006/metadata/properties" xmlns:ns2="3f444a5e-8a5b-472c-bf48-f8635f09995f" xmlns:ns3="8223b70e-2368-475a-8851-18f8ce38efaa" targetNamespace="http://schemas.microsoft.com/office/2006/metadata/properties" ma:root="true" ma:fieldsID="330019298b126d7409fc069c6ac87dfa" ns2:_="" ns3:_="">
    <xsd:import namespace="3f444a5e-8a5b-472c-bf48-f8635f09995f"/>
    <xsd:import namespace="8223b70e-2368-475a-8851-18f8ce38efa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444a5e-8a5b-472c-bf48-f8635f09995f" elementFormDefault="qualified">
    <xsd:import namespace="http://schemas.microsoft.com/office/2006/documentManagement/types"/>
    <xsd:import namespace="http://schemas.microsoft.com/office/infopath/2007/PartnerControls"/>
    <xsd:element name="SharedWithUsers" ma:index="8"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223b70e-2368-475a-8851-18f8ce38efaa"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3f444a5e-8a5b-472c-bf48-f8635f09995f">
      <UserInfo>
        <DisplayName>WVG VIPA Website</DisplayName>
        <AccountId>1153</AccountId>
        <AccountType/>
      </UserInfo>
      <UserInfo>
        <DisplayName>Vervloet Jolien</DisplayName>
        <AccountId>405</AccountId>
        <AccountType/>
      </UserInfo>
      <UserInfo>
        <DisplayName>Cousaert Christophe</DisplayName>
        <AccountId>20</AccountId>
        <AccountType/>
      </UserInfo>
      <UserInfo>
        <DisplayName>Neerinckx Philip</DisplayName>
        <AccountId>35</AccountId>
        <AccountType/>
      </UserInfo>
      <UserInfo>
        <DisplayName>Feys Sara VIPA</DisplayName>
        <AccountId>1280</AccountId>
        <AccountType/>
      </UserInfo>
    </SharedWithUsers>
  </documentManagement>
</p:propertie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5E2302-3955-4837-BE96-7E528068EE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f444a5e-8a5b-472c-bf48-f8635f09995f"/>
    <ds:schemaRef ds:uri="8223b70e-2368-475a-8851-18f8ce38ef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A58A97D-C606-47A8-9CE9-FE4B975619F0}">
  <ds:schemaRefs>
    <ds:schemaRef ds:uri="http://schemas.openxmlformats.org/package/2006/metadata/core-properties"/>
    <ds:schemaRef ds:uri="http://schemas.microsoft.com/office/2006/documentManagement/types"/>
    <ds:schemaRef ds:uri="http://purl.org/dc/dcmitype/"/>
    <ds:schemaRef ds:uri="3f444a5e-8a5b-472c-bf48-f8635f09995f"/>
    <ds:schemaRef ds:uri="http://purl.org/dc/elements/1.1/"/>
    <ds:schemaRef ds:uri="http://purl.org/dc/terms/"/>
    <ds:schemaRef ds:uri="http://schemas.microsoft.com/office/infopath/2007/PartnerControls"/>
    <ds:schemaRef ds:uri="8223b70e-2368-475a-8851-18f8ce38efa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359FE494-4422-450E-AD57-F63976D08262}">
  <ds:schemaRefs>
    <ds:schemaRef ds:uri="http://schemas.microsoft.com/DataMashup"/>
  </ds:schemaRefs>
</ds:datastoreItem>
</file>

<file path=customXml/itemProps4.xml><?xml version="1.0" encoding="utf-8"?>
<ds:datastoreItem xmlns:ds="http://schemas.openxmlformats.org/officeDocument/2006/customXml" ds:itemID="{1CE80131-84DB-4CC9-943C-3F8640E00A87}">
  <ds:schemaRefs>
    <ds:schemaRef ds:uri="http://schemas.microsoft.com/sharepoint/v3/contenttype/forms"/>
  </ds:schemaRefs>
</ds:datastoreItem>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42</vt:i4>
      </vt:variant>
      <vt:variant>
        <vt:lpstr>Benoemde bereiken</vt:lpstr>
      </vt:variant>
      <vt:variant>
        <vt:i4>12</vt:i4>
      </vt:variant>
    </vt:vector>
  </HeadingPairs>
  <TitlesOfParts>
    <vt:vector size="54" baseType="lpstr">
      <vt:lpstr>Overzicht project</vt:lpstr>
      <vt:lpstr>Overzicht project_gewijzigd</vt:lpstr>
      <vt:lpstr>Overzicht BTA</vt:lpstr>
      <vt:lpstr>Oppervlakte</vt:lpstr>
      <vt:lpstr>Oppervlakte_gewijzigd</vt:lpstr>
      <vt:lpstr>uitgebreide raming</vt:lpstr>
      <vt:lpstr>uitgebreide raming_gewijzigd</vt:lpstr>
      <vt:lpstr>kunst</vt:lpstr>
      <vt:lpstr>BJB</vt:lpstr>
      <vt:lpstr>CAW</vt:lpstr>
      <vt:lpstr>Woonzorg</vt:lpstr>
      <vt:lpstr>Gezinnen met kinderen</vt:lpstr>
      <vt:lpstr>PH</vt:lpstr>
      <vt:lpstr>Preventieve en ambulante</vt:lpstr>
      <vt:lpstr>Revalidatieovereenkomst</vt:lpstr>
      <vt:lpstr>NB 21%</vt:lpstr>
      <vt:lpstr>NB 6-12-21%</vt:lpstr>
      <vt:lpstr>NB 21% light</vt:lpstr>
      <vt:lpstr>NB 6-12-21% light</vt:lpstr>
      <vt:lpstr>UITB</vt:lpstr>
      <vt:lpstr>VERB</vt:lpstr>
      <vt:lpstr>samen</vt:lpstr>
      <vt:lpstr>AK+VERB</vt:lpstr>
      <vt:lpstr>AKzondVERB</vt:lpstr>
      <vt:lpstr>analyse bij belofte</vt:lpstr>
      <vt:lpstr>analyse bij belofte 1</vt:lpstr>
      <vt:lpstr>analyse bij belofte 2</vt:lpstr>
      <vt:lpstr>analyse bij belofte 3</vt:lpstr>
      <vt:lpstr>Bouwkost UITB</vt:lpstr>
      <vt:lpstr>Bouwkost VERB</vt:lpstr>
      <vt:lpstr>Bouwkost NB</vt:lpstr>
      <vt:lpstr>Bouwkost IER</vt:lpstr>
      <vt:lpstr>Bouwkost VOLT</vt:lpstr>
      <vt:lpstr>Bouwkost AK+VERB</vt:lpstr>
      <vt:lpstr>Raming_ kost_zorg</vt:lpstr>
      <vt:lpstr>eindafrekening_ kost_zorg</vt:lpstr>
      <vt:lpstr>Centrumsteden</vt:lpstr>
      <vt:lpstr>Capaciteiten &amp; forfaits</vt:lpstr>
      <vt:lpstr>Bouwindex_ABEX</vt:lpstr>
      <vt:lpstr>Bron</vt:lpstr>
      <vt:lpstr>Upload AXI - CONF</vt:lpstr>
      <vt:lpstr>Upload AXI</vt:lpstr>
      <vt:lpstr>A_nieuwbouw__BTW_21</vt:lpstr>
      <vt:lpstr>aanloopadressen</vt:lpstr>
      <vt:lpstr>'Bouwkost IER'!Afdrukbereik</vt:lpstr>
      <vt:lpstr>'Bouwkost NB'!Afdrukbereik</vt:lpstr>
      <vt:lpstr>'NB 6-12-21% light'!B_nieuwbouw__BTW_verschillend</vt:lpstr>
      <vt:lpstr>B_nieuwbouw__BTW_verschillend</vt:lpstr>
      <vt:lpstr>C_Uitbreiding</vt:lpstr>
      <vt:lpstr>D_Verbouwing</vt:lpstr>
      <vt:lpstr>E_Aankoop_met_verbouwing</vt:lpstr>
      <vt:lpstr>F_Aankoop_znd_verbouwing</vt:lpstr>
      <vt:lpstr>kinderzorg</vt:lpstr>
      <vt:lpstr>wijkgezondheid</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Feys, Sara VIPA</dc:creator>
  <cp:keywords/>
  <dc:description/>
  <cp:lastModifiedBy>Cousaert Christophe</cp:lastModifiedBy>
  <cp:revision/>
  <dcterms:created xsi:type="dcterms:W3CDTF">2015-01-08T09:46:37Z</dcterms:created>
  <dcterms:modified xsi:type="dcterms:W3CDTF">2026-07-08T06:38:26Z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0x010100BD3B4EC3C26B034AA04AFEC89B98A9E5</vt:lpwstr>
  </property>
  <property fmtid="{D5CDD505-2E9C-101B-9397-08002B2CF9AE}" pid="3" name="AuthorIds_UIVersion_16384">
    <vt:lpwstr>51</vt:lpwstr>
  </property>
</Properties>
</file>